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tables/table13.xml" ContentType="application/vnd.openxmlformats-officedocument.spreadsheetml.table+xml"/>
  <Override PartName="/xl/drawings/drawing14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tables/table14.xml" ContentType="application/vnd.openxmlformats-officedocument.spreadsheetml.table+xml"/>
  <Override PartName="/xl/drawings/drawing15.xml" ContentType="application/vnd.openxmlformats-officedocument.drawing+xml"/>
  <Override PartName="/xl/tables/table15.xml" ContentType="application/vnd.openxmlformats-officedocument.spreadsheetml.table+xml"/>
  <Override PartName="/xl/drawings/drawing16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ctrlProps/ctrlProp1.xml" ContentType="application/vnd.ms-excel.controlproperties+xml"/>
  <Override PartName="/xl/drawings/drawing17.xml" ContentType="application/vnd.openxmlformats-officedocument.drawing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af\"/>
    </mc:Choice>
  </mc:AlternateContent>
  <xr:revisionPtr revIDLastSave="0" documentId="13_ncr:1_{AE7245E1-EBC3-496F-B471-4123368E78E2}" xr6:coauthVersionLast="45" xr6:coauthVersionMax="45" xr10:uidLastSave="{00000000-0000-0000-0000-000000000000}"/>
  <bookViews>
    <workbookView xWindow="-108" yWindow="-108" windowWidth="23256" windowHeight="12576" tabRatio="881" firstSheet="3" activeTab="13" xr2:uid="{00000000-000D-0000-FFFF-FFFF00000000}"/>
  </bookViews>
  <sheets>
    <sheet name="WAGO" sheetId="31" r:id="rId1"/>
    <sheet name="FILS" sheetId="32" r:id="rId2"/>
    <sheet name="GOULOTTE" sheetId="33" r:id="rId3"/>
    <sheet name="WURTH" sheetId="30" r:id="rId4"/>
    <sheet name="SOCOMEC" sheetId="29" r:id="rId5"/>
    <sheet name="CAPRIS" sheetId="34" r:id="rId6"/>
    <sheet name="LEGRAND" sheetId="35" r:id="rId7"/>
    <sheet name="SCHNEIDER" sheetId="36" r:id="rId8"/>
    <sheet name="SIEMENS" sheetId="37" r:id="rId9"/>
    <sheet name="Feuil1" sheetId="38" r:id="rId10"/>
    <sheet name="Feuil2" sheetId="39" r:id="rId11"/>
    <sheet name="Feuil3" sheetId="40" r:id="rId12"/>
    <sheet name="ENTREE-COMMANDE" sheetId="23" r:id="rId13"/>
    <sheet name="SORTIE-RETOUR-ARTICLE" sheetId="24" r:id="rId14"/>
    <sheet name="Order" sheetId="42" r:id="rId15"/>
    <sheet name="BON DE COMMANDE" sheetId="41" r:id="rId16"/>
    <sheet name="REGLAGE" sheetId="18" r:id="rId17"/>
    <sheet name="Liste des types" sheetId="26" r:id="rId18"/>
  </sheets>
  <externalReferences>
    <externalReference r:id="rId19"/>
  </externalReferences>
  <definedNames>
    <definedName name="affaire">REGLAGE!$J$4:$J$47</definedName>
    <definedName name="bon_de_cde">#REF!</definedName>
    <definedName name="bon_de_cdel">'BON DE COMMANDE'!$B$33:$O$62</definedName>
    <definedName name="employer" localSheetId="5">[1]!Tableau1[NOM PRENOM]</definedName>
    <definedName name="employer" localSheetId="1">[1]!Tableau1[NOM PRENOM]</definedName>
    <definedName name="employer" localSheetId="2">[1]!Tableau1[NOM PRENOM]</definedName>
    <definedName name="employer" localSheetId="6">[1]!Tableau1[NOM PRENOM]</definedName>
    <definedName name="employer" localSheetId="7">[1]!Tableau1[NOM PRENOM]</definedName>
    <definedName name="employer" localSheetId="8">[1]!Tableau1[NOM PRENOM]</definedName>
    <definedName name="employer" localSheetId="4">[1]!Tableau1[NOM PRENOM]</definedName>
    <definedName name="employer" localSheetId="0">[1]!Tableau1[NOM PRENOM]</definedName>
    <definedName name="employer" localSheetId="3">[1]!Tableau1[NOM PRENOM]</definedName>
    <definedName name="employer">Tableau1[NOM PRENOM]</definedName>
    <definedName name="fils_descrip" localSheetId="5">[1]!Tableau3[[NOM DESIGNATION ]]</definedName>
    <definedName name="fils_descrip" localSheetId="1">Tableau311[[NOM DESIGNATION ]]</definedName>
    <definedName name="fils_descrip" localSheetId="2">[1]!Tableau3[[NOM DESIGNATION ]]</definedName>
    <definedName name="fils_descrip" localSheetId="6">[1]!Tableau3[[NOM DESIGNATION ]]</definedName>
    <definedName name="fils_descrip" localSheetId="7">[1]!Tableau3[[NOM DESIGNATION ]]</definedName>
    <definedName name="fils_descrip" localSheetId="8">[1]!Tableau3[[NOM DESIGNATION ]]</definedName>
    <definedName name="fils_descrip" localSheetId="4">[1]!Tableau3[[NOM DESIGNATION ]]</definedName>
    <definedName name="fils_descrip" localSheetId="0">[1]!Tableau3[[NOM DESIGNATION ]]</definedName>
    <definedName name="fils_descrip" localSheetId="3">[1]!Tableau3[[NOM DESIGNATION ]]</definedName>
    <definedName name="fils_descrip">#REF!</definedName>
    <definedName name="fils_ref" localSheetId="5">[1]!Tableau3[REFERENCE]</definedName>
    <definedName name="fils_ref" localSheetId="1">Tableau311[REFERENCE]</definedName>
    <definedName name="fils_ref" localSheetId="2">[1]!Tableau3[REFERENCE]</definedName>
    <definedName name="fils_ref" localSheetId="6">[1]!Tableau3[REFERENCE]</definedName>
    <definedName name="fils_ref" localSheetId="7">[1]!Tableau3[REFERENCE]</definedName>
    <definedName name="fils_ref" localSheetId="8">[1]!Tableau3[REFERENCE]</definedName>
    <definedName name="fils_ref" localSheetId="4">[1]!Tableau3[REFERENCE]</definedName>
    <definedName name="fils_ref" localSheetId="0">[1]!Tableau3[REFERENCE]</definedName>
    <definedName name="fils_ref" localSheetId="3">[1]!Tableau3[REFERENCE]</definedName>
    <definedName name="fils_ref">#REF!</definedName>
    <definedName name="fournisseur" localSheetId="5">[1]!Tableau1921[NOM]</definedName>
    <definedName name="fournisseur" localSheetId="1">[1]!Tableau1921[NOM]</definedName>
    <definedName name="fournisseur" localSheetId="2">[1]!Tableau1921[NOM]</definedName>
    <definedName name="fournisseur" localSheetId="6">[1]!Tableau1921[NOM]</definedName>
    <definedName name="fournisseur" localSheetId="7">[1]!Tableau1921[NOM]</definedName>
    <definedName name="fournisseur" localSheetId="8">[1]!Tableau1921[NOM]</definedName>
    <definedName name="fournisseur" localSheetId="4">[1]!Tableau1921[NOM]</definedName>
    <definedName name="fournisseur" localSheetId="0">[1]!Tableau1921[NOM]</definedName>
    <definedName name="fournisseur" localSheetId="3">[1]!Tableau1921[NOM]</definedName>
    <definedName name="fournisseur">Tableau1921[NOM]</definedName>
    <definedName name="id_reference">Tableau49[reference]</definedName>
    <definedName name="List_bon_cde">#REF!</definedName>
    <definedName name="order_id">Tableau49[[N° BON DE COMMANDE ]]</definedName>
    <definedName name="Types" localSheetId="5">OFFSET('[1]Liste des types'!$C$2,,,COUNTA('[1]Liste des types'!$C:$C)-1)</definedName>
    <definedName name="Types" localSheetId="1">OFFSET('[1]Liste des types'!$C$2,,,COUNTA('[1]Liste des types'!$C:$C)-1)</definedName>
    <definedName name="Types" localSheetId="2">OFFSET('[1]Liste des types'!$C$2,,,COUNTA('[1]Liste des types'!$C:$C)-1)</definedName>
    <definedName name="Types" localSheetId="6">OFFSET('[1]Liste des types'!$C$2,,,COUNTA('[1]Liste des types'!$C:$C)-1)</definedName>
    <definedName name="Types" localSheetId="7">OFFSET('[1]Liste des types'!$C$2,,,COUNTA('[1]Liste des types'!$C:$C)-1)</definedName>
    <definedName name="Types" localSheetId="8">OFFSET('[1]Liste des types'!$C$2,,,COUNTA('[1]Liste des types'!$C:$C)-1)</definedName>
    <definedName name="Types" localSheetId="4">OFFSET('[1]Liste des types'!$C$2,,,COUNTA('[1]Liste des types'!$C:$C)-1)</definedName>
    <definedName name="Types" localSheetId="0">OFFSET('[1]Liste des types'!$C$2,,,COUNTA('[1]Liste des types'!$C:$C)-1)</definedName>
    <definedName name="Types" localSheetId="3">OFFSET('[1]Liste des types'!$C$2,,,COUNTA('[1]Liste des types'!$C:$C)-1)</definedName>
    <definedName name="Types">OFFSET('Liste des types'!$C$2,,,COUNTA('Liste des types'!$C:$C)-1)</definedName>
    <definedName name="wago" localSheetId="5">[1]!Tableau2[[NOM DESIGNATION ]:[PRIX T.]]</definedName>
    <definedName name="wago" localSheetId="1">[1]!Tableau2[[NOM DESIGNATION ]:[PRIX T.]]</definedName>
    <definedName name="wago" localSheetId="2">[1]!Tableau2[[NOM DESIGNATION ]:[PRIX T.]]</definedName>
    <definedName name="wago" localSheetId="6">[1]!Tableau2[[NOM DESIGNATION ]:[PRIX T.]]</definedName>
    <definedName name="wago" localSheetId="7">[1]!Tableau2[[NOM DESIGNATION ]:[PRIX T.]]</definedName>
    <definedName name="wago" localSheetId="8">[1]!Tableau2[[NOM DESIGNATION ]:[PRIX T.]]</definedName>
    <definedName name="wago" localSheetId="4">[1]!Tableau2[[NOM DESIGNATION ]:[PRIX T.]]</definedName>
    <definedName name="wago" localSheetId="0">Tableau210[[NOM DESIGNATION ]:[PRIX T.]]</definedName>
    <definedName name="wago" localSheetId="3">[1]!Tableau2[[NOM DESIGNATION ]:[PRIX T.]]</definedName>
    <definedName name="wago">#REF!</definedName>
    <definedName name="wago_descrip" localSheetId="5">[1]!Tableau2[[NOM DESIGNATION ]]</definedName>
    <definedName name="wago_descrip" localSheetId="1">[1]!Tableau2[[NOM DESIGNATION ]]</definedName>
    <definedName name="wago_descrip" localSheetId="2">[1]!Tableau2[[NOM DESIGNATION ]]</definedName>
    <definedName name="wago_descrip" localSheetId="6">[1]!Tableau2[[NOM DESIGNATION ]]</definedName>
    <definedName name="wago_descrip" localSheetId="7">[1]!Tableau2[[NOM DESIGNATION ]]</definedName>
    <definedName name="wago_descrip" localSheetId="8">[1]!Tableau2[[NOM DESIGNATION ]]</definedName>
    <definedName name="wago_descrip" localSheetId="4">[1]!Tableau2[[NOM DESIGNATION ]]</definedName>
    <definedName name="wago_descrip" localSheetId="0">Tableau210[[NOM DESIGNATION ]]</definedName>
    <definedName name="wago_descrip" localSheetId="3">[1]!Tableau2[[NOM DESIGNATION ]]</definedName>
    <definedName name="wago_descrip">#REF!</definedName>
    <definedName name="wago_ref" localSheetId="5">[1]!Tableau2[REFERENCE]</definedName>
    <definedName name="wago_ref" localSheetId="1">[1]!Tableau2[REFERENCE]</definedName>
    <definedName name="wago_ref" localSheetId="2">[1]!Tableau2[REFERENCE]</definedName>
    <definedName name="wago_ref" localSheetId="6">[1]!Tableau2[REFERENCE]</definedName>
    <definedName name="wago_ref" localSheetId="7">[1]!Tableau2[REFERENCE]</definedName>
    <definedName name="wago_ref" localSheetId="8">[1]!Tableau2[REFERENCE]</definedName>
    <definedName name="wago_ref" localSheetId="4">[1]!Tableau2[REFERENCE]</definedName>
    <definedName name="wago_ref" localSheetId="0">Tableau210[REFERENCE]</definedName>
    <definedName name="wago_ref" localSheetId="3">[1]!Tableau2[REFERENCE]</definedName>
    <definedName name="wago_ref">#REF!</definedName>
    <definedName name="_xlnm.Print_Area" localSheetId="15">'BON DE COMMANDE'!$A$2:$O$80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35" i="30" l="1"/>
  <c r="M135" i="30" s="1"/>
  <c r="H134" i="30"/>
  <c r="M134" i="30" s="1"/>
  <c r="H133" i="30"/>
  <c r="E133" i="30" s="1"/>
  <c r="H9" i="34"/>
  <c r="C9" i="34" s="1"/>
  <c r="H9" i="37"/>
  <c r="M9" i="37" s="1"/>
  <c r="H9" i="36"/>
  <c r="C9" i="36" s="1"/>
  <c r="H10" i="35"/>
  <c r="E10" i="35" s="1"/>
  <c r="H9" i="35"/>
  <c r="C9" i="35" s="1"/>
  <c r="C13" i="41"/>
  <c r="G17" i="41"/>
  <c r="C17" i="41"/>
  <c r="C14" i="41"/>
  <c r="E135" i="30" l="1"/>
  <c r="D135" i="30"/>
  <c r="C135" i="30"/>
  <c r="E134" i="30"/>
  <c r="D134" i="30"/>
  <c r="C134" i="30"/>
  <c r="D133" i="30"/>
  <c r="M133" i="30"/>
  <c r="C133" i="30"/>
  <c r="M9" i="34"/>
  <c r="E9" i="34"/>
  <c r="D9" i="34"/>
  <c r="E9" i="37"/>
  <c r="D9" i="37"/>
  <c r="C9" i="37"/>
  <c r="M9" i="36"/>
  <c r="E9" i="36"/>
  <c r="D9" i="36"/>
  <c r="D10" i="35"/>
  <c r="C10" i="35"/>
  <c r="M10" i="35"/>
  <c r="M9" i="35"/>
  <c r="E9" i="35"/>
  <c r="D9" i="35"/>
  <c r="H8" i="40"/>
  <c r="H8" i="39"/>
  <c r="H8" i="38"/>
  <c r="H8" i="37"/>
  <c r="H8" i="36"/>
  <c r="H8" i="35"/>
  <c r="H8" i="34"/>
  <c r="H9" i="29"/>
  <c r="H8" i="29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31" i="30"/>
  <c r="H32" i="30"/>
  <c r="H33" i="30"/>
  <c r="H34" i="30"/>
  <c r="H35" i="30"/>
  <c r="H36" i="30"/>
  <c r="H37" i="30"/>
  <c r="H38" i="30"/>
  <c r="H39" i="30"/>
  <c r="H40" i="30"/>
  <c r="H41" i="30"/>
  <c r="H42" i="30"/>
  <c r="H43" i="30"/>
  <c r="H44" i="30"/>
  <c r="H45" i="30"/>
  <c r="H46" i="30"/>
  <c r="H47" i="30"/>
  <c r="H48" i="30"/>
  <c r="H49" i="30"/>
  <c r="H50" i="30"/>
  <c r="H51" i="30"/>
  <c r="H52" i="30"/>
  <c r="H53" i="30"/>
  <c r="H54" i="30"/>
  <c r="H55" i="30"/>
  <c r="H56" i="30"/>
  <c r="H57" i="30"/>
  <c r="H58" i="30"/>
  <c r="H59" i="30"/>
  <c r="H60" i="30"/>
  <c r="H61" i="30"/>
  <c r="H62" i="30"/>
  <c r="H63" i="30"/>
  <c r="H64" i="30"/>
  <c r="H65" i="30"/>
  <c r="H66" i="30"/>
  <c r="H67" i="30"/>
  <c r="H68" i="30"/>
  <c r="H69" i="30"/>
  <c r="H70" i="30"/>
  <c r="H71" i="30"/>
  <c r="H72" i="30"/>
  <c r="H73" i="30"/>
  <c r="H74" i="30"/>
  <c r="H75" i="30"/>
  <c r="H76" i="30"/>
  <c r="H77" i="30"/>
  <c r="H78" i="30"/>
  <c r="H79" i="30"/>
  <c r="H80" i="30"/>
  <c r="H81" i="30"/>
  <c r="H82" i="30"/>
  <c r="H83" i="30"/>
  <c r="H84" i="30"/>
  <c r="H85" i="30"/>
  <c r="H86" i="30"/>
  <c r="H87" i="30"/>
  <c r="H88" i="30"/>
  <c r="H89" i="30"/>
  <c r="H90" i="30"/>
  <c r="H91" i="30"/>
  <c r="H92" i="30"/>
  <c r="H93" i="30"/>
  <c r="H94" i="30"/>
  <c r="H95" i="30"/>
  <c r="H96" i="30"/>
  <c r="H97" i="30"/>
  <c r="H98" i="30"/>
  <c r="H99" i="30"/>
  <c r="H100" i="30"/>
  <c r="H101" i="30"/>
  <c r="H102" i="30"/>
  <c r="H103" i="30"/>
  <c r="H104" i="30"/>
  <c r="H105" i="30"/>
  <c r="H106" i="30"/>
  <c r="H107" i="30"/>
  <c r="H108" i="30"/>
  <c r="H109" i="30"/>
  <c r="H110" i="30"/>
  <c r="H111" i="30"/>
  <c r="H112" i="30"/>
  <c r="H113" i="30"/>
  <c r="H114" i="30"/>
  <c r="H115" i="30"/>
  <c r="H116" i="30"/>
  <c r="H117" i="30"/>
  <c r="H118" i="30"/>
  <c r="H119" i="30"/>
  <c r="H120" i="30"/>
  <c r="H121" i="30"/>
  <c r="H122" i="30"/>
  <c r="H123" i="30"/>
  <c r="H124" i="30"/>
  <c r="H125" i="30"/>
  <c r="H126" i="30"/>
  <c r="H127" i="30"/>
  <c r="H128" i="30"/>
  <c r="H129" i="30"/>
  <c r="H130" i="30"/>
  <c r="H131" i="30"/>
  <c r="H132" i="30"/>
  <c r="H8" i="30"/>
  <c r="H9" i="33"/>
  <c r="H10" i="33"/>
  <c r="H11" i="33"/>
  <c r="H12" i="33"/>
  <c r="H13" i="33"/>
  <c r="H14" i="33"/>
  <c r="H15" i="33"/>
  <c r="H16" i="33"/>
  <c r="H17" i="33"/>
  <c r="H18" i="33"/>
  <c r="H19" i="33"/>
  <c r="H20" i="33"/>
  <c r="H21" i="33"/>
  <c r="H22" i="33"/>
  <c r="H23" i="33"/>
  <c r="H24" i="33"/>
  <c r="H25" i="33"/>
  <c r="H26" i="33"/>
  <c r="H8" i="33"/>
  <c r="H9" i="31"/>
  <c r="H10" i="31"/>
  <c r="H11" i="31"/>
  <c r="H12" i="31"/>
  <c r="H13" i="31"/>
  <c r="H14" i="31"/>
  <c r="H15" i="31"/>
  <c r="H16" i="31"/>
  <c r="H17" i="31"/>
  <c r="H18" i="31"/>
  <c r="H19" i="31"/>
  <c r="H20" i="31"/>
  <c r="H21" i="31"/>
  <c r="H22" i="31"/>
  <c r="H23" i="31"/>
  <c r="H24" i="31"/>
  <c r="H25" i="31"/>
  <c r="H26" i="31"/>
  <c r="H27" i="31"/>
  <c r="H28" i="31"/>
  <c r="H29" i="31"/>
  <c r="H30" i="31"/>
  <c r="H31" i="31"/>
  <c r="H32" i="31"/>
  <c r="H33" i="31"/>
  <c r="H34" i="31"/>
  <c r="H35" i="31"/>
  <c r="H36" i="31"/>
  <c r="H37" i="31"/>
  <c r="H38" i="31"/>
  <c r="H39" i="31"/>
  <c r="H40" i="31"/>
  <c r="H41" i="31"/>
  <c r="H42" i="31"/>
  <c r="H43" i="31"/>
  <c r="H44" i="31"/>
  <c r="H45" i="31"/>
  <c r="H46" i="31"/>
  <c r="H47" i="31"/>
  <c r="H48" i="31"/>
  <c r="H49" i="31"/>
  <c r="H50" i="31"/>
  <c r="H51" i="31"/>
  <c r="H52" i="31"/>
  <c r="H53" i="31"/>
  <c r="H54" i="31"/>
  <c r="H55" i="31"/>
  <c r="H56" i="31"/>
  <c r="H57" i="31"/>
  <c r="H58" i="31"/>
  <c r="H59" i="31"/>
  <c r="H60" i="31"/>
  <c r="H61" i="31"/>
  <c r="H62" i="31"/>
  <c r="H8" i="31"/>
  <c r="H10" i="32"/>
  <c r="H11" i="32"/>
  <c r="H12" i="32"/>
  <c r="H13" i="32"/>
  <c r="H14" i="32"/>
  <c r="H15" i="32"/>
  <c r="H16" i="32"/>
  <c r="H17" i="32"/>
  <c r="H18" i="32"/>
  <c r="H19" i="32"/>
  <c r="H20" i="32"/>
  <c r="H21" i="32"/>
  <c r="H22" i="32"/>
  <c r="H23" i="32"/>
  <c r="H24" i="32"/>
  <c r="H25" i="32"/>
  <c r="H26" i="32"/>
  <c r="H27" i="32"/>
  <c r="H28" i="32"/>
  <c r="H29" i="32"/>
  <c r="H30" i="32"/>
  <c r="H31" i="32"/>
  <c r="H32" i="32"/>
  <c r="H33" i="32"/>
  <c r="H34" i="32"/>
  <c r="H35" i="32"/>
  <c r="H36" i="32"/>
  <c r="H37" i="32"/>
  <c r="H38" i="32"/>
  <c r="H39" i="32"/>
  <c r="H40" i="32"/>
  <c r="H41" i="32"/>
  <c r="H42" i="32"/>
  <c r="H43" i="32"/>
  <c r="H8" i="32"/>
  <c r="H9" i="32"/>
  <c r="H8" i="23" l="1"/>
  <c r="Q9" i="18" l="1"/>
  <c r="T9" i="18" s="1"/>
  <c r="A8" i="40" l="1"/>
  <c r="A8" i="39"/>
  <c r="A8" i="38"/>
  <c r="A8" i="37"/>
  <c r="A8" i="36"/>
  <c r="A8" i="35"/>
  <c r="A8" i="34"/>
  <c r="A9" i="29"/>
  <c r="A8" i="29"/>
  <c r="A9" i="30"/>
  <c r="A10" i="30"/>
  <c r="A11" i="30"/>
  <c r="A12" i="30"/>
  <c r="A13" i="30"/>
  <c r="A14" i="30"/>
  <c r="A15" i="30"/>
  <c r="A16" i="30"/>
  <c r="A17" i="30"/>
  <c r="A18" i="30"/>
  <c r="A19" i="30"/>
  <c r="A20" i="30"/>
  <c r="A21" i="30"/>
  <c r="A22" i="30"/>
  <c r="A23" i="30"/>
  <c r="A24" i="30"/>
  <c r="A25" i="30"/>
  <c r="A26" i="30"/>
  <c r="A27" i="30"/>
  <c r="A28" i="30"/>
  <c r="A29" i="30"/>
  <c r="A30" i="30"/>
  <c r="A31" i="30"/>
  <c r="A32" i="30"/>
  <c r="A33" i="30"/>
  <c r="A34" i="30"/>
  <c r="A35" i="30"/>
  <c r="A36" i="30"/>
  <c r="A37" i="30"/>
  <c r="A38" i="30"/>
  <c r="A39" i="30"/>
  <c r="A40" i="30"/>
  <c r="A41" i="30"/>
  <c r="A42" i="30"/>
  <c r="A43" i="30"/>
  <c r="A44" i="30"/>
  <c r="A45" i="30"/>
  <c r="A46" i="30"/>
  <c r="A47" i="30"/>
  <c r="A48" i="30"/>
  <c r="A49" i="30"/>
  <c r="A50" i="30"/>
  <c r="A51" i="30"/>
  <c r="A52" i="30"/>
  <c r="A53" i="30"/>
  <c r="A54" i="30"/>
  <c r="A55" i="30"/>
  <c r="A56" i="30"/>
  <c r="A57" i="30"/>
  <c r="A58" i="30"/>
  <c r="A59" i="30"/>
  <c r="A60" i="30"/>
  <c r="A61" i="30"/>
  <c r="A62" i="30"/>
  <c r="A63" i="30"/>
  <c r="A64" i="30"/>
  <c r="A65" i="30"/>
  <c r="A66" i="30"/>
  <c r="A67" i="30"/>
  <c r="A68" i="30"/>
  <c r="A69" i="30"/>
  <c r="A70" i="30"/>
  <c r="A71" i="30"/>
  <c r="A72" i="30"/>
  <c r="A73" i="30"/>
  <c r="A74" i="30"/>
  <c r="A75" i="30"/>
  <c r="A76" i="30"/>
  <c r="A77" i="30"/>
  <c r="A78" i="30"/>
  <c r="A79" i="30"/>
  <c r="A80" i="30"/>
  <c r="A81" i="30"/>
  <c r="A82" i="30"/>
  <c r="A83" i="30"/>
  <c r="A84" i="30"/>
  <c r="A85" i="30"/>
  <c r="A86" i="30"/>
  <c r="A87" i="30"/>
  <c r="A88" i="30"/>
  <c r="A89" i="30"/>
  <c r="A90" i="30"/>
  <c r="A91" i="30"/>
  <c r="A92" i="30"/>
  <c r="A93" i="30"/>
  <c r="A94" i="30"/>
  <c r="A95" i="30"/>
  <c r="A96" i="30"/>
  <c r="A97" i="30"/>
  <c r="A98" i="30"/>
  <c r="A99" i="30"/>
  <c r="A100" i="30"/>
  <c r="A101" i="30"/>
  <c r="A102" i="30"/>
  <c r="A103" i="30"/>
  <c r="A104" i="30"/>
  <c r="A105" i="30"/>
  <c r="A106" i="30"/>
  <c r="A107" i="30"/>
  <c r="A108" i="30"/>
  <c r="A109" i="30"/>
  <c r="A110" i="30"/>
  <c r="A111" i="30"/>
  <c r="A112" i="30"/>
  <c r="A113" i="30"/>
  <c r="A114" i="30"/>
  <c r="A115" i="30"/>
  <c r="A116" i="30"/>
  <c r="A117" i="30"/>
  <c r="A118" i="30"/>
  <c r="A119" i="30"/>
  <c r="A120" i="30"/>
  <c r="A121" i="30"/>
  <c r="A122" i="30"/>
  <c r="A123" i="30"/>
  <c r="A124" i="30"/>
  <c r="A125" i="30"/>
  <c r="A126" i="30"/>
  <c r="A127" i="30"/>
  <c r="A128" i="30"/>
  <c r="A129" i="30"/>
  <c r="A130" i="30"/>
  <c r="A131" i="30"/>
  <c r="A132" i="30"/>
  <c r="A8" i="30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5" i="33"/>
  <c r="A26" i="33"/>
  <c r="A8" i="33"/>
  <c r="A9" i="32"/>
  <c r="A10" i="32"/>
  <c r="A11" i="32"/>
  <c r="A12" i="32"/>
  <c r="A13" i="32"/>
  <c r="A14" i="32"/>
  <c r="A15" i="32"/>
  <c r="A16" i="32"/>
  <c r="A17" i="32"/>
  <c r="A18" i="32"/>
  <c r="A19" i="32"/>
  <c r="A20" i="32"/>
  <c r="A21" i="32"/>
  <c r="A22" i="32"/>
  <c r="A23" i="32"/>
  <c r="A24" i="32"/>
  <c r="A25" i="32"/>
  <c r="A26" i="32"/>
  <c r="A27" i="32"/>
  <c r="A28" i="32"/>
  <c r="A29" i="32"/>
  <c r="A30" i="32"/>
  <c r="A31" i="32"/>
  <c r="A32" i="32"/>
  <c r="A33" i="32"/>
  <c r="A34" i="32"/>
  <c r="A35" i="32"/>
  <c r="A36" i="32"/>
  <c r="A37" i="32"/>
  <c r="A38" i="32"/>
  <c r="A39" i="32"/>
  <c r="A40" i="32"/>
  <c r="A41" i="32"/>
  <c r="A42" i="32"/>
  <c r="A43" i="32"/>
  <c r="A8" i="32"/>
  <c r="A9" i="31"/>
  <c r="A10" i="31"/>
  <c r="A11" i="31"/>
  <c r="A12" i="31"/>
  <c r="A13" i="31"/>
  <c r="A14" i="31"/>
  <c r="A15" i="31"/>
  <c r="A16" i="31"/>
  <c r="A17" i="31"/>
  <c r="A18" i="31"/>
  <c r="A19" i="31"/>
  <c r="A20" i="31"/>
  <c r="A21" i="31"/>
  <c r="A22" i="31"/>
  <c r="A23" i="31"/>
  <c r="A24" i="31"/>
  <c r="A25" i="31"/>
  <c r="A26" i="31"/>
  <c r="A27" i="31"/>
  <c r="A28" i="31"/>
  <c r="A29" i="31"/>
  <c r="A30" i="31"/>
  <c r="A31" i="31"/>
  <c r="A32" i="31"/>
  <c r="A33" i="31"/>
  <c r="A34" i="31"/>
  <c r="A35" i="31"/>
  <c r="A36" i="31"/>
  <c r="A37" i="31"/>
  <c r="A38" i="31"/>
  <c r="A39" i="31"/>
  <c r="A40" i="31"/>
  <c r="A41" i="31"/>
  <c r="A42" i="31"/>
  <c r="A43" i="31"/>
  <c r="A44" i="31"/>
  <c r="A45" i="31"/>
  <c r="A46" i="31"/>
  <c r="A47" i="31"/>
  <c r="A48" i="31"/>
  <c r="A49" i="31"/>
  <c r="A50" i="31"/>
  <c r="A51" i="31"/>
  <c r="A52" i="31"/>
  <c r="A53" i="31"/>
  <c r="A54" i="31"/>
  <c r="A55" i="31"/>
  <c r="A56" i="31"/>
  <c r="A57" i="31"/>
  <c r="A58" i="31"/>
  <c r="A59" i="31"/>
  <c r="A60" i="31"/>
  <c r="A61" i="31"/>
  <c r="A62" i="31"/>
  <c r="A8" i="31"/>
  <c r="P10" i="18" l="1"/>
  <c r="M8" i="37"/>
  <c r="M8" i="36"/>
  <c r="M8" i="35"/>
  <c r="M8" i="34"/>
  <c r="M8" i="29"/>
  <c r="M9" i="29"/>
  <c r="M8" i="33"/>
  <c r="M9" i="33"/>
  <c r="M10" i="33"/>
  <c r="M11" i="33"/>
  <c r="M12" i="33"/>
  <c r="M13" i="33"/>
  <c r="M14" i="33"/>
  <c r="M15" i="33"/>
  <c r="M16" i="33"/>
  <c r="M17" i="33"/>
  <c r="M18" i="33"/>
  <c r="M19" i="33"/>
  <c r="M20" i="33"/>
  <c r="M21" i="33"/>
  <c r="M22" i="33"/>
  <c r="M23" i="33"/>
  <c r="M24" i="33"/>
  <c r="M25" i="33"/>
  <c r="M26" i="33"/>
  <c r="M8" i="32"/>
  <c r="M9" i="32"/>
  <c r="M10" i="32"/>
  <c r="M11" i="32"/>
  <c r="M12" i="32"/>
  <c r="M13" i="32"/>
  <c r="M14" i="32"/>
  <c r="M15" i="32"/>
  <c r="M16" i="32"/>
  <c r="M17" i="32"/>
  <c r="M18" i="32"/>
  <c r="M19" i="32"/>
  <c r="M20" i="32"/>
  <c r="M21" i="32"/>
  <c r="M22" i="32"/>
  <c r="M23" i="32"/>
  <c r="M24" i="32"/>
  <c r="M25" i="32"/>
  <c r="M26" i="32"/>
  <c r="M27" i="32"/>
  <c r="M28" i="32"/>
  <c r="M29" i="32"/>
  <c r="M30" i="32"/>
  <c r="M31" i="32"/>
  <c r="M32" i="32"/>
  <c r="M33" i="32"/>
  <c r="M34" i="32"/>
  <c r="M35" i="32"/>
  <c r="M36" i="32"/>
  <c r="M37" i="32"/>
  <c r="M38" i="32"/>
  <c r="M39" i="32"/>
  <c r="M40" i="32"/>
  <c r="M41" i="32"/>
  <c r="M42" i="32"/>
  <c r="M43" i="32"/>
  <c r="M8" i="31"/>
  <c r="M9" i="31"/>
  <c r="M10" i="31"/>
  <c r="M11" i="31"/>
  <c r="M12" i="31"/>
  <c r="M13" i="31"/>
  <c r="M14" i="31"/>
  <c r="M15" i="31"/>
  <c r="M16" i="31"/>
  <c r="M17" i="31"/>
  <c r="M18" i="31"/>
  <c r="M19" i="31"/>
  <c r="M20" i="31"/>
  <c r="M21" i="31"/>
  <c r="M22" i="31"/>
  <c r="M23" i="31"/>
  <c r="M24" i="31"/>
  <c r="M25" i="31"/>
  <c r="M26" i="31"/>
  <c r="M27" i="31"/>
  <c r="M28" i="31"/>
  <c r="M29" i="31"/>
  <c r="M30" i="31"/>
  <c r="M31" i="31"/>
  <c r="M32" i="31"/>
  <c r="M33" i="31"/>
  <c r="M34" i="31"/>
  <c r="M35" i="31"/>
  <c r="M36" i="31"/>
  <c r="M37" i="31"/>
  <c r="M38" i="31"/>
  <c r="M39" i="31"/>
  <c r="M40" i="31"/>
  <c r="M41" i="31"/>
  <c r="M42" i="31"/>
  <c r="M43" i="31"/>
  <c r="M44" i="31"/>
  <c r="M45" i="31"/>
  <c r="M46" i="31"/>
  <c r="M47" i="31"/>
  <c r="M48" i="31"/>
  <c r="M49" i="31"/>
  <c r="M50" i="31"/>
  <c r="M51" i="31"/>
  <c r="M52" i="31"/>
  <c r="M53" i="31"/>
  <c r="M54" i="31"/>
  <c r="M55" i="31"/>
  <c r="M56" i="31"/>
  <c r="M57" i="31"/>
  <c r="M58" i="31"/>
  <c r="M59" i="31"/>
  <c r="M60" i="31"/>
  <c r="M61" i="31"/>
  <c r="M62" i="31"/>
  <c r="M9" i="30"/>
  <c r="M8" i="30"/>
  <c r="M10" i="30"/>
  <c r="M11" i="30"/>
  <c r="M12" i="30"/>
  <c r="M13" i="30"/>
  <c r="M14" i="30"/>
  <c r="M15" i="30"/>
  <c r="M16" i="30"/>
  <c r="M17" i="30"/>
  <c r="M18" i="30"/>
  <c r="M19" i="30"/>
  <c r="M20" i="30"/>
  <c r="M21" i="30"/>
  <c r="M22" i="30"/>
  <c r="M23" i="30"/>
  <c r="M24" i="30"/>
  <c r="M25" i="30"/>
  <c r="M26" i="30"/>
  <c r="M27" i="30"/>
  <c r="M28" i="30"/>
  <c r="M29" i="30"/>
  <c r="M30" i="30"/>
  <c r="M31" i="30"/>
  <c r="M32" i="30"/>
  <c r="M33" i="30"/>
  <c r="M34" i="30"/>
  <c r="M35" i="30"/>
  <c r="M36" i="30"/>
  <c r="M37" i="30"/>
  <c r="M38" i="30"/>
  <c r="M39" i="30"/>
  <c r="M40" i="30"/>
  <c r="M41" i="30"/>
  <c r="M42" i="30"/>
  <c r="M43" i="30"/>
  <c r="M44" i="30"/>
  <c r="M45" i="30"/>
  <c r="M46" i="30"/>
  <c r="M47" i="30"/>
  <c r="M48" i="30"/>
  <c r="M49" i="30"/>
  <c r="M50" i="30"/>
  <c r="M51" i="30"/>
  <c r="M52" i="30"/>
  <c r="M53" i="30"/>
  <c r="M54" i="30"/>
  <c r="M55" i="30"/>
  <c r="M56" i="30"/>
  <c r="M57" i="30"/>
  <c r="M58" i="30"/>
  <c r="M59" i="30"/>
  <c r="M60" i="30"/>
  <c r="M61" i="30"/>
  <c r="M62" i="30"/>
  <c r="M63" i="30"/>
  <c r="M64" i="30"/>
  <c r="M65" i="30"/>
  <c r="M66" i="30"/>
  <c r="M67" i="30"/>
  <c r="M68" i="30"/>
  <c r="M69" i="30"/>
  <c r="M70" i="30"/>
  <c r="M71" i="30"/>
  <c r="M72" i="30"/>
  <c r="M73" i="30"/>
  <c r="M74" i="30"/>
  <c r="M75" i="30"/>
  <c r="M76" i="30"/>
  <c r="M77" i="30"/>
  <c r="M78" i="30"/>
  <c r="M79" i="30"/>
  <c r="M80" i="30"/>
  <c r="M81" i="30"/>
  <c r="M82" i="30"/>
  <c r="M83" i="30"/>
  <c r="M84" i="30"/>
  <c r="M85" i="30"/>
  <c r="M86" i="30"/>
  <c r="M87" i="30"/>
  <c r="M88" i="30"/>
  <c r="M89" i="30"/>
  <c r="M90" i="30"/>
  <c r="M91" i="30"/>
  <c r="M92" i="30"/>
  <c r="M93" i="30"/>
  <c r="M94" i="30"/>
  <c r="M95" i="30"/>
  <c r="M96" i="30"/>
  <c r="M97" i="30"/>
  <c r="M98" i="30"/>
  <c r="M99" i="30"/>
  <c r="M100" i="30"/>
  <c r="M101" i="30"/>
  <c r="M102" i="30"/>
  <c r="M103" i="30"/>
  <c r="M104" i="30"/>
  <c r="M105" i="30"/>
  <c r="M106" i="30"/>
  <c r="M107" i="30"/>
  <c r="M108" i="30"/>
  <c r="M109" i="30"/>
  <c r="M110" i="30"/>
  <c r="M111" i="30"/>
  <c r="M112" i="30"/>
  <c r="M113" i="30"/>
  <c r="M114" i="30"/>
  <c r="M115" i="30"/>
  <c r="M116" i="30"/>
  <c r="M117" i="30"/>
  <c r="M118" i="30"/>
  <c r="M119" i="30"/>
  <c r="M120" i="30"/>
  <c r="M121" i="30"/>
  <c r="M122" i="30"/>
  <c r="M123" i="30"/>
  <c r="M124" i="30"/>
  <c r="M125" i="30"/>
  <c r="M126" i="30"/>
  <c r="M127" i="30"/>
  <c r="M128" i="30"/>
  <c r="M129" i="30"/>
  <c r="M130" i="30"/>
  <c r="M131" i="30"/>
  <c r="M132" i="30"/>
  <c r="H6" i="42" l="1" a="1"/>
  <c r="H6" i="42" s="1"/>
  <c r="I6" i="42" l="1"/>
  <c r="Q8" i="18" l="1"/>
  <c r="T8" i="18" s="1"/>
  <c r="Q7" i="18"/>
  <c r="K34" i="41" l="1" a="1"/>
  <c r="K34" i="41" s="1"/>
  <c r="K35" i="41" a="1"/>
  <c r="K35" i="41" s="1"/>
  <c r="K36" i="41" a="1"/>
  <c r="K36" i="41" s="1"/>
  <c r="K37" i="41" a="1"/>
  <c r="K37" i="41" s="1"/>
  <c r="K38" i="41" a="1"/>
  <c r="K38" i="41" s="1"/>
  <c r="K39" i="41" a="1"/>
  <c r="K39" i="41" s="1"/>
  <c r="K40" i="41" a="1"/>
  <c r="K40" i="41" s="1"/>
  <c r="K41" i="41" a="1"/>
  <c r="K41" i="41" s="1"/>
  <c r="K42" i="41" a="1"/>
  <c r="K42" i="41" s="1"/>
  <c r="K43" i="41" a="1"/>
  <c r="K43" i="41" s="1"/>
  <c r="K44" i="41" a="1"/>
  <c r="K44" i="41" s="1"/>
  <c r="K45" i="41" a="1"/>
  <c r="K45" i="41" s="1"/>
  <c r="K46" i="41" a="1"/>
  <c r="K46" i="41" s="1"/>
  <c r="K47" i="41" a="1"/>
  <c r="K47" i="41" s="1"/>
  <c r="K48" i="41" a="1"/>
  <c r="K48" i="41" s="1"/>
  <c r="K49" i="41" a="1"/>
  <c r="K49" i="41" s="1"/>
  <c r="K50" i="41" a="1"/>
  <c r="K50" i="41" s="1"/>
  <c r="K51" i="41" a="1"/>
  <c r="K51" i="41" s="1"/>
  <c r="K52" i="41" a="1"/>
  <c r="K52" i="41" s="1"/>
  <c r="K53" i="41" a="1"/>
  <c r="K53" i="41" s="1"/>
  <c r="K54" i="41" a="1"/>
  <c r="K54" i="41" s="1"/>
  <c r="K55" i="41" a="1"/>
  <c r="K55" i="41" s="1"/>
  <c r="K56" i="41" a="1"/>
  <c r="K56" i="41" s="1"/>
  <c r="K57" i="41" a="1"/>
  <c r="K57" i="41" s="1"/>
  <c r="K58" i="41" a="1"/>
  <c r="K58" i="41" s="1"/>
  <c r="K59" i="41" a="1"/>
  <c r="K59" i="41" s="1"/>
  <c r="K60" i="41" a="1"/>
  <c r="K60" i="41" s="1"/>
  <c r="K61" i="41" a="1"/>
  <c r="K61" i="41" s="1"/>
  <c r="K62" i="41" a="1"/>
  <c r="K62" i="41" s="1"/>
  <c r="K33" i="41" a="1"/>
  <c r="K33" i="41" s="1"/>
  <c r="C33" i="41" a="1"/>
  <c r="C33" i="41" s="1"/>
  <c r="C34" i="41" a="1"/>
  <c r="C34" i="41" s="1"/>
  <c r="C35" i="41" a="1"/>
  <c r="C35" i="41" s="1"/>
  <c r="C36" i="41" a="1"/>
  <c r="C36" i="41" s="1"/>
  <c r="C37" i="41" a="1"/>
  <c r="C37" i="41" s="1"/>
  <c r="C38" i="41" a="1"/>
  <c r="C38" i="41" s="1"/>
  <c r="C39" i="41" a="1"/>
  <c r="C39" i="41" s="1"/>
  <c r="C40" i="41" a="1"/>
  <c r="C40" i="41" s="1"/>
  <c r="C41" i="41" a="1"/>
  <c r="C41" i="41" s="1"/>
  <c r="C42" i="41" a="1"/>
  <c r="C42" i="41" s="1"/>
  <c r="C43" i="41" a="1"/>
  <c r="C43" i="41" s="1"/>
  <c r="C44" i="41" a="1"/>
  <c r="C44" i="41" s="1"/>
  <c r="C45" i="41" a="1"/>
  <c r="C45" i="41" s="1"/>
  <c r="C46" i="41" a="1"/>
  <c r="C46" i="41" s="1"/>
  <c r="C47" i="41" a="1"/>
  <c r="C47" i="41" s="1"/>
  <c r="C48" i="41" a="1"/>
  <c r="C48" i="41" s="1"/>
  <c r="B34" i="41" a="1"/>
  <c r="B34" i="41" s="1"/>
  <c r="B35" i="41" a="1"/>
  <c r="B35" i="41" s="1"/>
  <c r="B36" i="41" a="1"/>
  <c r="B36" i="41" s="1"/>
  <c r="B37" i="41" a="1"/>
  <c r="B37" i="41" s="1"/>
  <c r="B38" i="41" a="1"/>
  <c r="B38" i="41" s="1"/>
  <c r="B39" i="41" a="1"/>
  <c r="B39" i="41" s="1"/>
  <c r="B40" i="41" a="1"/>
  <c r="B40" i="41" s="1"/>
  <c r="B41" i="41" a="1"/>
  <c r="B41" i="41" s="1"/>
  <c r="B42" i="41" a="1"/>
  <c r="B42" i="41" s="1"/>
  <c r="B43" i="41" a="1"/>
  <c r="B43" i="41" s="1"/>
  <c r="B44" i="41" a="1"/>
  <c r="B44" i="41" s="1"/>
  <c r="B45" i="41" a="1"/>
  <c r="B45" i="41" s="1"/>
  <c r="B46" i="41" a="1"/>
  <c r="B46" i="41" s="1"/>
  <c r="B47" i="41" a="1"/>
  <c r="B47" i="41" s="1"/>
  <c r="B48" i="41" a="1"/>
  <c r="B48" i="41" s="1"/>
  <c r="B49" i="41" a="1"/>
  <c r="B49" i="41" s="1"/>
  <c r="B50" i="41" a="1"/>
  <c r="B50" i="41" s="1"/>
  <c r="B51" i="41" a="1"/>
  <c r="B51" i="41" s="1"/>
  <c r="B52" i="41" a="1"/>
  <c r="B52" i="41" s="1"/>
  <c r="B53" i="41" a="1"/>
  <c r="B53" i="41" s="1"/>
  <c r="B54" i="41" a="1"/>
  <c r="B54" i="41" s="1"/>
  <c r="B55" i="41" a="1"/>
  <c r="B55" i="41" s="1"/>
  <c r="B56" i="41" a="1"/>
  <c r="B56" i="41" s="1"/>
  <c r="B57" i="41" a="1"/>
  <c r="B57" i="41" s="1"/>
  <c r="B58" i="41" a="1"/>
  <c r="B58" i="41" s="1"/>
  <c r="B59" i="41" a="1"/>
  <c r="B59" i="41" s="1"/>
  <c r="B60" i="41" a="1"/>
  <c r="B60" i="41" s="1"/>
  <c r="B61" i="41" a="1"/>
  <c r="B61" i="41" s="1"/>
  <c r="B62" i="41" a="1"/>
  <c r="B62" i="41" s="1"/>
  <c r="B33" i="41" a="1"/>
  <c r="B33" i="41" s="1"/>
  <c r="C49" i="41" a="1"/>
  <c r="C49" i="41" s="1"/>
  <c r="C50" i="41" a="1"/>
  <c r="C50" i="41" s="1"/>
  <c r="C51" i="41" a="1"/>
  <c r="C51" i="41" s="1"/>
  <c r="C52" i="41" a="1"/>
  <c r="C52" i="41" s="1"/>
  <c r="C53" i="41" a="1"/>
  <c r="C53" i="41" s="1"/>
  <c r="C54" i="41" a="1"/>
  <c r="C54" i="41" s="1"/>
  <c r="C55" i="41" a="1"/>
  <c r="C55" i="41" s="1"/>
  <c r="C56" i="41" a="1"/>
  <c r="C56" i="41" s="1"/>
  <c r="C57" i="41" a="1"/>
  <c r="C57" i="41" s="1"/>
  <c r="C58" i="41" a="1"/>
  <c r="C58" i="41" s="1"/>
  <c r="C59" i="41" a="1"/>
  <c r="C59" i="41" s="1"/>
  <c r="C60" i="41" a="1"/>
  <c r="C60" i="41" s="1"/>
  <c r="C61" i="41" a="1"/>
  <c r="C61" i="41" s="1"/>
  <c r="C62" i="41" a="1"/>
  <c r="C62" i="41" s="1"/>
  <c r="M34" i="41" l="1"/>
  <c r="M35" i="41"/>
  <c r="M36" i="41"/>
  <c r="M37" i="41"/>
  <c r="M38" i="41"/>
  <c r="M39" i="41"/>
  <c r="M40" i="41"/>
  <c r="M41" i="41"/>
  <c r="M42" i="41"/>
  <c r="M43" i="41"/>
  <c r="M44" i="41"/>
  <c r="M45" i="41"/>
  <c r="M46" i="41"/>
  <c r="M47" i="41"/>
  <c r="M48" i="41"/>
  <c r="M49" i="41"/>
  <c r="M50" i="41"/>
  <c r="M51" i="41"/>
  <c r="M52" i="41"/>
  <c r="M53" i="41"/>
  <c r="M54" i="41"/>
  <c r="M55" i="41"/>
  <c r="M56" i="41"/>
  <c r="M57" i="41"/>
  <c r="M58" i="41"/>
  <c r="M59" i="41"/>
  <c r="M60" i="41"/>
  <c r="M61" i="41"/>
  <c r="M62" i="41"/>
  <c r="M33" i="41" l="1"/>
  <c r="A34" i="41" l="1"/>
  <c r="A35" i="41"/>
  <c r="A36" i="41"/>
  <c r="A37" i="41"/>
  <c r="A38" i="41"/>
  <c r="A39" i="41"/>
  <c r="A41" i="41"/>
  <c r="A42" i="41"/>
  <c r="A43" i="41"/>
  <c r="A44" i="41"/>
  <c r="A45" i="41"/>
  <c r="A46" i="41"/>
  <c r="A47" i="41"/>
  <c r="A48" i="41"/>
  <c r="A49" i="41"/>
  <c r="A50" i="41"/>
  <c r="A51" i="41"/>
  <c r="A52" i="41"/>
  <c r="A53" i="41"/>
  <c r="A54" i="41"/>
  <c r="A55" i="41"/>
  <c r="A56" i="41"/>
  <c r="A57" i="41"/>
  <c r="A58" i="41"/>
  <c r="A59" i="41"/>
  <c r="A60" i="41"/>
  <c r="A61" i="41"/>
  <c r="A62" i="41"/>
  <c r="A33" i="41"/>
  <c r="C8" i="40" l="1"/>
  <c r="D8" i="40"/>
  <c r="E8" i="40"/>
  <c r="N56" i="41" l="1"/>
  <c r="N57" i="41"/>
  <c r="N58" i="41"/>
  <c r="N59" i="41"/>
  <c r="N60" i="41"/>
  <c r="N61" i="41"/>
  <c r="N62" i="41"/>
  <c r="I75" i="41"/>
  <c r="N55" i="41"/>
  <c r="N54" i="41"/>
  <c r="N53" i="41"/>
  <c r="N52" i="41"/>
  <c r="N51" i="41"/>
  <c r="N50" i="41"/>
  <c r="N49" i="41"/>
  <c r="N48" i="41"/>
  <c r="N47" i="41"/>
  <c r="N46" i="41"/>
  <c r="N45" i="41"/>
  <c r="N44" i="41"/>
  <c r="N43" i="41"/>
  <c r="N42" i="41"/>
  <c r="N41" i="41"/>
  <c r="N40" i="41"/>
  <c r="N39" i="41"/>
  <c r="N38" i="41"/>
  <c r="N37" i="41"/>
  <c r="N36" i="41"/>
  <c r="N35" i="41"/>
  <c r="N34" i="41"/>
  <c r="N33" i="41"/>
  <c r="M21" i="41"/>
  <c r="M20" i="41"/>
  <c r="N13" i="41"/>
  <c r="N11" i="41"/>
  <c r="A40" i="41" l="1"/>
  <c r="F75" i="41"/>
  <c r="E75" i="41"/>
  <c r="M63" i="41"/>
  <c r="C8" i="38"/>
  <c r="D8" i="38"/>
  <c r="E8" i="38"/>
  <c r="E8" i="39"/>
  <c r="D8" i="39"/>
  <c r="C8" i="39"/>
  <c r="T7" i="18" l="1"/>
  <c r="E8" i="37"/>
  <c r="D8" i="37"/>
  <c r="C8" i="37"/>
  <c r="C8" i="36"/>
  <c r="D8" i="36"/>
  <c r="E8" i="36"/>
  <c r="E8" i="35"/>
  <c r="D8" i="35"/>
  <c r="C8" i="35"/>
  <c r="E8" i="34"/>
  <c r="D8" i="34"/>
  <c r="C8" i="34"/>
  <c r="E26" i="33"/>
  <c r="D26" i="33"/>
  <c r="C26" i="33"/>
  <c r="E25" i="33"/>
  <c r="D25" i="33"/>
  <c r="C25" i="33"/>
  <c r="E24" i="33"/>
  <c r="D24" i="33"/>
  <c r="C24" i="33"/>
  <c r="E23" i="33"/>
  <c r="D23" i="33"/>
  <c r="C23" i="33"/>
  <c r="E22" i="33"/>
  <c r="D22" i="33"/>
  <c r="C22" i="33"/>
  <c r="E21" i="33"/>
  <c r="D21" i="33"/>
  <c r="C21" i="33"/>
  <c r="E20" i="33"/>
  <c r="D20" i="33"/>
  <c r="C20" i="33"/>
  <c r="E19" i="33"/>
  <c r="D19" i="33"/>
  <c r="C19" i="33"/>
  <c r="E18" i="33"/>
  <c r="D18" i="33"/>
  <c r="C18" i="33"/>
  <c r="E17" i="33"/>
  <c r="D17" i="33"/>
  <c r="C17" i="33"/>
  <c r="E16" i="33"/>
  <c r="D16" i="33"/>
  <c r="C16" i="33"/>
  <c r="E15" i="33"/>
  <c r="D15" i="33"/>
  <c r="C15" i="33"/>
  <c r="E14" i="33"/>
  <c r="D14" i="33"/>
  <c r="C14" i="33"/>
  <c r="E13" i="33"/>
  <c r="D13" i="33"/>
  <c r="C13" i="33"/>
  <c r="E12" i="33"/>
  <c r="D12" i="33"/>
  <c r="C12" i="33"/>
  <c r="E11" i="33"/>
  <c r="D11" i="33"/>
  <c r="C11" i="33"/>
  <c r="E10" i="33"/>
  <c r="D10" i="33"/>
  <c r="C10" i="33"/>
  <c r="E9" i="33"/>
  <c r="D9" i="33"/>
  <c r="C9" i="33"/>
  <c r="E8" i="33"/>
  <c r="D8" i="33"/>
  <c r="C8" i="33"/>
  <c r="E43" i="32"/>
  <c r="D43" i="32"/>
  <c r="C43" i="32"/>
  <c r="E42" i="32"/>
  <c r="D42" i="32"/>
  <c r="C42" i="32"/>
  <c r="E41" i="32"/>
  <c r="D41" i="32"/>
  <c r="C41" i="32"/>
  <c r="E40" i="32"/>
  <c r="D40" i="32"/>
  <c r="C40" i="32"/>
  <c r="E39" i="32"/>
  <c r="D39" i="32"/>
  <c r="C39" i="32"/>
  <c r="E38" i="32"/>
  <c r="D38" i="32"/>
  <c r="C38" i="32"/>
  <c r="E37" i="32"/>
  <c r="D37" i="32"/>
  <c r="C37" i="32"/>
  <c r="E36" i="32"/>
  <c r="D36" i="32"/>
  <c r="C36" i="32"/>
  <c r="E35" i="32"/>
  <c r="D35" i="32"/>
  <c r="C35" i="32"/>
  <c r="E34" i="32"/>
  <c r="D34" i="32"/>
  <c r="C34" i="32"/>
  <c r="E33" i="32"/>
  <c r="D33" i="32"/>
  <c r="C33" i="32"/>
  <c r="E32" i="32"/>
  <c r="D32" i="32"/>
  <c r="C32" i="32"/>
  <c r="E31" i="32"/>
  <c r="D31" i="32"/>
  <c r="C31" i="32"/>
  <c r="E30" i="32"/>
  <c r="D30" i="32"/>
  <c r="C30" i="32"/>
  <c r="E29" i="32"/>
  <c r="D29" i="32"/>
  <c r="C29" i="32"/>
  <c r="E28" i="32"/>
  <c r="D28" i="32"/>
  <c r="C28" i="32"/>
  <c r="E27" i="32"/>
  <c r="D27" i="32"/>
  <c r="C27" i="32"/>
  <c r="E26" i="32"/>
  <c r="D26" i="32"/>
  <c r="C26" i="32"/>
  <c r="E25" i="32"/>
  <c r="D25" i="32"/>
  <c r="C25" i="32"/>
  <c r="E24" i="32"/>
  <c r="D24" i="32"/>
  <c r="C24" i="32"/>
  <c r="E23" i="32"/>
  <c r="D23" i="32"/>
  <c r="C23" i="32"/>
  <c r="E22" i="32"/>
  <c r="D22" i="32"/>
  <c r="C22" i="32"/>
  <c r="E21" i="32"/>
  <c r="D21" i="32"/>
  <c r="C21" i="32"/>
  <c r="E20" i="32"/>
  <c r="D20" i="32"/>
  <c r="C20" i="32"/>
  <c r="E19" i="32"/>
  <c r="D19" i="32"/>
  <c r="C19" i="32"/>
  <c r="E18" i="32"/>
  <c r="D18" i="32"/>
  <c r="C18" i="32"/>
  <c r="E17" i="32"/>
  <c r="D17" i="32"/>
  <c r="C17" i="32"/>
  <c r="E16" i="32"/>
  <c r="D16" i="32"/>
  <c r="C16" i="32"/>
  <c r="E15" i="32"/>
  <c r="D15" i="32"/>
  <c r="C15" i="32"/>
  <c r="E14" i="32"/>
  <c r="D14" i="32"/>
  <c r="C14" i="32"/>
  <c r="E13" i="32"/>
  <c r="D13" i="32"/>
  <c r="C13" i="32"/>
  <c r="E12" i="32"/>
  <c r="D12" i="32"/>
  <c r="C12" i="32"/>
  <c r="E11" i="32"/>
  <c r="D11" i="32"/>
  <c r="C11" i="32"/>
  <c r="E10" i="32"/>
  <c r="D10" i="32"/>
  <c r="C10" i="32"/>
  <c r="E9" i="32"/>
  <c r="D9" i="32"/>
  <c r="C9" i="32"/>
  <c r="E8" i="32"/>
  <c r="D8" i="32"/>
  <c r="C8" i="32"/>
  <c r="E62" i="31"/>
  <c r="D62" i="31"/>
  <c r="C62" i="31"/>
  <c r="E61" i="31"/>
  <c r="D61" i="31"/>
  <c r="C61" i="31"/>
  <c r="E60" i="31"/>
  <c r="D60" i="31"/>
  <c r="C60" i="31"/>
  <c r="E59" i="31"/>
  <c r="D59" i="31"/>
  <c r="C59" i="31"/>
  <c r="E58" i="31"/>
  <c r="D58" i="31"/>
  <c r="C58" i="31"/>
  <c r="E57" i="31"/>
  <c r="D57" i="31"/>
  <c r="C57" i="31"/>
  <c r="E56" i="31"/>
  <c r="D56" i="31"/>
  <c r="C56" i="31"/>
  <c r="E55" i="31"/>
  <c r="D55" i="31"/>
  <c r="C55" i="31"/>
  <c r="E54" i="31"/>
  <c r="D54" i="31"/>
  <c r="C54" i="31"/>
  <c r="E53" i="31"/>
  <c r="D53" i="31"/>
  <c r="C53" i="31"/>
  <c r="E52" i="31"/>
  <c r="D52" i="31"/>
  <c r="C52" i="31"/>
  <c r="E51" i="31"/>
  <c r="D51" i="31"/>
  <c r="C51" i="31"/>
  <c r="E50" i="31"/>
  <c r="D50" i="31"/>
  <c r="C50" i="31"/>
  <c r="E49" i="31"/>
  <c r="D49" i="31"/>
  <c r="C49" i="31"/>
  <c r="E48" i="31"/>
  <c r="D48" i="31"/>
  <c r="C48" i="31"/>
  <c r="E47" i="31"/>
  <c r="D47" i="31"/>
  <c r="C47" i="31"/>
  <c r="E46" i="31"/>
  <c r="D46" i="31"/>
  <c r="C46" i="31"/>
  <c r="E45" i="31"/>
  <c r="D45" i="31"/>
  <c r="C45" i="31"/>
  <c r="E44" i="31"/>
  <c r="D44" i="31"/>
  <c r="C44" i="31"/>
  <c r="E43" i="31"/>
  <c r="D43" i="31"/>
  <c r="C43" i="31"/>
  <c r="E42" i="31"/>
  <c r="D42" i="31"/>
  <c r="C42" i="31"/>
  <c r="E41" i="31"/>
  <c r="D41" i="31"/>
  <c r="C41" i="31"/>
  <c r="E40" i="31"/>
  <c r="D40" i="31"/>
  <c r="C40" i="31"/>
  <c r="E39" i="31"/>
  <c r="D39" i="31"/>
  <c r="C39" i="31"/>
  <c r="E38" i="31"/>
  <c r="D38" i="31"/>
  <c r="C38" i="31"/>
  <c r="E37" i="31"/>
  <c r="D37" i="31"/>
  <c r="C37" i="31"/>
  <c r="E36" i="31"/>
  <c r="D36" i="31"/>
  <c r="C36" i="31"/>
  <c r="E35" i="31"/>
  <c r="D35" i="31"/>
  <c r="C35" i="31"/>
  <c r="E34" i="31"/>
  <c r="D34" i="31"/>
  <c r="C34" i="31"/>
  <c r="E33" i="31"/>
  <c r="D33" i="31"/>
  <c r="C33" i="31"/>
  <c r="E32" i="31"/>
  <c r="D32" i="31"/>
  <c r="C32" i="31"/>
  <c r="E31" i="31"/>
  <c r="D31" i="31"/>
  <c r="C31" i="31"/>
  <c r="E30" i="31"/>
  <c r="D30" i="31"/>
  <c r="C30" i="31"/>
  <c r="E29" i="31"/>
  <c r="D29" i="31"/>
  <c r="C29" i="31"/>
  <c r="E28" i="31"/>
  <c r="D28" i="31"/>
  <c r="C28" i="31"/>
  <c r="E27" i="31"/>
  <c r="D27" i="31"/>
  <c r="C27" i="31"/>
  <c r="E26" i="31"/>
  <c r="D26" i="31"/>
  <c r="C26" i="31"/>
  <c r="E25" i="31"/>
  <c r="D25" i="31"/>
  <c r="C25" i="31"/>
  <c r="E24" i="31"/>
  <c r="D24" i="31"/>
  <c r="C24" i="31"/>
  <c r="E23" i="31"/>
  <c r="D23" i="31"/>
  <c r="C23" i="31"/>
  <c r="E22" i="31"/>
  <c r="D22" i="31"/>
  <c r="C22" i="31"/>
  <c r="E21" i="31"/>
  <c r="D21" i="31"/>
  <c r="C21" i="31"/>
  <c r="E20" i="31"/>
  <c r="D20" i="31"/>
  <c r="C20" i="31"/>
  <c r="E19" i="31"/>
  <c r="D19" i="31"/>
  <c r="C19" i="31"/>
  <c r="E18" i="31"/>
  <c r="D18" i="31"/>
  <c r="C18" i="31"/>
  <c r="E17" i="31"/>
  <c r="D17" i="31"/>
  <c r="C17" i="31"/>
  <c r="E16" i="31"/>
  <c r="D16" i="31"/>
  <c r="C16" i="31"/>
  <c r="E15" i="31"/>
  <c r="D15" i="31"/>
  <c r="C15" i="31"/>
  <c r="E14" i="31"/>
  <c r="D14" i="31"/>
  <c r="C14" i="31"/>
  <c r="E13" i="31"/>
  <c r="D13" i="31"/>
  <c r="C13" i="31"/>
  <c r="E12" i="31"/>
  <c r="D12" i="31"/>
  <c r="C12" i="31"/>
  <c r="E11" i="31"/>
  <c r="D11" i="31"/>
  <c r="C11" i="31"/>
  <c r="E10" i="31"/>
  <c r="D10" i="31"/>
  <c r="C10" i="31"/>
  <c r="E9" i="31"/>
  <c r="D9" i="31"/>
  <c r="C9" i="31"/>
  <c r="E8" i="31"/>
  <c r="D8" i="31"/>
  <c r="C8" i="31"/>
  <c r="E132" i="30"/>
  <c r="D132" i="30"/>
  <c r="C132" i="30"/>
  <c r="E131" i="30"/>
  <c r="D131" i="30"/>
  <c r="C131" i="30"/>
  <c r="E130" i="30"/>
  <c r="D130" i="30"/>
  <c r="C130" i="30"/>
  <c r="E129" i="30"/>
  <c r="D129" i="30"/>
  <c r="C129" i="30"/>
  <c r="E128" i="30"/>
  <c r="D128" i="30"/>
  <c r="C128" i="30"/>
  <c r="E127" i="30"/>
  <c r="D127" i="30"/>
  <c r="C127" i="30"/>
  <c r="E126" i="30"/>
  <c r="D126" i="30"/>
  <c r="C126" i="30"/>
  <c r="E125" i="30"/>
  <c r="D125" i="30"/>
  <c r="C125" i="30"/>
  <c r="E124" i="30"/>
  <c r="D124" i="30"/>
  <c r="C124" i="30"/>
  <c r="E123" i="30"/>
  <c r="D123" i="30"/>
  <c r="C123" i="30"/>
  <c r="E122" i="30"/>
  <c r="D122" i="30"/>
  <c r="C122" i="30"/>
  <c r="E121" i="30"/>
  <c r="D121" i="30"/>
  <c r="C121" i="30"/>
  <c r="E120" i="30"/>
  <c r="D120" i="30"/>
  <c r="C120" i="30"/>
  <c r="E119" i="30"/>
  <c r="D119" i="30"/>
  <c r="C119" i="30"/>
  <c r="E118" i="30"/>
  <c r="D118" i="30"/>
  <c r="C118" i="30"/>
  <c r="E117" i="30"/>
  <c r="D117" i="30"/>
  <c r="C117" i="30"/>
  <c r="E116" i="30"/>
  <c r="D116" i="30"/>
  <c r="C116" i="30"/>
  <c r="E115" i="30"/>
  <c r="D115" i="30"/>
  <c r="C115" i="30"/>
  <c r="E114" i="30"/>
  <c r="D114" i="30"/>
  <c r="C114" i="30"/>
  <c r="E113" i="30"/>
  <c r="D113" i="30"/>
  <c r="C113" i="30"/>
  <c r="E112" i="30"/>
  <c r="D112" i="30"/>
  <c r="C112" i="30"/>
  <c r="E111" i="30"/>
  <c r="D111" i="30"/>
  <c r="C111" i="30"/>
  <c r="E110" i="30"/>
  <c r="D110" i="30"/>
  <c r="C110" i="30"/>
  <c r="E109" i="30"/>
  <c r="D109" i="30"/>
  <c r="C109" i="30"/>
  <c r="E108" i="30"/>
  <c r="D108" i="30"/>
  <c r="C108" i="30"/>
  <c r="E107" i="30"/>
  <c r="D107" i="30"/>
  <c r="C107" i="30"/>
  <c r="E106" i="30"/>
  <c r="D106" i="30"/>
  <c r="C106" i="30"/>
  <c r="E105" i="30"/>
  <c r="D105" i="30"/>
  <c r="C105" i="30"/>
  <c r="E104" i="30"/>
  <c r="D104" i="30"/>
  <c r="C104" i="30"/>
  <c r="E103" i="30"/>
  <c r="D103" i="30"/>
  <c r="C103" i="30"/>
  <c r="E102" i="30"/>
  <c r="D102" i="30"/>
  <c r="C102" i="30"/>
  <c r="E101" i="30"/>
  <c r="D101" i="30"/>
  <c r="C101" i="30"/>
  <c r="E100" i="30"/>
  <c r="D100" i="30"/>
  <c r="C100" i="30"/>
  <c r="E99" i="30"/>
  <c r="D99" i="30"/>
  <c r="C99" i="30"/>
  <c r="E98" i="30"/>
  <c r="D98" i="30"/>
  <c r="C98" i="30"/>
  <c r="E97" i="30"/>
  <c r="D97" i="30"/>
  <c r="C97" i="30"/>
  <c r="E96" i="30"/>
  <c r="D96" i="30"/>
  <c r="C96" i="30"/>
  <c r="E95" i="30"/>
  <c r="D95" i="30"/>
  <c r="C95" i="30"/>
  <c r="E94" i="30"/>
  <c r="D94" i="30"/>
  <c r="C94" i="30"/>
  <c r="E93" i="30"/>
  <c r="D93" i="30"/>
  <c r="C93" i="30"/>
  <c r="E92" i="30"/>
  <c r="D92" i="30"/>
  <c r="C92" i="30"/>
  <c r="E91" i="30"/>
  <c r="D91" i="30"/>
  <c r="C91" i="30"/>
  <c r="E90" i="30"/>
  <c r="D90" i="30"/>
  <c r="C90" i="30"/>
  <c r="E89" i="30"/>
  <c r="D89" i="30"/>
  <c r="C89" i="30"/>
  <c r="E88" i="30"/>
  <c r="D88" i="30"/>
  <c r="C88" i="30"/>
  <c r="E87" i="30"/>
  <c r="D87" i="30"/>
  <c r="C87" i="30"/>
  <c r="E86" i="30"/>
  <c r="D86" i="30"/>
  <c r="C86" i="30"/>
  <c r="E85" i="30"/>
  <c r="D85" i="30"/>
  <c r="C85" i="30"/>
  <c r="E84" i="30"/>
  <c r="D84" i="30"/>
  <c r="C84" i="30"/>
  <c r="E83" i="30"/>
  <c r="D83" i="30"/>
  <c r="C83" i="30"/>
  <c r="E82" i="30"/>
  <c r="D82" i="30"/>
  <c r="C82" i="30"/>
  <c r="E81" i="30"/>
  <c r="D81" i="30"/>
  <c r="C81" i="30"/>
  <c r="E80" i="30"/>
  <c r="D80" i="30"/>
  <c r="C80" i="30"/>
  <c r="E79" i="30"/>
  <c r="D79" i="30"/>
  <c r="C79" i="30"/>
  <c r="E78" i="30"/>
  <c r="D78" i="30"/>
  <c r="C78" i="30"/>
  <c r="E77" i="30"/>
  <c r="D77" i="30"/>
  <c r="C77" i="30"/>
  <c r="E76" i="30"/>
  <c r="D76" i="30"/>
  <c r="C76" i="30"/>
  <c r="E75" i="30"/>
  <c r="D75" i="30"/>
  <c r="C75" i="30"/>
  <c r="E74" i="30"/>
  <c r="D74" i="30"/>
  <c r="C74" i="30"/>
  <c r="E73" i="30"/>
  <c r="D73" i="30"/>
  <c r="C73" i="30"/>
  <c r="E72" i="30"/>
  <c r="D72" i="30"/>
  <c r="C72" i="30"/>
  <c r="E71" i="30"/>
  <c r="D71" i="30"/>
  <c r="C71" i="30"/>
  <c r="E70" i="30"/>
  <c r="D70" i="30"/>
  <c r="C70" i="30"/>
  <c r="E69" i="30"/>
  <c r="D69" i="30"/>
  <c r="C69" i="30"/>
  <c r="E68" i="30"/>
  <c r="D68" i="30"/>
  <c r="C68" i="30"/>
  <c r="E67" i="30"/>
  <c r="D67" i="30"/>
  <c r="C67" i="30"/>
  <c r="E66" i="30"/>
  <c r="D66" i="30"/>
  <c r="C66" i="30"/>
  <c r="E65" i="30"/>
  <c r="D65" i="30"/>
  <c r="C65" i="30"/>
  <c r="E64" i="30"/>
  <c r="D64" i="30"/>
  <c r="C64" i="30"/>
  <c r="E63" i="30"/>
  <c r="D63" i="30"/>
  <c r="C63" i="30"/>
  <c r="E62" i="30"/>
  <c r="D62" i="30"/>
  <c r="C62" i="30"/>
  <c r="E61" i="30"/>
  <c r="D61" i="30"/>
  <c r="C61" i="30"/>
  <c r="E60" i="30"/>
  <c r="D60" i="30"/>
  <c r="C60" i="30"/>
  <c r="E59" i="30"/>
  <c r="D59" i="30"/>
  <c r="C59" i="30"/>
  <c r="E58" i="30"/>
  <c r="D58" i="30"/>
  <c r="C58" i="30"/>
  <c r="E57" i="30"/>
  <c r="D57" i="30"/>
  <c r="C57" i="30"/>
  <c r="E56" i="30"/>
  <c r="D56" i="30"/>
  <c r="C56" i="30"/>
  <c r="E55" i="30"/>
  <c r="D55" i="30"/>
  <c r="C55" i="30"/>
  <c r="E54" i="30"/>
  <c r="D54" i="30"/>
  <c r="C54" i="30"/>
  <c r="E53" i="30"/>
  <c r="D53" i="30"/>
  <c r="C53" i="30"/>
  <c r="E52" i="30"/>
  <c r="D52" i="30"/>
  <c r="C52" i="30"/>
  <c r="E51" i="30"/>
  <c r="D51" i="30"/>
  <c r="C51" i="30"/>
  <c r="E50" i="30"/>
  <c r="D50" i="30"/>
  <c r="C50" i="30"/>
  <c r="E49" i="30"/>
  <c r="D49" i="30"/>
  <c r="C49" i="30"/>
  <c r="E48" i="30"/>
  <c r="D48" i="30"/>
  <c r="C48" i="30"/>
  <c r="E47" i="30"/>
  <c r="D47" i="30"/>
  <c r="C47" i="30"/>
  <c r="E46" i="30"/>
  <c r="D46" i="30"/>
  <c r="C46" i="30"/>
  <c r="E45" i="30"/>
  <c r="D45" i="30"/>
  <c r="C45" i="30"/>
  <c r="E44" i="30"/>
  <c r="D44" i="30"/>
  <c r="C44" i="30"/>
  <c r="E43" i="30"/>
  <c r="D43" i="30"/>
  <c r="C43" i="30"/>
  <c r="E42" i="30"/>
  <c r="D42" i="30"/>
  <c r="C42" i="30"/>
  <c r="E41" i="30"/>
  <c r="D41" i="30"/>
  <c r="C41" i="30"/>
  <c r="E40" i="30"/>
  <c r="D40" i="30"/>
  <c r="C40" i="30"/>
  <c r="E39" i="30"/>
  <c r="D39" i="30"/>
  <c r="C39" i="30"/>
  <c r="E38" i="30"/>
  <c r="D38" i="30"/>
  <c r="C38" i="30"/>
  <c r="E37" i="30"/>
  <c r="D37" i="30"/>
  <c r="C37" i="30"/>
  <c r="E36" i="30"/>
  <c r="D36" i="30"/>
  <c r="C36" i="30"/>
  <c r="E35" i="30"/>
  <c r="D35" i="30"/>
  <c r="C35" i="30"/>
  <c r="E34" i="30"/>
  <c r="D34" i="30"/>
  <c r="C34" i="30"/>
  <c r="E33" i="30"/>
  <c r="D33" i="30"/>
  <c r="C33" i="30"/>
  <c r="E32" i="30"/>
  <c r="D32" i="30"/>
  <c r="C32" i="30"/>
  <c r="E31" i="30"/>
  <c r="D31" i="30"/>
  <c r="C31" i="30"/>
  <c r="E30" i="30"/>
  <c r="D30" i="30"/>
  <c r="C30" i="30"/>
  <c r="E29" i="30"/>
  <c r="D29" i="30"/>
  <c r="C29" i="30"/>
  <c r="E28" i="30"/>
  <c r="D28" i="30"/>
  <c r="C28" i="30"/>
  <c r="E27" i="30"/>
  <c r="D27" i="30"/>
  <c r="C27" i="30"/>
  <c r="E26" i="30"/>
  <c r="D26" i="30"/>
  <c r="C26" i="30"/>
  <c r="E25" i="30"/>
  <c r="D25" i="30"/>
  <c r="C25" i="30"/>
  <c r="E24" i="30"/>
  <c r="D24" i="30"/>
  <c r="C24" i="30"/>
  <c r="E23" i="30"/>
  <c r="D23" i="30"/>
  <c r="C23" i="30"/>
  <c r="E22" i="30"/>
  <c r="D22" i="30"/>
  <c r="C22" i="30"/>
  <c r="E21" i="30"/>
  <c r="D21" i="30"/>
  <c r="C21" i="30"/>
  <c r="E20" i="30"/>
  <c r="D20" i="30"/>
  <c r="C20" i="30"/>
  <c r="E19" i="30"/>
  <c r="D19" i="30"/>
  <c r="C19" i="30"/>
  <c r="E18" i="30"/>
  <c r="D18" i="30"/>
  <c r="C18" i="30"/>
  <c r="E17" i="30"/>
  <c r="D17" i="30"/>
  <c r="C17" i="30"/>
  <c r="E16" i="30"/>
  <c r="D16" i="30"/>
  <c r="C16" i="30"/>
  <c r="E15" i="30"/>
  <c r="D15" i="30"/>
  <c r="C15" i="30"/>
  <c r="E14" i="30"/>
  <c r="D14" i="30"/>
  <c r="C14" i="30"/>
  <c r="E13" i="30"/>
  <c r="D13" i="30"/>
  <c r="C13" i="30"/>
  <c r="E12" i="30"/>
  <c r="D12" i="30"/>
  <c r="C12" i="30"/>
  <c r="E11" i="30"/>
  <c r="D11" i="30"/>
  <c r="C11" i="30"/>
  <c r="E10" i="30"/>
  <c r="D10" i="30"/>
  <c r="C10" i="30"/>
  <c r="E9" i="30"/>
  <c r="D9" i="30"/>
  <c r="C9" i="30"/>
  <c r="E8" i="30"/>
  <c r="D8" i="30"/>
  <c r="C8" i="30"/>
  <c r="E9" i="29"/>
  <c r="D9" i="29"/>
  <c r="C9" i="29"/>
  <c r="E8" i="29"/>
  <c r="D8" i="29"/>
  <c r="C8" i="29"/>
  <c r="T6" i="18" l="1"/>
  <c r="T5" i="18" l="1"/>
  <c r="T4" i="18" l="1"/>
</calcChain>
</file>

<file path=xl/sharedStrings.xml><?xml version="1.0" encoding="utf-8"?>
<sst xmlns="http://schemas.openxmlformats.org/spreadsheetml/2006/main" count="811" uniqueCount="592">
  <si>
    <t xml:space="preserve">NOM DESIGNATION </t>
  </si>
  <si>
    <t>REFERENCE</t>
  </si>
  <si>
    <t>STOCK REEL</t>
  </si>
  <si>
    <t>PRIX U.</t>
  </si>
  <si>
    <t>PRIX T.</t>
  </si>
  <si>
    <t>A COMMANDER</t>
  </si>
  <si>
    <t>BON DE COMMANDE</t>
  </si>
  <si>
    <t xml:space="preserve">AFFAIRE </t>
  </si>
  <si>
    <t>2002-1301</t>
  </si>
  <si>
    <t>2002-1302</t>
  </si>
  <si>
    <t>2002-1307</t>
  </si>
  <si>
    <t>2002-1391</t>
  </si>
  <si>
    <t>2002-2231</t>
  </si>
  <si>
    <t>2002-2237</t>
  </si>
  <si>
    <t>2002-2291</t>
  </si>
  <si>
    <t>2002-402</t>
  </si>
  <si>
    <t>2002-403</t>
  </si>
  <si>
    <t>2002-404</t>
  </si>
  <si>
    <t>2002-405</t>
  </si>
  <si>
    <t>2002-406</t>
  </si>
  <si>
    <t>2002-407</t>
  </si>
  <si>
    <t>2002-408</t>
  </si>
  <si>
    <t>2002-409</t>
  </si>
  <si>
    <t>2002-410</t>
  </si>
  <si>
    <t>BORNE 2 ETAGES / 2,5-4mm² GRIS</t>
  </si>
  <si>
    <t>2004-1301</t>
  </si>
  <si>
    <t>2004-1302</t>
  </si>
  <si>
    <t>2004-1307</t>
  </si>
  <si>
    <t>2004-1391</t>
  </si>
  <si>
    <t>2004-402</t>
  </si>
  <si>
    <t>2004-403</t>
  </si>
  <si>
    <t>2004-404</t>
  </si>
  <si>
    <t>2004-405</t>
  </si>
  <si>
    <t>2004-406</t>
  </si>
  <si>
    <t>2004-407</t>
  </si>
  <si>
    <t>2004-408</t>
  </si>
  <si>
    <t>2004-409</t>
  </si>
  <si>
    <t>2004-410</t>
  </si>
  <si>
    <t>2006-1301</t>
  </si>
  <si>
    <t>2006-1302</t>
  </si>
  <si>
    <t>2006-1307</t>
  </si>
  <si>
    <t>2006-1391</t>
  </si>
  <si>
    <t>2006-402</t>
  </si>
  <si>
    <t>2006-403</t>
  </si>
  <si>
    <t>2006-404</t>
  </si>
  <si>
    <t>2006-405</t>
  </si>
  <si>
    <t>2010-1301</t>
  </si>
  <si>
    <t>2010-1302</t>
  </si>
  <si>
    <t>2010-1307</t>
  </si>
  <si>
    <t>2010-1391</t>
  </si>
  <si>
    <t>2010-402</t>
  </si>
  <si>
    <t>2010-403</t>
  </si>
  <si>
    <t>2010-404</t>
  </si>
  <si>
    <t>2010-405</t>
  </si>
  <si>
    <t>PEIGNE DE PONTAGE 25A ENFICHABLE 2 PÔLES ISOLE</t>
  </si>
  <si>
    <t>PEIGNE DE PONTAGE 25A ENFICHABLE 3 PÔLES ISOLE</t>
  </si>
  <si>
    <t>PEIGNE DE PONTAGE 25A ENFICHABLE 4 PÔLES ISOLE</t>
  </si>
  <si>
    <t>PEIGNE DE PONTAGE 25A ENFICHABLE 5 PÔLES ISOLE</t>
  </si>
  <si>
    <t>PEIGNE DE PONTAGE 25A ENFICHABLE 6 PÔLES ISOLE</t>
  </si>
  <si>
    <t>PEIGNE DE PONTAGE 25A ENFICHABLE 7 PÔLES ISOLE</t>
  </si>
  <si>
    <t>PEIGNE DE PONTAGE 25A ENFICHABLE 8 PÔLES ISOLE</t>
  </si>
  <si>
    <t>PEIGNE DE PONTAGE 25A ENFICHABLE 9 PÔLES ISOLE</t>
  </si>
  <si>
    <t>PEIGNE DE PONTAGE 25A ENFICHABLE 10 PÔLES ISOLE</t>
  </si>
  <si>
    <t>BORNE 2 ETAGES / 2,5-4mm² V/J</t>
  </si>
  <si>
    <t>11345161??</t>
  </si>
  <si>
    <t>H05 V-K 1 mm² ROUGE</t>
  </si>
  <si>
    <t>H05 V-K 1 mm² V/J</t>
  </si>
  <si>
    <t>H05 V-K 1 mm² ORANGE</t>
  </si>
  <si>
    <t>H05 V-K 1 mm² BLANC</t>
  </si>
  <si>
    <t>H05 V-K 1 mm² BLEU FONCE</t>
  </si>
  <si>
    <t>H05 V-K 1 mm² BLEU CL</t>
  </si>
  <si>
    <t>H05 V-K 1 mm² NOIR</t>
  </si>
  <si>
    <t>H05 V-K 1 mm² VIOLET</t>
  </si>
  <si>
    <t>H07 V-K 1,5 mm² BLEU CL</t>
  </si>
  <si>
    <t>H07 V-K 1,5 mm² ROUGE</t>
  </si>
  <si>
    <t>H07 V-K 1,5 mm² V/J</t>
  </si>
  <si>
    <t>H07 V-K 1,5 mm² ORANGE</t>
  </si>
  <si>
    <t>H07 V-K 1,5 mm² NOIR</t>
  </si>
  <si>
    <t>H07 V-K 1,5 mm² BLANC</t>
  </si>
  <si>
    <t>H07 V-K 1,5 mm² BLEU FONCE</t>
  </si>
  <si>
    <t>H07 V-K 1,5 mm² VIOLET</t>
  </si>
  <si>
    <t>H07 V-K 2,5 mm² BLEU CL</t>
  </si>
  <si>
    <t>H07 V-K 2,5 mm² V/J</t>
  </si>
  <si>
    <t>H07 V-K 2,5 mm²  ORANGE</t>
  </si>
  <si>
    <t>H07 V-K 2,5 mm² NOIR</t>
  </si>
  <si>
    <t>H07 V-K 2,5 mm²  VIOLET</t>
  </si>
  <si>
    <t>H07 V-K 2,5 mm² BLEU FONCE</t>
  </si>
  <si>
    <t>H07 V-K 2,5 mm² ROUGE</t>
  </si>
  <si>
    <t>H07 V-K 2,5 mm² BLANC</t>
  </si>
  <si>
    <t>H07 V-K 4 mm² BLEU CL</t>
  </si>
  <si>
    <t>H07 V-K 4 mm² V/J</t>
  </si>
  <si>
    <t>H07 V-K 4 mm² ORANGE</t>
  </si>
  <si>
    <t>H07 V-K 4 mm² NOIR</t>
  </si>
  <si>
    <t>H07 V-K 4 mm² BLEU FONCE</t>
  </si>
  <si>
    <t>H07 V-K 6 mm² BLEU CL</t>
  </si>
  <si>
    <t>H07 V-K 6 mm² V/J</t>
  </si>
  <si>
    <t>H07 V-K 6 mm² NOIR</t>
  </si>
  <si>
    <t>H07 V-K 10 mm² BLEU CL</t>
  </si>
  <si>
    <t>H07 V-K 10 mm² V/J</t>
  </si>
  <si>
    <t>H07 V-K 10 mm² NOIR</t>
  </si>
  <si>
    <t>H07 V-K 16 mm²  NOIR</t>
  </si>
  <si>
    <t>PLANET WATTOHM SEGMA 25x25 LONGUEUR 2M</t>
  </si>
  <si>
    <t>PLANET WATTOHM SEGMA 25x40 LONGUEUR 2M</t>
  </si>
  <si>
    <t>PLANET WATTOHM SEGMA 25x60 LONGUEUR 2M</t>
  </si>
  <si>
    <t>PLANET WATTOHM SEGMA 25x80 LONGUEUR 2M</t>
  </si>
  <si>
    <t>PLANET WATTOHM SEGMA 40x40 LONGUEUR 2M</t>
  </si>
  <si>
    <t>PLANET WATTOHM SEGMA 40x60 LONGUEUR 2M</t>
  </si>
  <si>
    <t>PLANET WATTOHM SEGMA 40x80 LONGUEUR 2M</t>
  </si>
  <si>
    <t>PLANET WATTOHM SEGMA 40x100 LONGUEUR 2M</t>
  </si>
  <si>
    <t>PLANET WATTOHM SEGMA 60x40 LONGUEUR 2M</t>
  </si>
  <si>
    <t>PLANET WATTOHM SEGMA 60x60 LONGUEUR 2M</t>
  </si>
  <si>
    <t>PLANET WATTOHM SEGMA 60x80 LONGUEUR 2M</t>
  </si>
  <si>
    <t>PLANET WATTOHM SEGMA 60x100 LONGUEUR 2M</t>
  </si>
  <si>
    <t>PLANET WATTOHM SEGMA 80x40 LONGUEUR 2M</t>
  </si>
  <si>
    <t>PLANET WATTOHM SEGMA 80x60 LONGUEUR 2M</t>
  </si>
  <si>
    <t>PLANET WATTOHM SEGMA 80x80 LONGUEUR 2M</t>
  </si>
  <si>
    <t>PLANET WATTOHM SEGMA 80x100 LONGUEUR 2M</t>
  </si>
  <si>
    <t>PLANET WATTOHM SEGMA 100x60 LONGUEUR 2M</t>
  </si>
  <si>
    <t>PLANET WATTOHM SEGMA 100x80 LONGUEUR 2M</t>
  </si>
  <si>
    <t>PLANET WATTOHM SEGMA 100x100 LONGUEUR 2M</t>
  </si>
  <si>
    <t xml:space="preserve">0084 4 16 </t>
  </si>
  <si>
    <t>0084 5 50</t>
  </si>
  <si>
    <t>VIS METEAUX TETE SIX PANS  M4X12</t>
  </si>
  <si>
    <t>VIS METEAUX TETE SIX PANS  M4X16</t>
  </si>
  <si>
    <t>VIS METEAUX TETE SIX PANS M5X50</t>
  </si>
  <si>
    <t>VIS METEAUX TETE HEXAGONALE M5X50</t>
  </si>
  <si>
    <t>VIS METEAUX TETE HEXAGONALE M4X16</t>
  </si>
  <si>
    <t>0057 4 16</t>
  </si>
  <si>
    <t>VIS METEAUX TETE HEXAGONALE M4X25</t>
  </si>
  <si>
    <t>0057 4 25</t>
  </si>
  <si>
    <t>VIS METEAUX TETE HEXAGONALE M5X45</t>
  </si>
  <si>
    <t>VIS METEAUX TETE HEXAGONALE M5X12</t>
  </si>
  <si>
    <t xml:space="preserve">0057 5 45 </t>
  </si>
  <si>
    <t xml:space="preserve">0057 5 12 </t>
  </si>
  <si>
    <t>VIS METEAUX TETE HEXAGONALE M5X16</t>
  </si>
  <si>
    <t>VIS METEAUX TETE HEXAGONALE M5X25</t>
  </si>
  <si>
    <t xml:space="preserve">0057 5 25 </t>
  </si>
  <si>
    <t xml:space="preserve">0057 5 16 </t>
  </si>
  <si>
    <t>VIS METEAUX TETE HEXAGONALE M5X35</t>
  </si>
  <si>
    <t xml:space="preserve">0057 5 35 </t>
  </si>
  <si>
    <t>0057 5 50</t>
  </si>
  <si>
    <t>VIS METEAUX TETE HEXAGONALE M6X12</t>
  </si>
  <si>
    <t xml:space="preserve">0057 6 12 </t>
  </si>
  <si>
    <t>VIS METEAUX TETE HEXAGONALE M6X16</t>
  </si>
  <si>
    <t>0057 6 16</t>
  </si>
  <si>
    <t>VIS METEAUX TETE HEXAGONALE M6X25</t>
  </si>
  <si>
    <t>0057 6 25</t>
  </si>
  <si>
    <t>VIS METEAUX TETE HEXAGONALE M6X35</t>
  </si>
  <si>
    <t>0057 6 35</t>
  </si>
  <si>
    <t>VIS METEAUX TETE HEXAGONALE M6X45</t>
  </si>
  <si>
    <t xml:space="preserve">0057 6 45 </t>
  </si>
  <si>
    <t>VIS METEAUX TETE HEXAGONALE M8X16</t>
  </si>
  <si>
    <t>0057 8 16</t>
  </si>
  <si>
    <t>VIS METEAUX TETE HEXAGONALE M8X25</t>
  </si>
  <si>
    <t>0057 8 25</t>
  </si>
  <si>
    <t>VIS METEAUX TETE HEXAGONALE M8X35</t>
  </si>
  <si>
    <t>0057 8 35</t>
  </si>
  <si>
    <t>VIS METEAUX TETE HEXAGONALE M8X45</t>
  </si>
  <si>
    <t xml:space="preserve">0057 8 45 </t>
  </si>
  <si>
    <t>ECROUS M3</t>
  </si>
  <si>
    <t>ECROUS M4</t>
  </si>
  <si>
    <t>ECROUS M5</t>
  </si>
  <si>
    <t>ECROUS M6</t>
  </si>
  <si>
    <t>ECROUS M8</t>
  </si>
  <si>
    <t>ECROUS M10</t>
  </si>
  <si>
    <t xml:space="preserve">0317 3 </t>
  </si>
  <si>
    <t>0317 4</t>
  </si>
  <si>
    <t>0317 5</t>
  </si>
  <si>
    <t>0317 6</t>
  </si>
  <si>
    <t>0317 8</t>
  </si>
  <si>
    <t>0317 10</t>
  </si>
  <si>
    <t>RONDELLE CONTACT 4X10</t>
  </si>
  <si>
    <t>RONDELLE CONTACT 5X12</t>
  </si>
  <si>
    <t>RONDELLE CONTACT 6X14</t>
  </si>
  <si>
    <t>RONDELLE CONTACT 8X16</t>
  </si>
  <si>
    <t>RONDELLE CARROSSIER 3,2X10X0,8</t>
  </si>
  <si>
    <t>RONDELLE CARROSSIER 4,3X12X1,25</t>
  </si>
  <si>
    <t>RONDELLE CARROSSIER 4,3X15X1</t>
  </si>
  <si>
    <t>RONDELLE CARROSSIER 5,3X15X1,25</t>
  </si>
  <si>
    <t>RONDELLE CARROSSIER 6,4X15X1,5</t>
  </si>
  <si>
    <t>RONDELLE CARROSSIER 8,4X20X1,25</t>
  </si>
  <si>
    <t>RONDELLE CARROSSIER 8,4X25X1,5</t>
  </si>
  <si>
    <t>RONDELLE EVENTAILS M3</t>
  </si>
  <si>
    <t>RONDELLE EVENTAILS M4</t>
  </si>
  <si>
    <t>RONDELLE EVENTAILS M5</t>
  </si>
  <si>
    <t>RONDELLE EVENTAILS M6</t>
  </si>
  <si>
    <t>RONDELLE EVENTAILS M8</t>
  </si>
  <si>
    <t>WT 4</t>
  </si>
  <si>
    <t>WT 8</t>
  </si>
  <si>
    <t>WT 10</t>
  </si>
  <si>
    <t>WT 15</t>
  </si>
  <si>
    <t>WT 25</t>
  </si>
  <si>
    <t>WT 40</t>
  </si>
  <si>
    <t>VIS ECROUS TRCC 6X12</t>
  </si>
  <si>
    <t>VIS ECROUS TRCC 6X20</t>
  </si>
  <si>
    <t>ENTRETOISE AC ZINGUE M6 LONGEUR 25 mm</t>
  </si>
  <si>
    <t>ENTRETOISE AC ZINGUE M6 LONGEUR 30 mm</t>
  </si>
  <si>
    <t>ENTRETOISE AC ZINGUE M8 LONGEUR 25 mm</t>
  </si>
  <si>
    <t>ENTRETOISE AC ZINGUE M8 LONGEUR 30 mm</t>
  </si>
  <si>
    <t>GAINE THERMO NOIR 3,2 / 1,6 mm</t>
  </si>
  <si>
    <t>GAINE THERMO NOIR 4,8 / 2,4 mm</t>
  </si>
  <si>
    <t>GAINE THERMO NOIR 6,4 / 3,2 mm</t>
  </si>
  <si>
    <t>GAINE THERMO NOIR 9,5 / 4,5 mm</t>
  </si>
  <si>
    <t>GAINE THERMO NOIR 12,7 / 6,4 mm</t>
  </si>
  <si>
    <t>GAINE THERMO NOIR 19 / 9,5 mm</t>
  </si>
  <si>
    <t xml:space="preserve">GAINE THERMO NOIR 25,4 / 12,7 mm </t>
  </si>
  <si>
    <t xml:space="preserve">0890 28 </t>
  </si>
  <si>
    <t>HUILE DE COUPE 400 ml</t>
  </si>
  <si>
    <t xml:space="preserve">0893 050 004 </t>
  </si>
  <si>
    <t>TIGE FILETEE M4</t>
  </si>
  <si>
    <t>TIGE FILETEE M5</t>
  </si>
  <si>
    <t>TIGE FILETEE M6</t>
  </si>
  <si>
    <t>0958 4</t>
  </si>
  <si>
    <t>0958 5</t>
  </si>
  <si>
    <t>0958 6</t>
  </si>
  <si>
    <t>TIGE FILETEE M8</t>
  </si>
  <si>
    <t>0958 8</t>
  </si>
  <si>
    <t xml:space="preserve">0893 140 </t>
  </si>
  <si>
    <t>NETTOYANT INDUSTRIEL 500 ml</t>
  </si>
  <si>
    <t>DEGRAISSANT 500 ml</t>
  </si>
  <si>
    <t>0890 118</t>
  </si>
  <si>
    <t>MAXI</t>
  </si>
  <si>
    <t>OK</t>
  </si>
  <si>
    <t>CRITIQUE</t>
  </si>
  <si>
    <t>NUL</t>
  </si>
  <si>
    <t>NOM</t>
  </si>
  <si>
    <t xml:space="preserve">RUE </t>
  </si>
  <si>
    <t>CP / VILLE</t>
  </si>
  <si>
    <t>TEL</t>
  </si>
  <si>
    <t>MAIL</t>
  </si>
  <si>
    <t>FAX</t>
  </si>
  <si>
    <t>FOURNISSEUR</t>
  </si>
  <si>
    <t xml:space="preserve">ADRESSE DE LIVRAISON  </t>
  </si>
  <si>
    <t>NOM PRENOM</t>
  </si>
  <si>
    <t>Initial</t>
  </si>
  <si>
    <t>MINI</t>
  </si>
  <si>
    <t>SUFFIXE</t>
  </si>
  <si>
    <t>NOM PRENOM 4</t>
  </si>
  <si>
    <t>NOM PRENOM 5</t>
  </si>
  <si>
    <t>NOM PRENOM 6</t>
  </si>
  <si>
    <t>NOM PRENOM 7</t>
  </si>
  <si>
    <t>NOM PRENOM 8</t>
  </si>
  <si>
    <t>NOM PRENOM 9</t>
  </si>
  <si>
    <t>ALC-</t>
  </si>
  <si>
    <t>ARTICLE</t>
  </si>
  <si>
    <t>ART. N°</t>
  </si>
  <si>
    <t>affaire 1</t>
  </si>
  <si>
    <t>affaire 3</t>
  </si>
  <si>
    <t>affaire 4</t>
  </si>
  <si>
    <t>affaire 5</t>
  </si>
  <si>
    <t>affaire 6</t>
  </si>
  <si>
    <t>np4</t>
  </si>
  <si>
    <t>np5</t>
  </si>
  <si>
    <t>np6</t>
  </si>
  <si>
    <t>np7</t>
  </si>
  <si>
    <t>np8</t>
  </si>
  <si>
    <t>np9</t>
  </si>
  <si>
    <t>ENTREE</t>
  </si>
  <si>
    <t xml:space="preserve">N° BON DE COMMANDE </t>
  </si>
  <si>
    <t xml:space="preserve">N° DE FACTURE </t>
  </si>
  <si>
    <t>AFFAIRE</t>
  </si>
  <si>
    <t>QUANTITE</t>
  </si>
  <si>
    <t>SORTIE RETOUR ARTICLE</t>
  </si>
  <si>
    <t>SRA-</t>
  </si>
  <si>
    <t>Types</t>
  </si>
  <si>
    <t>WAGO</t>
  </si>
  <si>
    <t>FILS</t>
  </si>
  <si>
    <t>GOULOTTE</t>
  </si>
  <si>
    <t>WURTH</t>
  </si>
  <si>
    <t>https://forum.excel-pratique.com/viewtopic.php?f=2&amp;t=134107&amp;sid=5cfd9e25be501985d0ee49718a3c7b73</t>
  </si>
  <si>
    <t xml:space="preserve">BON DE COMMANDE       </t>
  </si>
  <si>
    <t>(purchase order)</t>
  </si>
  <si>
    <t>Fournisseur:</t>
  </si>
  <si>
    <t>Date de commande:</t>
  </si>
  <si>
    <t>(supplier)</t>
  </si>
  <si>
    <t>(ordering date)</t>
  </si>
  <si>
    <t>Adresse:</t>
  </si>
  <si>
    <t>Code:</t>
  </si>
  <si>
    <t>(adress)</t>
  </si>
  <si>
    <t>(code)</t>
  </si>
  <si>
    <t>Approval:</t>
  </si>
  <si>
    <t>(approval number)</t>
  </si>
  <si>
    <t>Téléphone:</t>
  </si>
  <si>
    <t>Fax:</t>
  </si>
  <si>
    <t>(phone number)</t>
  </si>
  <si>
    <t>(fax number)</t>
  </si>
  <si>
    <t>A livrer à:</t>
  </si>
  <si>
    <t>(delivery to)</t>
  </si>
  <si>
    <t>Personne à contacter:</t>
  </si>
  <si>
    <t>Offre:</t>
  </si>
  <si>
    <t>Conditions selon votre</t>
  </si>
  <si>
    <t>(your contact)</t>
  </si>
  <si>
    <t>(offer)</t>
  </si>
  <si>
    <t>Offre n°2781905</t>
  </si>
  <si>
    <t>INFORMATION DESIGNATION</t>
  </si>
  <si>
    <t>INFORMATION PRIX</t>
  </si>
  <si>
    <t>(designation information)</t>
  </si>
  <si>
    <t>(price information)</t>
  </si>
  <si>
    <t>Référence</t>
  </si>
  <si>
    <t>Unité</t>
  </si>
  <si>
    <t>Qté</t>
  </si>
  <si>
    <t>Prix Unitaire</t>
  </si>
  <si>
    <t>Total</t>
  </si>
  <si>
    <t>P.U. réél</t>
  </si>
  <si>
    <t>Remise</t>
  </si>
  <si>
    <t>(part number)</t>
  </si>
  <si>
    <t>(unit)</t>
  </si>
  <si>
    <t>(qty)</t>
  </si>
  <si>
    <t>(unit price)</t>
  </si>
  <si>
    <t>(total)</t>
  </si>
  <si>
    <t>(real unit price)</t>
  </si>
  <si>
    <t>(discount rate)</t>
  </si>
  <si>
    <t>TOTAL H.T.</t>
  </si>
  <si>
    <t>EUROS</t>
  </si>
  <si>
    <t>Date de livraison :</t>
  </si>
  <si>
    <t>(delivery date)</t>
  </si>
  <si>
    <t>MERCI DE CONFIRMER PAR FAX LA DATE EXACTE DE LIVRAISON</t>
  </si>
  <si>
    <t>Conditions de livraison :</t>
  </si>
  <si>
    <t>Conditions de paiement :</t>
  </si>
  <si>
    <t>(Delivery conditions)</t>
  </si>
  <si>
    <t>Franco domicile</t>
  </si>
  <si>
    <t>(payment conditions)</t>
  </si>
  <si>
    <t>45 JOURS FIN DE MOIS</t>
  </si>
  <si>
    <t>Remarques :</t>
  </si>
  <si>
    <t>Veillez SVP à bien mentionner sur vos emballages, notre n° de commande ainsi que le nom de la personne qui réceptionne la</t>
  </si>
  <si>
    <t>(remarks)</t>
  </si>
  <si>
    <t>marchandise :</t>
  </si>
  <si>
    <t xml:space="preserve"> Service Achats</t>
  </si>
  <si>
    <t>Nom :</t>
  </si>
  <si>
    <t>Signature :</t>
  </si>
  <si>
    <t xml:space="preserve"> (purchase dept.)</t>
  </si>
  <si>
    <t>(name)</t>
  </si>
  <si>
    <t>(signe)</t>
  </si>
  <si>
    <t>CONDITIONNER</t>
  </si>
  <si>
    <t xml:space="preserve">RAIL DIN PREPERFORER </t>
  </si>
  <si>
    <t xml:space="preserve">RAIL TELEX </t>
  </si>
  <si>
    <t>SOCOMEC</t>
  </si>
  <si>
    <t>0 413 200 41</t>
  </si>
  <si>
    <t>RONDELLE CONTACT 4X14</t>
  </si>
  <si>
    <t>0 413 200 42</t>
  </si>
  <si>
    <t>0 413 200 52</t>
  </si>
  <si>
    <t>0 413 200 64</t>
  </si>
  <si>
    <t>0 413 200 86</t>
  </si>
  <si>
    <t>0411 3 10</t>
  </si>
  <si>
    <t>0411 4 12</t>
  </si>
  <si>
    <t>0411 4 15</t>
  </si>
  <si>
    <t>0411 5 15</t>
  </si>
  <si>
    <t>0411 6 15</t>
  </si>
  <si>
    <t>0411 6 18</t>
  </si>
  <si>
    <t>0411 8 20</t>
  </si>
  <si>
    <t>0411 8 25</t>
  </si>
  <si>
    <t>RONDELLE PLATE  M12</t>
  </si>
  <si>
    <t>0409 12</t>
  </si>
  <si>
    <t>0429 3</t>
  </si>
  <si>
    <t>0429 4</t>
  </si>
  <si>
    <t>0429 5</t>
  </si>
  <si>
    <t>0429 6</t>
  </si>
  <si>
    <t>0429 8</t>
  </si>
  <si>
    <t>0 771 420 004</t>
  </si>
  <si>
    <t>0 771 420 008</t>
  </si>
  <si>
    <t>0 771 420 010</t>
  </si>
  <si>
    <t>0 771 420 015</t>
  </si>
  <si>
    <t>0 771 420 025</t>
  </si>
  <si>
    <t>0 771 420 040</t>
  </si>
  <si>
    <t>0974 6 25</t>
  </si>
  <si>
    <t>0974 6 30</t>
  </si>
  <si>
    <t>0974 8 25</t>
  </si>
  <si>
    <t>0974 8 30</t>
  </si>
  <si>
    <t>0223 996 12</t>
  </si>
  <si>
    <t>0223 996 20</t>
  </si>
  <si>
    <t>EMBOUTS ISOLE 0,50 mm²</t>
  </si>
  <si>
    <t>0557 900 50</t>
  </si>
  <si>
    <t>EMBOUTS DOUBLE ISOLE 0,50 mm²</t>
  </si>
  <si>
    <t>EMBOUTS ISOLE 0,75 mm²</t>
  </si>
  <si>
    <t>0557 900 75</t>
  </si>
  <si>
    <t>EMBOUTS DOUBLE ISOLE 0,75 mm²</t>
  </si>
  <si>
    <t>0557 403 20</t>
  </si>
  <si>
    <t>EMBOUTS ISOLE 1 mm²</t>
  </si>
  <si>
    <t>0557 901 00</t>
  </si>
  <si>
    <t>EMBOUTS DOUBLE ISOLE 1 mm²</t>
  </si>
  <si>
    <t>0557 400 20</t>
  </si>
  <si>
    <t>EMBOUTS ISOLE 1,5 mm²</t>
  </si>
  <si>
    <t>0557 901 50</t>
  </si>
  <si>
    <t>EMBOUTS DOUBLE ISOLE 1,5 mm²</t>
  </si>
  <si>
    <t>0557 404 16</t>
  </si>
  <si>
    <t>EMBOUTS ISOLE 2,5 mm²</t>
  </si>
  <si>
    <t>0557 902 50</t>
  </si>
  <si>
    <t>EMBOUTS DOUBLE ISOLE 2,5 mm²</t>
  </si>
  <si>
    <t>0557 405 20</t>
  </si>
  <si>
    <t>EMBOUTS ISOLE 4 mm²</t>
  </si>
  <si>
    <t>0557 904 00</t>
  </si>
  <si>
    <t>EMBOUTS DOUBLE ISOLE 4 mm²</t>
  </si>
  <si>
    <t>0557 406 20</t>
  </si>
  <si>
    <t>EMBOUTS ISOLE 6 mm²</t>
  </si>
  <si>
    <t>EMBOUTS DOUBLE ISOLE 6 mm²</t>
  </si>
  <si>
    <t>0557 407 20</t>
  </si>
  <si>
    <t>EMBOUTS ISOLE 10 mm²</t>
  </si>
  <si>
    <t>0557 910 000</t>
  </si>
  <si>
    <t>EMBOUTS DOUBLE ISOLE 10 mm²</t>
  </si>
  <si>
    <t>0557 408 20</t>
  </si>
  <si>
    <t>EMBOUTS ISOLE 16 mm²</t>
  </si>
  <si>
    <t>0557 916 000</t>
  </si>
  <si>
    <t>EMBOUTS DOUBLE ISOLE 16 mm²</t>
  </si>
  <si>
    <t>0557 409 20</t>
  </si>
  <si>
    <t>EMBOUTS ISOLE 25 mm²</t>
  </si>
  <si>
    <t>0557 925 000</t>
  </si>
  <si>
    <t>EMBOUTS ISOLE 35 mm²</t>
  </si>
  <si>
    <t>0557 935 000</t>
  </si>
  <si>
    <t>EMBOUTS ISOLE 50 mm²</t>
  </si>
  <si>
    <t>0557 950 000</t>
  </si>
  <si>
    <t>COSSES ISOLE ŒIL. M3  0,25-1mm²</t>
  </si>
  <si>
    <t>0558 750 1</t>
  </si>
  <si>
    <t>COSSES ISOLE ŒIL. M4  0,25-1mm²</t>
  </si>
  <si>
    <t>0558750 2</t>
  </si>
  <si>
    <t>COSSES ISOLE ŒIL. M5 0,25-1mm²</t>
  </si>
  <si>
    <t>0558 750 3</t>
  </si>
  <si>
    <t>COSSES ISOLE ŒIL. M6  0,25-1mm²</t>
  </si>
  <si>
    <t>0558 750 4</t>
  </si>
  <si>
    <t>COSSES ISOLE ŒIL. M8  0,25-1mm²</t>
  </si>
  <si>
    <t>0558 750 5</t>
  </si>
  <si>
    <t>COSSES ISOLE ŒIL. M10 0,25-1mm²</t>
  </si>
  <si>
    <t>0558 750 6</t>
  </si>
  <si>
    <t>COSSES ISOLE ŒIL. M3  1,5-2,5mm²</t>
  </si>
  <si>
    <t>COSSES ISOLE ŒIL. M4  1,5-2,5mm²</t>
  </si>
  <si>
    <t>0558 752 1</t>
  </si>
  <si>
    <t>COSSES ISOLE ŒIL. M5 1,5-2,5mm²</t>
  </si>
  <si>
    <t>0558 752 2</t>
  </si>
  <si>
    <t>COSSES ISOLE ŒIL. M6  1,5-2,5mm²</t>
  </si>
  <si>
    <t>0558 752 3</t>
  </si>
  <si>
    <t>COSSES ISOLE ŒIL. M8  1,5-2,5mm²</t>
  </si>
  <si>
    <t>0557 752 4</t>
  </si>
  <si>
    <t>COSSES ISOLE ŒIL. M10 1,5-2,5mm²</t>
  </si>
  <si>
    <t>0558 752 5</t>
  </si>
  <si>
    <t>COSSES ISOLE ŒIL. M4  4 - 6 mm²</t>
  </si>
  <si>
    <t>0558 752 6</t>
  </si>
  <si>
    <t>COSSES ISOLE ŒIL. M5 4 - 6 mm²</t>
  </si>
  <si>
    <t>0558 752 7</t>
  </si>
  <si>
    <t>COSSES ISOLE ŒIL. M6  4 - 6 mm²</t>
  </si>
  <si>
    <t>0558 752 8</t>
  </si>
  <si>
    <t>COSSES ISOLE ŒIL. M8  4 - 6 mm²</t>
  </si>
  <si>
    <t>0558 752 9</t>
  </si>
  <si>
    <t xml:space="preserve">COSSES FASTON  ISOLE PLATE FEMELLE 1,5-2,5 mm² </t>
  </si>
  <si>
    <t>0558 751 2</t>
  </si>
  <si>
    <t>COSSES FASTON  ISOLE PLATE FEMELLE 1,5-2,5 mm²</t>
  </si>
  <si>
    <t>COSSES NUES CUIVRE W-CT 10mm2 M8</t>
  </si>
  <si>
    <t>5633 801 008</t>
  </si>
  <si>
    <t>COSSES NUES CUIVRE W-CT 10mm2 M10</t>
  </si>
  <si>
    <t>5633 801 010</t>
  </si>
  <si>
    <t>COSSES NUES CUIVRE W-CT 16mm2 M10</t>
  </si>
  <si>
    <t>5633 801 610</t>
  </si>
  <si>
    <t>COSSES NUES CUIVRE W-CT 25mm2 M10</t>
  </si>
  <si>
    <t>5633 802 510</t>
  </si>
  <si>
    <t>COSSES NUES CUIVRE W-CT 35mm2 M10</t>
  </si>
  <si>
    <t>5633 803 510</t>
  </si>
  <si>
    <t>0771 750 003</t>
  </si>
  <si>
    <t>0771 750 004</t>
  </si>
  <si>
    <t>0771 750 005</t>
  </si>
  <si>
    <t>0771 750 006</t>
  </si>
  <si>
    <t>0771 750 007</t>
  </si>
  <si>
    <t>0771 750 008</t>
  </si>
  <si>
    <t>0771 750 009</t>
  </si>
  <si>
    <t>NETTOYANT MULTI USAGE 1000 ml</t>
  </si>
  <si>
    <t>NETTOYANT MICROBILLE POUR LES MAINS SANS SOLVANT BLANC</t>
  </si>
  <si>
    <t>0893 942 01</t>
  </si>
  <si>
    <t>COLLIER-ATT-CABLE-PLAST-NATUREL-3,6X370</t>
  </si>
  <si>
    <t>502 134</t>
  </si>
  <si>
    <t>COLLIER ATT-CABLE NYLON NOIR 4,8X360</t>
  </si>
  <si>
    <t>0502 161</t>
  </si>
  <si>
    <t>COLLIER ATT-CABLE NYLON NOIR 2,5X200</t>
  </si>
  <si>
    <t>0502 11 16</t>
  </si>
  <si>
    <t>COLLIER ATT-CABLE NYLON BLANC 2,5X200</t>
  </si>
  <si>
    <t xml:space="preserve">502 11 </t>
  </si>
  <si>
    <t>0502 111</t>
  </si>
  <si>
    <t>EMB-ADHESIVE-P.COLLIER ATT.CABLE-B4,8MM</t>
  </si>
  <si>
    <t xml:space="preserve">0502 648 </t>
  </si>
  <si>
    <t>CONNECTEURS 2 ENTREES</t>
  </si>
  <si>
    <t>0556 1162</t>
  </si>
  <si>
    <t>CONNECTEURS 3 ENTREES</t>
  </si>
  <si>
    <t>0556 1173</t>
  </si>
  <si>
    <t>BORNE 3C / 2,5-4mm² GRIS</t>
  </si>
  <si>
    <t>BORNE 3C/ 2,5-4mm² ORANGE</t>
  </si>
  <si>
    <t>BORNE 3C / 2,5-4mm² V/J</t>
  </si>
  <si>
    <t>PLAQUE D'EXTREMITE 3C / 2,5-4mm² GRIS</t>
  </si>
  <si>
    <t>PLAQUE D'EXTREMITE 2 ETAGES / 2,5-4mm² GRIS</t>
  </si>
  <si>
    <t xml:space="preserve">PLAQUE D'EXTREMITE 2C / 4-6mm² GRIS </t>
  </si>
  <si>
    <t>2004-1291</t>
  </si>
  <si>
    <t>BORNE 2C / 4-6mm² V/J</t>
  </si>
  <si>
    <t>2004-1207</t>
  </si>
  <si>
    <t>BORNE 3C / 4-6mm² GRIS</t>
  </si>
  <si>
    <t>BORNE 3C / 4-6mm² ORANGE</t>
  </si>
  <si>
    <t>BORNE 3C / 4-6mm² V/J</t>
  </si>
  <si>
    <t xml:space="preserve">PLAQUE D'EXTREMITE 3C / 4-6mm² GRIS </t>
  </si>
  <si>
    <t>PEIGNE DE PONTAGE 32A ENFICHABLE 2 PÔLES ISOLE</t>
  </si>
  <si>
    <t>PEIGNE DE PONTAGE 32A ENFICHABLE 3 PÔLES ISOLE</t>
  </si>
  <si>
    <t>PEIGNE DE PONTAGE 32A ENFICHABLE 4 PÔLES ISOLE</t>
  </si>
  <si>
    <t>PEIGNE DE PONTAGE 32A ENFICHABLE 5 PÔLES ISOLE</t>
  </si>
  <si>
    <t>PEIGNE DE PONTAGE 32A ENFICHABLE 6 PÔLES ISOLE</t>
  </si>
  <si>
    <t>PEIGNE DE PONTAGE 32A ENFICHABLE 7 PÔLES ISOLE</t>
  </si>
  <si>
    <t>PEIGNE DE PONTAGE 32A ENFICHABLE 8 PÔLES ISOLE</t>
  </si>
  <si>
    <t>PEIGNE DE PONTAGE 32A ENFICHABLE 9 PÔLES ISOLE</t>
  </si>
  <si>
    <t>PEIGNE DE PONTAGE 32A ENFICHABLE 10 PÔLES ISOLE</t>
  </si>
  <si>
    <t>BORNE 3C / 6-10mm² GRIS</t>
  </si>
  <si>
    <t>BORNE 3C / 6-10mm² ORANGE</t>
  </si>
  <si>
    <t>BORNE 3C / 6-10mm² V/J</t>
  </si>
  <si>
    <t>PLAQUE D'EXTREMITE 3C / 6-10mm² GRIS</t>
  </si>
  <si>
    <t>PEIGNE DE PONTAGE 41A ENFICHABLE 2 PÔLES ISOLE</t>
  </si>
  <si>
    <t>PEIGNE DE PONTAGE 41A ENFICHABLE 3 PÔLES ISOLE</t>
  </si>
  <si>
    <t>PEIGNE DE PONTAGE 41A ENFICHABLE 4 PÔLES ISOLE</t>
  </si>
  <si>
    <t>PEIGNE DE PONTAGE 41A ENFICHABLE 5 PÔLES ISOLE</t>
  </si>
  <si>
    <t>BORNE 3C / 10-16mm² GRIS</t>
  </si>
  <si>
    <t>BORNE 3C / 10-16mm² V/J</t>
  </si>
  <si>
    <t>PLAQUE D'EXTREMITE 3C / 10-16mm² GRIS</t>
  </si>
  <si>
    <t>PEIGNE DE PONTAGE 57A ENFICHABLE 2 PÔLES ISOLE</t>
  </si>
  <si>
    <t>PEIGNE DE PONTAGE 57A ENFICHABLE 3 PÔLES ISOLE</t>
  </si>
  <si>
    <t>PEIGNE DE PONTAGE 57A ENFICHABLE 4 PÔLES ISOLE</t>
  </si>
  <si>
    <t>PEIGNE DE PONTAGE 57A ENFICHABLE 5 PÔLES ISOLE</t>
  </si>
  <si>
    <t>BUTEE D'ARRÊT SANS VIS, LARGEUR 10mm</t>
  </si>
  <si>
    <t>249-117</t>
  </si>
  <si>
    <t>PORTE ETIQUETTE DE GROUPE</t>
  </si>
  <si>
    <t>249-119</t>
  </si>
  <si>
    <t>PLAQUE D'EXTREMITE 3 ETAGES / 2,5mm² GRIS</t>
  </si>
  <si>
    <t>280-303</t>
  </si>
  <si>
    <t>BORNE 3 ETAGES / 2,5mm² GRIS</t>
  </si>
  <si>
    <t>280-549</t>
  </si>
  <si>
    <t>BORNE 2C / 2,5-4mm² GRIS</t>
  </si>
  <si>
    <t>280-601</t>
  </si>
  <si>
    <t>BORNE 3C / 2,5-4mm² ORANGE</t>
  </si>
  <si>
    <t>280-650</t>
  </si>
  <si>
    <t>BORNE 2C / 0,2-6mm² GRIS</t>
  </si>
  <si>
    <t>282-601</t>
  </si>
  <si>
    <t>BORNE 2C / 6-10mm² V/J</t>
  </si>
  <si>
    <t>284-607</t>
  </si>
  <si>
    <t>CONDITIONER</t>
  </si>
  <si>
    <t>1L=2M</t>
  </si>
  <si>
    <t>Colonne1</t>
  </si>
  <si>
    <t>CAPRIS</t>
  </si>
  <si>
    <t>LEGRAND</t>
  </si>
  <si>
    <t>SCHNEIDER</t>
  </si>
  <si>
    <t>SIEMENS</t>
  </si>
  <si>
    <t>0084 4 12</t>
  </si>
  <si>
    <t>Feuil1</t>
  </si>
  <si>
    <t>Feuil2</t>
  </si>
  <si>
    <t>Feuil3</t>
  </si>
  <si>
    <t>NOM PRENOM 1</t>
  </si>
  <si>
    <t>NOM PRENOM 2</t>
  </si>
  <si>
    <t>NOM PRENOM 3</t>
  </si>
  <si>
    <t>np1</t>
  </si>
  <si>
    <t>np2</t>
  </si>
  <si>
    <t>np3</t>
  </si>
  <si>
    <t>reference</t>
  </si>
  <si>
    <t>description</t>
  </si>
  <si>
    <t>N°</t>
  </si>
  <si>
    <t>Entrée</t>
  </si>
  <si>
    <t>DESCRIPTION</t>
  </si>
  <si>
    <t xml:space="preserve">entree commande </t>
  </si>
  <si>
    <t>contrôle</t>
  </si>
  <si>
    <t>CHECK</t>
  </si>
  <si>
    <t xml:space="preserve">CHECK LIST BON DE COMMANDE </t>
  </si>
  <si>
    <t>REGLAGE INFO</t>
  </si>
  <si>
    <t>APPROV. STOCK</t>
  </si>
  <si>
    <t>SAISIE COMMANDE FOURNISSEUR</t>
  </si>
  <si>
    <t>SORTIE</t>
  </si>
  <si>
    <t/>
  </si>
  <si>
    <t>SAISIE SORTIE-RETOUR ARTICLE</t>
  </si>
  <si>
    <t>DATE DE SAISIE</t>
  </si>
  <si>
    <t>EMPLOYER</t>
  </si>
  <si>
    <t>MC-2019-007</t>
  </si>
  <si>
    <t>Agence Alsace BP 10</t>
  </si>
  <si>
    <t>67230 BENFELD</t>
  </si>
  <si>
    <t xml:space="preserve">FICHE 2P + T FR CAOUT. NOIR A VIS </t>
  </si>
  <si>
    <t>0 504 45</t>
  </si>
  <si>
    <t xml:space="preserve">PROLONGATEUR 2P + T FR CAOUT. NOIR A VIS </t>
  </si>
  <si>
    <t>0 504 46</t>
  </si>
  <si>
    <t>DISJONCTEUR 1P+N 16A COUBRE C</t>
  </si>
  <si>
    <t>A9N21025</t>
  </si>
  <si>
    <t>TEST1</t>
  </si>
  <si>
    <t>TEST1REF</t>
  </si>
  <si>
    <t>1</t>
  </si>
  <si>
    <t>11</t>
  </si>
  <si>
    <t>22</t>
  </si>
  <si>
    <t>222</t>
  </si>
  <si>
    <t>affaire 2</t>
  </si>
  <si>
    <t>Agence Alsace BP 11</t>
  </si>
  <si>
    <t>Agence Alsace BP 12</t>
  </si>
  <si>
    <t>Agence Alsace BP 13</t>
  </si>
  <si>
    <t>Agence Alsace BP 14</t>
  </si>
  <si>
    <t>Agence Alsace BP 15</t>
  </si>
  <si>
    <t>Agence Alsace BP 16</t>
  </si>
  <si>
    <t>IDD1</t>
  </si>
  <si>
    <t>22, route de MAIRE</t>
  </si>
  <si>
    <t>68750 BERG</t>
  </si>
  <si>
    <t>IDD2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</si>
</sst>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7" formatCode="#,##0.00\ &quot;€&quot;;\-#,##0.00\ &quot;€&quot;"/>
    <numFmt numFmtId="164" formatCode="&quot;€&quot;#,##0.00_);\(&quot;€&quot;#,##0.00\)"/>
    <numFmt numFmtId="165" formatCode="&quot;$&quot;#,##0.00_);\(&quot;$&quot;#,##0.00\)"/>
    <numFmt numFmtId="166" formatCode="&quot;&quot;"/>
    <numFmt numFmtId="167" formatCode="[$-F800]dddd\,\ mmmm\ dd\,\ yyyy"/>
    <numFmt numFmtId="168" formatCode="0;\-0;;@"/>
    <numFmt numFmtId="169" formatCode="#,##0.00\ &quot;€&quot;"/>
    <numFmt numFmtId="170" formatCode="#,##0.00\ _€"/>
    <numFmt numFmtId="173" formatCode="#_####_###_ ##"/>
    <numFmt numFmtId="174" formatCode="0#&quot; &quot;##&quot; &quot;##&quot; &quot;##&quot; &quot;##"/>
    <numFmt numFmtId="175" formatCode="##&quot; &quot;##&quot; &quot;##&quot; &quot;##&quot; &quot;##&quot; &quot;##"/>
  </numFmts>
  <fonts count="43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name val="Calibri"/>
      <family val="2"/>
      <scheme val="minor"/>
    </font>
    <font>
      <b/>
      <sz val="36"/>
      <name val="Arial"/>
      <family val="2"/>
    </font>
    <font>
      <i/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b/>
      <sz val="36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rgb="FFFFFFFF"/>
      <name val="Calibri"/>
      <family val="2"/>
    </font>
    <font>
      <b/>
      <sz val="40"/>
      <name val="Arial"/>
      <family val="2"/>
    </font>
    <font>
      <b/>
      <sz val="48"/>
      <color theme="1"/>
      <name val="Calibri"/>
      <family val="2"/>
      <scheme val="minor"/>
    </font>
    <font>
      <b/>
      <sz val="28"/>
      <color rgb="FF0000FF"/>
      <name val="Calibri"/>
      <family val="2"/>
    </font>
    <font>
      <b/>
      <sz val="42"/>
      <color theme="1"/>
      <name val="Calibri"/>
      <family val="2"/>
      <scheme val="minor"/>
    </font>
    <font>
      <b/>
      <sz val="13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D9D9D9"/>
        <bgColor rgb="FFD9D9D9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 applyProtection="0">
      <alignment horizontal="left" vertical="center" wrapText="1" indent="1"/>
    </xf>
    <xf numFmtId="165" fontId="2" fillId="0" borderId="0" applyProtection="0">
      <alignment horizontal="right" vertical="center" indent="1"/>
    </xf>
    <xf numFmtId="0" fontId="2" fillId="0" borderId="0" applyProtection="0">
      <alignment horizontal="right" vertical="center" indent="1"/>
    </xf>
    <xf numFmtId="0" fontId="4" fillId="0" borderId="0" applyNumberFormat="0" applyFill="0" applyBorder="0" applyAlignment="0" applyProtection="0"/>
  </cellStyleXfs>
  <cellXfs count="311">
    <xf numFmtId="0" fontId="0" fillId="0" borderId="0" xfId="0"/>
    <xf numFmtId="0" fontId="0" fillId="0" borderId="0" xfId="0" applyBorder="1" applyAlignment="1"/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7" fillId="0" borderId="0" xfId="4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/>
    <xf numFmtId="0" fontId="0" fillId="0" borderId="0" xfId="0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0" borderId="0" xfId="4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1" fillId="0" borderId="0" xfId="0" applyFont="1"/>
    <xf numFmtId="0" fontId="11" fillId="0" borderId="10" xfId="0" applyFont="1" applyBorder="1"/>
    <xf numFmtId="0" fontId="11" fillId="0" borderId="11" xfId="0" applyFont="1" applyBorder="1"/>
    <xf numFmtId="0" fontId="0" fillId="0" borderId="0" xfId="0" applyAlignment="1" applyProtection="1">
      <alignment vertical="center"/>
      <protection locked="0"/>
    </xf>
    <xf numFmtId="0" fontId="10" fillId="0" borderId="5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8" xfId="0" applyFont="1" applyBorder="1"/>
    <xf numFmtId="0" fontId="11" fillId="0" borderId="8" xfId="0" applyFont="1" applyBorder="1"/>
    <xf numFmtId="0" fontId="11" fillId="0" borderId="1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7" xfId="0" applyFont="1" applyBorder="1"/>
    <xf numFmtId="0" fontId="11" fillId="0" borderId="12" xfId="0" applyFont="1" applyBorder="1"/>
    <xf numFmtId="0" fontId="11" fillId="0" borderId="7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4" fillId="0" borderId="7" xfId="0" applyFont="1" applyBorder="1"/>
    <xf numFmtId="0" fontId="1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66" fontId="0" fillId="0" borderId="0" xfId="0" applyNumberFormat="1" applyAlignment="1">
      <alignment vertical="center"/>
    </xf>
    <xf numFmtId="166" fontId="0" fillId="0" borderId="0" xfId="0" applyNumberFormat="1" applyAlignment="1">
      <alignment horizontal="right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1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169" fontId="0" fillId="0" borderId="0" xfId="0" applyNumberFormat="1" applyProtection="1">
      <protection locked="0"/>
    </xf>
    <xf numFmtId="169" fontId="0" fillId="0" borderId="0" xfId="0" applyNumberFormat="1"/>
    <xf numFmtId="49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166" fontId="0" fillId="0" borderId="0" xfId="0" applyNumberFormat="1" applyAlignment="1">
      <alignment horizontal="left" vertical="center"/>
    </xf>
    <xf numFmtId="0" fontId="0" fillId="0" borderId="0" xfId="3" applyFont="1" applyAlignment="1" applyProtection="1">
      <alignment horizontal="center" vertical="center"/>
      <protection locked="0"/>
    </xf>
    <xf numFmtId="169" fontId="2" fillId="0" borderId="0" xfId="2" applyNumberFormat="1" applyAlignment="1" applyProtection="1">
      <alignment horizontal="center" vertical="center"/>
      <protection locked="0"/>
    </xf>
    <xf numFmtId="164" fontId="2" fillId="0" borderId="0" xfId="2" applyNumberFormat="1" applyAlignment="1" applyProtection="1">
      <alignment horizontal="center" vertical="center"/>
      <protection locked="0"/>
    </xf>
    <xf numFmtId="169" fontId="0" fillId="0" borderId="0" xfId="0" applyNumberFormat="1" applyAlignment="1">
      <alignment horizontal="center" vertical="center"/>
    </xf>
    <xf numFmtId="0" fontId="2" fillId="0" borderId="0" xfId="1" applyAlignment="1" applyProtection="1">
      <alignment vertical="center" wrapText="1"/>
      <protection locked="0"/>
    </xf>
    <xf numFmtId="0" fontId="0" fillId="0" borderId="0" xfId="1" applyFont="1" applyAlignment="1" applyProtection="1">
      <alignment vertical="center" wrapText="1"/>
      <protection locked="0"/>
    </xf>
    <xf numFmtId="0" fontId="0" fillId="0" borderId="0" xfId="1" applyFont="1" applyAlignment="1" applyProtection="1">
      <protection locked="0"/>
    </xf>
    <xf numFmtId="169" fontId="0" fillId="0" borderId="0" xfId="2" applyNumberFormat="1" applyFont="1" applyAlignment="1" applyProtection="1">
      <alignment horizontal="center" vertical="center"/>
      <protection locked="0"/>
    </xf>
    <xf numFmtId="164" fontId="0" fillId="0" borderId="0" xfId="2" applyNumberFormat="1" applyFon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1" applyFont="1" applyProtection="1">
      <alignment horizontal="left" vertical="center" wrapText="1" indent="1"/>
      <protection locked="0"/>
    </xf>
    <xf numFmtId="0" fontId="0" fillId="0" borderId="0" xfId="3" applyFont="1" applyProtection="1">
      <alignment horizontal="right" vertical="center" indent="1"/>
      <protection locked="0"/>
    </xf>
    <xf numFmtId="0" fontId="0" fillId="0" borderId="0" xfId="2" applyNumberFormat="1" applyFont="1" applyProtection="1">
      <alignment horizontal="right" vertical="center" indent="1"/>
      <protection locked="0"/>
    </xf>
    <xf numFmtId="0" fontId="0" fillId="0" borderId="0" xfId="1" applyFont="1" applyAlignment="1" applyProtection="1">
      <alignment horizontal="center"/>
      <protection locked="0"/>
    </xf>
    <xf numFmtId="0" fontId="0" fillId="0" borderId="0" xfId="2" applyNumberFormat="1" applyFont="1">
      <alignment horizontal="right" vertical="center" indent="1"/>
    </xf>
    <xf numFmtId="170" fontId="0" fillId="0" borderId="0" xfId="0" applyNumberFormat="1"/>
    <xf numFmtId="170" fontId="0" fillId="0" borderId="0" xfId="0" applyNumberFormat="1" applyAlignment="1" applyProtection="1">
      <alignment horizontal="center" vertical="center"/>
      <protection locked="0"/>
    </xf>
    <xf numFmtId="170" fontId="0" fillId="0" borderId="0" xfId="0" applyNumberFormat="1" applyAlignment="1">
      <alignment horizontal="center" vertical="center"/>
    </xf>
    <xf numFmtId="170" fontId="0" fillId="0" borderId="0" xfId="2" applyNumberFormat="1" applyFont="1" applyProtection="1">
      <alignment horizontal="right" vertical="center" indent="1"/>
      <protection locked="0"/>
    </xf>
    <xf numFmtId="0" fontId="0" fillId="0" borderId="0" xfId="1" applyFont="1" applyAlignment="1">
      <alignment horizontal="center"/>
    </xf>
    <xf numFmtId="0" fontId="0" fillId="0" borderId="0" xfId="3" applyFont="1">
      <alignment horizontal="right" vertical="center" indent="1"/>
    </xf>
    <xf numFmtId="170" fontId="0" fillId="0" borderId="0" xfId="2" applyNumberFormat="1" applyFont="1">
      <alignment horizontal="right" vertical="center" indent="1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21" fillId="0" borderId="0" xfId="0" applyFont="1" applyAlignment="1">
      <alignment vertical="center"/>
    </xf>
    <xf numFmtId="0" fontId="22" fillId="4" borderId="18" xfId="0" applyFont="1" applyFill="1" applyBorder="1" applyAlignment="1">
      <alignment horizontal="center"/>
    </xf>
    <xf numFmtId="0" fontId="22" fillId="0" borderId="18" xfId="0" applyFont="1" applyBorder="1" applyAlignment="1">
      <alignment horizontal="center"/>
    </xf>
    <xf numFmtId="0" fontId="8" fillId="0" borderId="6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18" fillId="0" borderId="0" xfId="0" applyFont="1" applyBorder="1"/>
    <xf numFmtId="0" fontId="18" fillId="0" borderId="0" xfId="0" applyFont="1" applyBorder="1" applyAlignment="1">
      <alignment vertical="center" wrapText="1"/>
    </xf>
    <xf numFmtId="0" fontId="18" fillId="0" borderId="0" xfId="0" applyFont="1" applyBorder="1" applyAlignment="1">
      <alignment wrapText="1"/>
    </xf>
    <xf numFmtId="0" fontId="19" fillId="0" borderId="0" xfId="0" applyFont="1" applyBorder="1"/>
    <xf numFmtId="0" fontId="10" fillId="0" borderId="0" xfId="0" applyFont="1" applyBorder="1"/>
    <xf numFmtId="0" fontId="11" fillId="0" borderId="6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Protection="1">
      <protection locked="0"/>
    </xf>
    <xf numFmtId="0" fontId="18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49" fontId="18" fillId="0" borderId="0" xfId="0" applyNumberFormat="1" applyFont="1" applyBorder="1" applyAlignment="1">
      <alignment horizontal="center" vertical="center"/>
    </xf>
    <xf numFmtId="166" fontId="0" fillId="0" borderId="0" xfId="0" applyNumberFormat="1" applyFont="1" applyFill="1" applyAlignment="1">
      <alignment vertical="center"/>
    </xf>
    <xf numFmtId="166" fontId="0" fillId="0" borderId="0" xfId="0" applyNumberFormat="1" applyFont="1" applyFill="1" applyAlignment="1">
      <alignment horizontal="right" vertical="center"/>
    </xf>
    <xf numFmtId="0" fontId="9" fillId="0" borderId="0" xfId="0" applyFont="1" applyBorder="1" applyAlignment="1">
      <alignment vertical="top"/>
    </xf>
    <xf numFmtId="0" fontId="12" fillId="0" borderId="0" xfId="0" applyFont="1" applyBorder="1"/>
    <xf numFmtId="168" fontId="13" fillId="0" borderId="0" xfId="0" applyNumberFormat="1" applyFont="1" applyBorder="1"/>
    <xf numFmtId="168" fontId="13" fillId="0" borderId="0" xfId="0" applyNumberFormat="1" applyFont="1" applyBorder="1" applyAlignment="1">
      <alignment horizontal="center"/>
    </xf>
    <xf numFmtId="0" fontId="11" fillId="0" borderId="0" xfId="0" applyFont="1" applyBorder="1"/>
    <xf numFmtId="0" fontId="9" fillId="0" borderId="0" xfId="0" applyFont="1" applyBorder="1"/>
    <xf numFmtId="0" fontId="15" fillId="0" borderId="0" xfId="0" applyFont="1" applyBorder="1"/>
    <xf numFmtId="0" fontId="16" fillId="0" borderId="0" xfId="0" applyFont="1" applyBorder="1"/>
    <xf numFmtId="0" fontId="9" fillId="0" borderId="0" xfId="0" applyFont="1" applyBorder="1" applyAlignment="1">
      <alignment horizontal="center" vertical="top"/>
    </xf>
    <xf numFmtId="0" fontId="9" fillId="0" borderId="0" xfId="0" applyFont="1" applyBorder="1" applyAlignment="1">
      <alignment horizontal="left" vertical="top"/>
    </xf>
    <xf numFmtId="0" fontId="18" fillId="0" borderId="0" xfId="0" applyFont="1" applyBorder="1" applyAlignment="1">
      <alignment vertical="center"/>
    </xf>
    <xf numFmtId="4" fontId="10" fillId="0" borderId="0" xfId="0" applyNumberFormat="1" applyFont="1" applyBorder="1" applyAlignment="1">
      <alignment vertical="center"/>
    </xf>
    <xf numFmtId="4" fontId="10" fillId="0" borderId="0" xfId="0" applyNumberFormat="1" applyFont="1" applyBorder="1"/>
    <xf numFmtId="0" fontId="11" fillId="0" borderId="0" xfId="0" applyFont="1" applyBorder="1" applyAlignment="1">
      <alignment horizontal="right"/>
    </xf>
    <xf numFmtId="0" fontId="16" fillId="0" borderId="0" xfId="0" applyFont="1" applyBorder="1" applyAlignment="1">
      <alignment horizontal="left"/>
    </xf>
    <xf numFmtId="0" fontId="10" fillId="0" borderId="0" xfId="0" applyFont="1" applyBorder="1" applyAlignment="1">
      <alignment wrapText="1"/>
    </xf>
    <xf numFmtId="0" fontId="14" fillId="0" borderId="0" xfId="0" applyFont="1" applyBorder="1"/>
    <xf numFmtId="0" fontId="12" fillId="0" borderId="0" xfId="0" applyFont="1" applyBorder="1" applyAlignment="1"/>
    <xf numFmtId="14" fontId="10" fillId="0" borderId="0" xfId="0" applyNumberFormat="1" applyFont="1" applyBorder="1" applyAlignment="1">
      <alignment vertical="center"/>
    </xf>
    <xf numFmtId="0" fontId="18" fillId="0" borderId="0" xfId="0" applyFont="1" applyBorder="1" applyAlignment="1"/>
    <xf numFmtId="168" fontId="12" fillId="0" borderId="0" xfId="0" applyNumberFormat="1" applyFont="1" applyBorder="1" applyAlignment="1">
      <alignment vertical="center"/>
    </xf>
    <xf numFmtId="168" fontId="13" fillId="0" borderId="0" xfId="0" applyNumberFormat="1" applyFont="1" applyBorder="1" applyAlignment="1"/>
    <xf numFmtId="0" fontId="20" fillId="0" borderId="0" xfId="0" applyFont="1" applyBorder="1" applyAlignment="1"/>
    <xf numFmtId="10" fontId="13" fillId="0" borderId="0" xfId="0" applyNumberFormat="1" applyFont="1" applyBorder="1" applyAlignment="1"/>
    <xf numFmtId="0" fontId="23" fillId="0" borderId="0" xfId="0" applyFont="1" applyBorder="1" applyAlignment="1" applyProtection="1">
      <alignment vertical="center"/>
      <protection locked="0"/>
    </xf>
    <xf numFmtId="167" fontId="12" fillId="0" borderId="0" xfId="0" applyNumberFormat="1" applyFont="1" applyBorder="1" applyAlignment="1"/>
    <xf numFmtId="0" fontId="1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4" fillId="0" borderId="0" xfId="0" applyFont="1"/>
    <xf numFmtId="0" fontId="24" fillId="0" borderId="0" xfId="0" applyFont="1" applyAlignment="1">
      <alignment vertical="top"/>
    </xf>
    <xf numFmtId="168" fontId="20" fillId="0" borderId="0" xfId="0" applyNumberFormat="1" applyFont="1" applyAlignment="1">
      <alignment horizontal="center"/>
    </xf>
    <xf numFmtId="0" fontId="23" fillId="0" borderId="0" xfId="0" applyFont="1" applyAlignment="1">
      <alignment vertical="center"/>
    </xf>
    <xf numFmtId="0" fontId="24" fillId="0" borderId="0" xfId="0" applyFont="1"/>
    <xf numFmtId="0" fontId="25" fillId="0" borderId="0" xfId="0" applyFont="1"/>
    <xf numFmtId="0" fontId="11" fillId="0" borderId="0" xfId="0" applyFont="1" applyAlignment="1">
      <alignment vertical="top"/>
    </xf>
    <xf numFmtId="0" fontId="11" fillId="0" borderId="0" xfId="0" applyFont="1" applyAlignment="1">
      <alignment horizontal="center" vertical="top"/>
    </xf>
    <xf numFmtId="0" fontId="11" fillId="0" borderId="7" xfId="0" applyFont="1" applyBorder="1" applyAlignment="1">
      <alignment horizontal="center" vertical="top"/>
    </xf>
    <xf numFmtId="0" fontId="11" fillId="0" borderId="3" xfId="0" applyFont="1" applyBorder="1" applyAlignment="1">
      <alignment horizontal="center" vertical="top"/>
    </xf>
    <xf numFmtId="0" fontId="11" fillId="0" borderId="7" xfId="0" applyFont="1" applyBorder="1" applyAlignment="1">
      <alignment horizontal="left" vertical="top"/>
    </xf>
    <xf numFmtId="4" fontId="14" fillId="0" borderId="2" xfId="0" applyNumberFormat="1" applyFont="1" applyBorder="1"/>
    <xf numFmtId="14" fontId="14" fillId="0" borderId="0" xfId="0" applyNumberFormat="1" applyFont="1" applyAlignment="1">
      <alignment vertical="center"/>
    </xf>
    <xf numFmtId="0" fontId="24" fillId="0" borderId="15" xfId="0" applyFont="1" applyBorder="1"/>
    <xf numFmtId="0" fontId="24" fillId="0" borderId="9" xfId="0" applyFont="1" applyBorder="1"/>
    <xf numFmtId="0" fontId="24" fillId="0" borderId="10" xfId="0" applyFont="1" applyBorder="1"/>
    <xf numFmtId="0" fontId="24" fillId="0" borderId="5" xfId="0" applyFont="1" applyBorder="1" applyAlignment="1">
      <alignment horizontal="center"/>
    </xf>
    <xf numFmtId="0" fontId="24" fillId="0" borderId="5" xfId="0" applyFont="1" applyBorder="1"/>
    <xf numFmtId="0" fontId="24" fillId="0" borderId="0" xfId="0" applyFont="1" applyAlignment="1">
      <alignment horizontal="center"/>
    </xf>
    <xf numFmtId="0" fontId="14" fillId="0" borderId="14" xfId="0" applyFont="1" applyBorder="1"/>
    <xf numFmtId="0" fontId="24" fillId="0" borderId="10" xfId="0" applyFont="1" applyBorder="1" applyAlignment="1">
      <alignment horizontal="center"/>
    </xf>
    <xf numFmtId="0" fontId="24" fillId="0" borderId="10" xfId="0" applyFont="1" applyBorder="1" applyAlignment="1">
      <alignment horizontal="right"/>
    </xf>
    <xf numFmtId="0" fontId="25" fillId="0" borderId="14" xfId="0" applyFont="1" applyBorder="1" applyAlignment="1">
      <alignment horizontal="left"/>
    </xf>
    <xf numFmtId="0" fontId="14" fillId="0" borderId="17" xfId="0" applyFont="1" applyBorder="1" applyAlignment="1">
      <alignment wrapText="1"/>
    </xf>
    <xf numFmtId="0" fontId="11" fillId="0" borderId="7" xfId="0" applyFont="1" applyBorder="1" applyAlignment="1">
      <alignment vertical="top"/>
    </xf>
    <xf numFmtId="0" fontId="10" fillId="0" borderId="0" xfId="0" applyFont="1" applyBorder="1" applyAlignment="1">
      <alignment horizontal="right"/>
    </xf>
    <xf numFmtId="7" fontId="0" fillId="0" borderId="0" xfId="0" applyNumberFormat="1" applyAlignment="1" applyProtection="1">
      <alignment horizontal="center"/>
      <protection locked="0"/>
    </xf>
    <xf numFmtId="0" fontId="11" fillId="0" borderId="3" xfId="0" applyFont="1" applyBorder="1" applyAlignment="1">
      <alignment horizontal="center" vertical="center"/>
    </xf>
    <xf numFmtId="4" fontId="14" fillId="0" borderId="13" xfId="0" applyNumberFormat="1" applyFont="1" applyBorder="1" applyAlignment="1">
      <alignment vertical="center"/>
    </xf>
    <xf numFmtId="0" fontId="20" fillId="0" borderId="4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7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0" fontId="23" fillId="0" borderId="10" xfId="0" applyFont="1" applyBorder="1" applyAlignment="1">
      <alignment horizontal="right"/>
    </xf>
    <xf numFmtId="0" fontId="20" fillId="0" borderId="11" xfId="0" applyFont="1" applyBorder="1" applyAlignment="1">
      <alignment horizontal="left"/>
    </xf>
    <xf numFmtId="0" fontId="0" fillId="0" borderId="19" xfId="0" applyBorder="1"/>
    <xf numFmtId="0" fontId="0" fillId="0" borderId="19" xfId="0" applyFill="1" applyBorder="1"/>
    <xf numFmtId="0" fontId="29" fillId="0" borderId="0" xfId="0" applyFont="1" applyFill="1" applyBorder="1"/>
    <xf numFmtId="0" fontId="30" fillId="0" borderId="0" xfId="0" applyFont="1" applyBorder="1"/>
    <xf numFmtId="0" fontId="28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32" fillId="3" borderId="18" xfId="0" applyFont="1" applyFill="1" applyBorder="1" applyAlignment="1">
      <alignment horizontal="center"/>
    </xf>
    <xf numFmtId="0" fontId="23" fillId="0" borderId="0" xfId="0" applyFont="1" applyAlignment="1"/>
    <xf numFmtId="0" fontId="27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3" fillId="0" borderId="0" xfId="0" applyFont="1" applyAlignment="1">
      <alignment horizontal="left"/>
    </xf>
    <xf numFmtId="169" fontId="0" fillId="0" borderId="0" xfId="0" applyNumberFormat="1" applyBorder="1"/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horizontal="center" vertical="center"/>
      <protection locked="0"/>
    </xf>
    <xf numFmtId="169" fontId="0" fillId="0" borderId="0" xfId="0" applyNumberFormat="1" applyBorder="1" applyAlignment="1" applyProtection="1">
      <alignment horizontal="center" vertical="center"/>
      <protection locked="0"/>
    </xf>
    <xf numFmtId="169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vertical="center"/>
    </xf>
    <xf numFmtId="166" fontId="0" fillId="0" borderId="0" xfId="0" applyNumberFormat="1" applyBorder="1" applyAlignment="1">
      <alignment horizontal="right" vertical="center"/>
    </xf>
    <xf numFmtId="0" fontId="0" fillId="0" borderId="0" xfId="1" applyFont="1" applyBorder="1" applyProtection="1">
      <alignment horizontal="left" vertical="center" wrapText="1" indent="1"/>
      <protection locked="0"/>
    </xf>
    <xf numFmtId="0" fontId="0" fillId="0" borderId="0" xfId="3" applyFont="1" applyBorder="1" applyProtection="1">
      <alignment horizontal="right" vertical="center" indent="1"/>
      <protection locked="0"/>
    </xf>
    <xf numFmtId="0" fontId="0" fillId="0" borderId="0" xfId="0" applyBorder="1" applyProtection="1">
      <protection locked="0"/>
    </xf>
    <xf numFmtId="169" fontId="0" fillId="0" borderId="0" xfId="2" applyNumberFormat="1" applyFont="1" applyBorder="1" applyProtection="1">
      <alignment horizontal="right" vertical="center" indent="1"/>
      <protection locked="0"/>
    </xf>
    <xf numFmtId="0" fontId="0" fillId="0" borderId="0" xfId="2" applyNumberFormat="1" applyFont="1" applyBorder="1" applyProtection="1">
      <alignment horizontal="right" vertical="center" indent="1"/>
      <protection locked="0"/>
    </xf>
    <xf numFmtId="0" fontId="0" fillId="0" borderId="0" xfId="1" applyFont="1" applyBorder="1" applyAlignment="1" applyProtection="1">
      <alignment horizontal="center"/>
      <protection locked="0"/>
    </xf>
    <xf numFmtId="169" fontId="0" fillId="0" borderId="0" xfId="2" applyNumberFormat="1" applyFont="1" applyBorder="1">
      <alignment horizontal="right" vertical="center" indent="1"/>
    </xf>
    <xf numFmtId="0" fontId="0" fillId="0" borderId="0" xfId="2" applyNumberFormat="1" applyFont="1" applyBorder="1">
      <alignment horizontal="right" vertical="center" indent="1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27" fillId="0" borderId="0" xfId="0" applyFont="1"/>
    <xf numFmtId="0" fontId="37" fillId="0" borderId="7" xfId="0" applyFont="1" applyBorder="1" applyAlignment="1">
      <alignment horizontal="center"/>
    </xf>
    <xf numFmtId="0" fontId="37" fillId="0" borderId="3" xfId="0" applyFont="1" applyBorder="1" applyAlignment="1">
      <alignment horizontal="center"/>
    </xf>
    <xf numFmtId="0" fontId="23" fillId="0" borderId="12" xfId="0" applyFont="1" applyBorder="1" applyAlignment="1">
      <alignment horizontal="center"/>
    </xf>
    <xf numFmtId="0" fontId="23" fillId="0" borderId="4" xfId="0" applyNumberFormat="1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4" fontId="23" fillId="0" borderId="6" xfId="0" applyNumberFormat="1" applyFont="1" applyBorder="1" applyAlignment="1">
      <alignment horizontal="right"/>
    </xf>
    <xf numFmtId="4" fontId="23" fillId="0" borderId="12" xfId="0" applyNumberFormat="1" applyFont="1" applyBorder="1"/>
    <xf numFmtId="169" fontId="23" fillId="0" borderId="6" xfId="0" applyNumberFormat="1" applyFont="1" applyBorder="1"/>
    <xf numFmtId="10" fontId="23" fillId="0" borderId="6" xfId="0" applyNumberFormat="1" applyFont="1" applyBorder="1"/>
    <xf numFmtId="0" fontId="23" fillId="0" borderId="3" xfId="0" applyFont="1" applyBorder="1" applyAlignment="1">
      <alignment horizontal="center"/>
    </xf>
    <xf numFmtId="0" fontId="23" fillId="0" borderId="7" xfId="0" applyNumberFormat="1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4" fontId="23" fillId="0" borderId="8" xfId="0" applyNumberFormat="1" applyFont="1" applyBorder="1" applyAlignment="1">
      <alignment horizontal="right"/>
    </xf>
    <xf numFmtId="4" fontId="23" fillId="0" borderId="3" xfId="0" applyNumberFormat="1" applyFont="1" applyBorder="1"/>
    <xf numFmtId="169" fontId="23" fillId="0" borderId="8" xfId="0" applyNumberFormat="1" applyFont="1" applyBorder="1"/>
    <xf numFmtId="10" fontId="23" fillId="0" borderId="8" xfId="0" applyNumberFormat="1" applyFont="1" applyBorder="1"/>
    <xf numFmtId="2" fontId="23" fillId="0" borderId="8" xfId="0" applyNumberFormat="1" applyFont="1" applyBorder="1" applyAlignment="1">
      <alignment horizontal="right"/>
    </xf>
    <xf numFmtId="0" fontId="23" fillId="0" borderId="13" xfId="0" applyFont="1" applyBorder="1" applyAlignment="1">
      <alignment horizontal="center"/>
    </xf>
    <xf numFmtId="0" fontId="23" fillId="0" borderId="9" xfId="0" applyNumberFormat="1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1" xfId="0" applyFont="1" applyBorder="1" applyAlignment="1">
      <alignment vertical="center"/>
    </xf>
    <xf numFmtId="0" fontId="23" fillId="0" borderId="9" xfId="0" applyFont="1" applyBorder="1" applyAlignment="1">
      <alignment horizontal="left"/>
    </xf>
    <xf numFmtId="2" fontId="23" fillId="0" borderId="11" xfId="0" applyNumberFormat="1" applyFont="1" applyBorder="1" applyAlignment="1">
      <alignment horizontal="right"/>
    </xf>
    <xf numFmtId="4" fontId="23" fillId="0" borderId="13" xfId="0" applyNumberFormat="1" applyFont="1" applyBorder="1"/>
    <xf numFmtId="0" fontId="12" fillId="0" borderId="7" xfId="0" applyFont="1" applyBorder="1"/>
    <xf numFmtId="0" fontId="12" fillId="0" borderId="8" xfId="0" applyFont="1" applyBorder="1"/>
    <xf numFmtId="4" fontId="23" fillId="0" borderId="11" xfId="0" applyNumberFormat="1" applyFont="1" applyBorder="1"/>
    <xf numFmtId="10" fontId="23" fillId="0" borderId="1" xfId="0" applyNumberFormat="1" applyFont="1" applyBorder="1"/>
    <xf numFmtId="0" fontId="12" fillId="0" borderId="0" xfId="0" applyFont="1" applyAlignment="1">
      <alignment horizontal="center"/>
    </xf>
    <xf numFmtId="0" fontId="12" fillId="0" borderId="9" xfId="0" applyFont="1" applyBorder="1"/>
    <xf numFmtId="0" fontId="12" fillId="0" borderId="10" xfId="0" applyFont="1" applyBorder="1"/>
    <xf numFmtId="0" fontId="12" fillId="0" borderId="10" xfId="0" applyFont="1" applyBorder="1" applyAlignment="1">
      <alignment vertical="top"/>
    </xf>
    <xf numFmtId="0" fontId="23" fillId="0" borderId="11" xfId="0" applyFont="1" applyBorder="1"/>
    <xf numFmtId="0" fontId="12" fillId="0" borderId="0" xfId="0" applyFont="1" applyAlignment="1">
      <alignment vertical="center"/>
    </xf>
    <xf numFmtId="0" fontId="12" fillId="0" borderId="0" xfId="0" applyFont="1"/>
    <xf numFmtId="0" fontId="12" fillId="0" borderId="4" xfId="0" applyFont="1" applyBorder="1"/>
    <xf numFmtId="0" fontId="12" fillId="0" borderId="5" xfId="0" applyFont="1" applyBorder="1"/>
    <xf numFmtId="0" fontId="23" fillId="0" borderId="0" xfId="0" applyFont="1"/>
    <xf numFmtId="0" fontId="23" fillId="0" borderId="0" xfId="0" applyFont="1" applyAlignment="1" applyProtection="1">
      <alignment vertical="center"/>
      <protection locked="0"/>
    </xf>
    <xf numFmtId="168" fontId="23" fillId="0" borderId="0" xfId="0" applyNumberFormat="1" applyFont="1" applyAlignment="1">
      <alignment vertical="center"/>
    </xf>
    <xf numFmtId="0" fontId="12" fillId="0" borderId="6" xfId="0" applyFont="1" applyBorder="1"/>
    <xf numFmtId="0" fontId="38" fillId="0" borderId="0" xfId="0" applyFont="1"/>
    <xf numFmtId="0" fontId="39" fillId="0" borderId="0" xfId="0" applyFont="1"/>
    <xf numFmtId="0" fontId="40" fillId="0" borderId="7" xfId="0" applyFont="1" applyBorder="1" applyAlignment="1">
      <alignment horizontal="center" vertical="top"/>
    </xf>
    <xf numFmtId="0" fontId="12" fillId="0" borderId="7" xfId="0" applyFont="1" applyBorder="1" applyAlignment="1">
      <alignment horizontal="center"/>
    </xf>
    <xf numFmtId="0" fontId="23" fillId="0" borderId="4" xfId="0" applyFont="1" applyBorder="1"/>
    <xf numFmtId="0" fontId="23" fillId="0" borderId="5" xfId="0" applyFont="1" applyBorder="1"/>
    <xf numFmtId="0" fontId="23" fillId="0" borderId="6" xfId="0" applyFont="1" applyBorder="1"/>
    <xf numFmtId="0" fontId="23" fillId="0" borderId="8" xfId="0" applyFont="1" applyBorder="1"/>
    <xf numFmtId="0" fontId="23" fillId="0" borderId="10" xfId="0" applyFont="1" applyBorder="1"/>
    <xf numFmtId="0" fontId="23" fillId="0" borderId="14" xfId="0" applyFont="1" applyBorder="1" applyAlignment="1">
      <alignment vertical="center"/>
    </xf>
    <xf numFmtId="0" fontId="23" fillId="0" borderId="14" xfId="0" applyFont="1" applyBorder="1"/>
    <xf numFmtId="0" fontId="40" fillId="0" borderId="14" xfId="0" applyFont="1" applyBorder="1"/>
    <xf numFmtId="0" fontId="23" fillId="0" borderId="16" xfId="0" applyFont="1" applyBorder="1"/>
    <xf numFmtId="0" fontId="23" fillId="0" borderId="9" xfId="0" applyFont="1" applyBorder="1"/>
    <xf numFmtId="0" fontId="12" fillId="0" borderId="0" xfId="0" applyFont="1" applyBorder="1" applyAlignment="1">
      <alignment horizontal="center"/>
    </xf>
    <xf numFmtId="0" fontId="39" fillId="0" borderId="0" xfId="0" applyFont="1" applyBorder="1"/>
    <xf numFmtId="0" fontId="39" fillId="0" borderId="0" xfId="0" applyFont="1" applyBorder="1" applyAlignment="1">
      <alignment horizontal="center" vertical="top"/>
    </xf>
    <xf numFmtId="4" fontId="12" fillId="0" borderId="0" xfId="0" applyNumberFormat="1" applyFont="1" applyBorder="1" applyAlignment="1">
      <alignment horizontal="right"/>
    </xf>
    <xf numFmtId="4" fontId="12" fillId="0" borderId="0" xfId="0" applyNumberFormat="1" applyFont="1" applyBorder="1"/>
    <xf numFmtId="10" fontId="12" fillId="0" borderId="0" xfId="0" applyNumberFormat="1" applyFont="1" applyBorder="1"/>
    <xf numFmtId="0" fontId="12" fillId="0" borderId="0" xfId="0" applyFont="1" applyBorder="1" applyAlignment="1">
      <alignment wrapText="1"/>
    </xf>
    <xf numFmtId="2" fontId="12" fillId="0" borderId="0" xfId="0" applyNumberFormat="1" applyFont="1" applyBorder="1" applyAlignment="1">
      <alignment horizontal="right"/>
    </xf>
    <xf numFmtId="0" fontId="12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vertical="top"/>
    </xf>
    <xf numFmtId="0" fontId="42" fillId="0" borderId="0" xfId="0" applyFont="1" applyBorder="1" applyAlignment="1">
      <alignment vertical="center"/>
    </xf>
    <xf numFmtId="0" fontId="34" fillId="0" borderId="0" xfId="0" applyFont="1" applyAlignment="1">
      <alignment horizontal="left" vertical="top" wrapText="1"/>
    </xf>
    <xf numFmtId="0" fontId="34" fillId="0" borderId="0" xfId="0" applyFont="1" applyAlignment="1">
      <alignment horizontal="center" vertical="center"/>
    </xf>
    <xf numFmtId="0" fontId="36" fillId="0" borderId="0" xfId="0" applyFont="1" applyAlignment="1">
      <alignment horizontal="right"/>
    </xf>
    <xf numFmtId="0" fontId="41" fillId="0" borderId="17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167" fontId="14" fillId="0" borderId="0" xfId="0" applyNumberFormat="1" applyFont="1" applyBorder="1" applyAlignment="1">
      <alignment horizontal="center" vertical="center"/>
    </xf>
    <xf numFmtId="168" fontId="20" fillId="0" borderId="0" xfId="0" applyNumberFormat="1" applyFont="1" applyAlignment="1">
      <alignment horizontal="left"/>
    </xf>
    <xf numFmtId="0" fontId="27" fillId="0" borderId="0" xfId="0" applyFont="1" applyAlignment="1">
      <alignment horizontal="center"/>
    </xf>
    <xf numFmtId="0" fontId="20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0" fontId="14" fillId="0" borderId="17" xfId="0" applyFont="1" applyBorder="1" applyAlignment="1">
      <alignment horizontal="center" wrapText="1"/>
    </xf>
    <xf numFmtId="0" fontId="23" fillId="0" borderId="0" xfId="0" applyFont="1" applyAlignment="1">
      <alignment horizontal="left"/>
    </xf>
    <xf numFmtId="0" fontId="33" fillId="0" borderId="5" xfId="0" applyFont="1" applyBorder="1" applyAlignment="1">
      <alignment horizontal="right" vertical="center"/>
    </xf>
    <xf numFmtId="0" fontId="33" fillId="0" borderId="0" xfId="0" applyFont="1" applyBorder="1" applyAlignment="1">
      <alignment horizontal="right" vertical="center"/>
    </xf>
    <xf numFmtId="0" fontId="26" fillId="0" borderId="0" xfId="0" applyFont="1" applyAlignment="1" applyProtection="1">
      <alignment horizontal="center" vertical="center"/>
      <protection locked="0"/>
    </xf>
    <xf numFmtId="167" fontId="23" fillId="0" borderId="0" xfId="0" applyNumberFormat="1" applyFont="1" applyAlignment="1">
      <alignment horizontal="left"/>
    </xf>
    <xf numFmtId="0" fontId="11" fillId="0" borderId="0" xfId="0" applyFont="1" applyBorder="1" applyAlignment="1">
      <alignment horizontal="center" vertical="top"/>
    </xf>
    <xf numFmtId="0" fontId="21" fillId="0" borderId="0" xfId="0" applyFont="1" applyAlignment="1">
      <alignment horizontal="center" vertical="center"/>
    </xf>
    <xf numFmtId="173" fontId="0" fillId="0" borderId="0" xfId="1" applyNumberFormat="1" applyFont="1" applyBorder="1" applyAlignment="1" applyProtection="1">
      <alignment horizontal="center" vertical="center" wrapText="1"/>
      <protection locked="0"/>
    </xf>
    <xf numFmtId="174" fontId="0" fillId="0" borderId="0" xfId="0" applyNumberFormat="1" applyBorder="1" applyAlignment="1">
      <alignment horizontal="center" vertical="center"/>
    </xf>
    <xf numFmtId="174" fontId="0" fillId="0" borderId="0" xfId="0" applyNumberFormat="1" applyBorder="1" applyAlignment="1">
      <alignment horizontal="center"/>
    </xf>
    <xf numFmtId="17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174" fontId="0" fillId="0" borderId="0" xfId="0" applyNumberFormat="1" applyFill="1" applyBorder="1" applyAlignment="1">
      <alignment horizontal="center" vertical="center"/>
    </xf>
    <xf numFmtId="174" fontId="20" fillId="0" borderId="0" xfId="0" applyNumberFormat="1" applyFont="1" applyAlignment="1">
      <alignment horizontal="left"/>
    </xf>
    <xf numFmtId="174" fontId="23" fillId="0" borderId="0" xfId="0" applyNumberFormat="1" applyFont="1" applyAlignment="1">
      <alignment vertical="center"/>
    </xf>
    <xf numFmtId="174" fontId="23" fillId="0" borderId="0" xfId="0" applyNumberFormat="1" applyFont="1" applyAlignment="1">
      <alignment horizontal="left"/>
    </xf>
    <xf numFmtId="166" fontId="23" fillId="0" borderId="0" xfId="0" applyNumberFormat="1" applyFont="1" applyAlignment="1">
      <alignment horizontal="center" vertical="center"/>
    </xf>
    <xf numFmtId="0" fontId="5" fillId="0" borderId="19" xfId="0" applyFont="1" applyBorder="1" applyAlignment="1">
      <alignment horizontal="left"/>
    </xf>
    <xf numFmtId="175" fontId="0" fillId="0" borderId="0" xfId="0" applyNumberFormat="1" applyAlignment="1" applyProtection="1">
      <alignment horizontal="center" vertical="center"/>
      <protection locked="0"/>
    </xf>
    <xf numFmtId="0" fontId="0" fillId="0" borderId="0" xfId="3" applyFont="1" applyAlignment="1" applyProtection="1">
      <alignment horizontal="center" vertical="center"/>
    </xf>
    <xf numFmtId="0" fontId="0" fillId="0" borderId="0" xfId="3" applyFont="1" applyBorder="1" applyProtection="1">
      <alignment horizontal="right" vertical="center" indent="1"/>
    </xf>
    <xf numFmtId="0" fontId="0" fillId="0" borderId="0" xfId="3" applyFont="1" applyProtection="1">
      <alignment horizontal="right" vertical="center" indent="1"/>
    </xf>
    <xf numFmtId="0" fontId="0" fillId="0" borderId="0" xfId="0" applyProtection="1"/>
    <xf numFmtId="166" fontId="0" fillId="0" borderId="0" xfId="0" applyNumberFormat="1" applyFont="1" applyFill="1" applyAlignment="1">
      <alignment horizontal="center" vertical="center"/>
    </xf>
  </cellXfs>
  <cellStyles count="5">
    <cellStyle name="Détails du tableau droite" xfId="3" xr:uid="{00000000-0005-0000-0000-000000000000}"/>
    <cellStyle name="Détails du tableau gauche" xfId="1" xr:uid="{00000000-0005-0000-0000-000001000000}"/>
    <cellStyle name="Devise du tableau" xfId="2" xr:uid="{00000000-0005-0000-0000-000002000000}"/>
    <cellStyle name="Lien hypertexte" xfId="4" builtinId="8"/>
    <cellStyle name="Normal" xfId="0" builtinId="0"/>
  </cellStyles>
  <dxfs count="259"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74" formatCode="0#&quot; &quot;##&quot; &quot;##&quot; &quot;##&quot; &quot;##"/>
      <alignment horizontal="center" vertical="center" textRotation="0" wrapText="0" indent="0" justifyLastLine="0" shrinkToFit="0" readingOrder="0"/>
    </dxf>
    <dxf>
      <numFmt numFmtId="17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7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73" formatCode="#_####_###_ ##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FFFFFF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protection locked="0" hidden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protection locked="0" hidden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9" formatCode="#,##0.00\ &quot;€&quot;"/>
    </dxf>
    <dxf>
      <protection locked="0" hidden="0"/>
    </dxf>
    <dxf>
      <numFmt numFmtId="169" formatCode="#,##0.00\ &quot;€&quot;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9" formatCode="#,##0.00\ &quot;€&quot;"/>
    </dxf>
    <dxf>
      <protection locked="0" hidden="0"/>
    </dxf>
    <dxf>
      <numFmt numFmtId="169" formatCode="#,##0.00\ &quot;€&quot;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9" formatCode="#,##0.00\ &quot;€&quot;"/>
    </dxf>
    <dxf>
      <protection locked="0" hidden="0"/>
    </dxf>
    <dxf>
      <numFmt numFmtId="169" formatCode="#,##0.00\ &quot;€&quot;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9" formatCode="#,##0.00\ &quot;€&quot;"/>
    </dxf>
    <dxf>
      <protection locked="0" hidden="0"/>
    </dxf>
    <dxf>
      <numFmt numFmtId="169" formatCode="#,##0.00\ &quot;€&quot;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9" formatCode="#,##0.00\ &quot;€&quot;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9" formatCode="#,##0.00\ &quot;€&quot;"/>
    </dxf>
    <dxf>
      <numFmt numFmtId="0" formatCode="General"/>
      <protection locked="0" hidden="0"/>
    </dxf>
    <dxf>
      <numFmt numFmtId="169" formatCode="#,##0.00\ &quot;€&quot;"/>
      <protection locked="0" hidden="0"/>
    </dxf>
    <dxf>
      <protection locked="0" hidden="0"/>
    </dxf>
    <dxf>
      <protection locked="0" hidden="0"/>
    </dxf>
    <dxf>
      <numFmt numFmtId="30" formatCode="@"/>
      <alignment horizontal="center" vertical="center" textRotation="0" wrapText="0" indent="0" justifyLastLine="0" shrinkToFit="0" readingOrder="0"/>
      <protection locked="0" hidden="0"/>
    </dxf>
    <dxf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70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0" formatCode="#,##0.00\ _€"/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&quot;€&quot;#,##0.00_);\(&quot;€&quot;#,##0.00\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protection locked="0" hidden="0"/>
    </dxf>
    <dxf>
      <numFmt numFmtId="166" formatCode="&quot;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horizontal style="thin">
          <color rgb="FF000000"/>
        </horizontal>
      </border>
    </dxf>
  </dxfs>
  <tableStyles count="2" defaultTableStyle="TableStyleMedium2" defaultPivotStyle="PivotStyleLight16">
    <tableStyle name="Style de tableau 1" pivot="0" count="0" xr9:uid="{C5980EBE-D61F-4009-A1AF-476A75265399}"/>
    <tableStyle name="TableStyleMedium1 2" pivot="0" count="7" xr9:uid="{2D53E253-1550-4532-8FA3-3A547851F1F5}">
      <tableStyleElement type="wholeTable" dxfId="258"/>
      <tableStyleElement type="headerRow" dxfId="257"/>
      <tableStyleElement type="totalRow" dxfId="256"/>
      <tableStyleElement type="firstColumn" dxfId="255"/>
      <tableStyleElement type="lastColumn" dxfId="254"/>
      <tableStyleElement type="firstRowStripe" dxfId="253"/>
      <tableStyleElement type="firstColumnStripe" dxfId="25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6.png"/><Relationship Id="rId1" Type="http://schemas.openxmlformats.org/officeDocument/2006/relationships/image" Target="../media/image25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9.jpeg"/><Relationship Id="rId1" Type="http://schemas.openxmlformats.org/officeDocument/2006/relationships/image" Target="../media/image28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1.jpeg"/><Relationship Id="rId1" Type="http://schemas.openxmlformats.org/officeDocument/2006/relationships/image" Target="../media/image30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3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3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4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7.emf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1</xdr:row>
      <xdr:rowOff>53340</xdr:rowOff>
    </xdr:from>
    <xdr:to>
      <xdr:col>4</xdr:col>
      <xdr:colOff>91440</xdr:colOff>
      <xdr:row>5</xdr:row>
      <xdr:rowOff>44497</xdr:rowOff>
    </xdr:to>
    <xdr:pic>
      <xdr:nvPicPr>
        <xdr:cNvPr id="2" name="Image 1" descr="Résultat de recherche d'images pour &quot;logo wago&quot;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" y="106680"/>
          <a:ext cx="2506980" cy="9055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129540</xdr:colOff>
          <xdr:row>2</xdr:row>
          <xdr:rowOff>53340</xdr:rowOff>
        </xdr:from>
        <xdr:to>
          <xdr:col>5</xdr:col>
          <xdr:colOff>2834640</xdr:colOff>
          <xdr:row>4</xdr:row>
          <xdr:rowOff>137160</xdr:rowOff>
        </xdr:to>
        <xdr:sp macro="" textlink="">
          <xdr:nvSpPr>
            <xdr:cNvPr id="33793" name="CommandButton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00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</xdr:colOff>
          <xdr:row>7</xdr:row>
          <xdr:rowOff>15240</xdr:rowOff>
        </xdr:from>
        <xdr:to>
          <xdr:col>1</xdr:col>
          <xdr:colOff>1219200</xdr:colOff>
          <xdr:row>8</xdr:row>
          <xdr:rowOff>0</xdr:rowOff>
        </xdr:to>
        <xdr:sp macro="" textlink="">
          <xdr:nvSpPr>
            <xdr:cNvPr id="33794" name="CommandButton2" hidden="1">
              <a:extLst>
                <a:ext uri="{63B3BB69-23CF-44E3-9099-C40C66FF867C}">
                  <a14:compatExt spid="_x0000_s33794"/>
                </a:ext>
                <a:ext uri="{FF2B5EF4-FFF2-40B4-BE49-F238E27FC236}">
                  <a16:creationId xmlns:a16="http://schemas.microsoft.com/office/drawing/2014/main" id="{00000000-0008-0000-0000-00000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</xdr:colOff>
          <xdr:row>8</xdr:row>
          <xdr:rowOff>15240</xdr:rowOff>
        </xdr:from>
        <xdr:to>
          <xdr:col>1</xdr:col>
          <xdr:colOff>1219200</xdr:colOff>
          <xdr:row>9</xdr:row>
          <xdr:rowOff>0</xdr:rowOff>
        </xdr:to>
        <xdr:sp macro="" textlink="">
          <xdr:nvSpPr>
            <xdr:cNvPr id="33795" name="CommandButton3" hidden="1">
              <a:extLst>
                <a:ext uri="{63B3BB69-23CF-44E3-9099-C40C66FF867C}">
                  <a14:compatExt spid="_x0000_s33795"/>
                </a:ext>
                <a:ext uri="{FF2B5EF4-FFF2-40B4-BE49-F238E27FC236}">
                  <a16:creationId xmlns:a16="http://schemas.microsoft.com/office/drawing/2014/main" id="{00000000-0008-0000-0000-000003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33867</xdr:colOff>
      <xdr:row>1</xdr:row>
      <xdr:rowOff>22013</xdr:rowOff>
    </xdr:from>
    <xdr:to>
      <xdr:col>3</xdr:col>
      <xdr:colOff>742527</xdr:colOff>
      <xdr:row>5</xdr:row>
      <xdr:rowOff>141103</xdr:rowOff>
    </xdr:to>
    <xdr:pic>
      <xdr:nvPicPr>
        <xdr:cNvPr id="2" name="Image 1" descr="Résultat de recherche d'images pour &quot;fils electrique&quot;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787" y="82973"/>
          <a:ext cx="2247900" cy="10334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320040</xdr:colOff>
          <xdr:row>1</xdr:row>
          <xdr:rowOff>213360</xdr:rowOff>
        </xdr:from>
        <xdr:to>
          <xdr:col>5</xdr:col>
          <xdr:colOff>3108960</xdr:colOff>
          <xdr:row>4</xdr:row>
          <xdr:rowOff>76200</xdr:rowOff>
        </xdr:to>
        <xdr:sp macro="" textlink="">
          <xdr:nvSpPr>
            <xdr:cNvPr id="34817" name="CommandButton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01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30480</xdr:colOff>
      <xdr:row>1</xdr:row>
      <xdr:rowOff>38100</xdr:rowOff>
    </xdr:from>
    <xdr:to>
      <xdr:col>3</xdr:col>
      <xdr:colOff>777240</xdr:colOff>
      <xdr:row>5</xdr:row>
      <xdr:rowOff>152400</xdr:rowOff>
    </xdr:to>
    <xdr:pic>
      <xdr:nvPicPr>
        <xdr:cNvPr id="2" name="Image 1" descr="Résultat de recherche d'images pour &quot;goulotte industrielle&quot;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152400" y="91440"/>
          <a:ext cx="2301240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198120</xdr:colOff>
          <xdr:row>2</xdr:row>
          <xdr:rowOff>38100</xdr:rowOff>
        </xdr:from>
        <xdr:to>
          <xdr:col>5</xdr:col>
          <xdr:colOff>2819400</xdr:colOff>
          <xdr:row>4</xdr:row>
          <xdr:rowOff>114300</xdr:rowOff>
        </xdr:to>
        <xdr:sp macro="" textlink="">
          <xdr:nvSpPr>
            <xdr:cNvPr id="35841" name="CommandButton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02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</xdr:colOff>
      <xdr:row>1</xdr:row>
      <xdr:rowOff>144780</xdr:rowOff>
    </xdr:from>
    <xdr:to>
      <xdr:col>5</xdr:col>
      <xdr:colOff>890121</xdr:colOff>
      <xdr:row>5</xdr:row>
      <xdr:rowOff>7620</xdr:rowOff>
    </xdr:to>
    <xdr:pic>
      <xdr:nvPicPr>
        <xdr:cNvPr id="2" name="Image 1" descr="Résultat de recherche d'images pour &quot;wurth&quot;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" y="190500"/>
          <a:ext cx="3488542" cy="777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1280160</xdr:colOff>
          <xdr:row>2</xdr:row>
          <xdr:rowOff>38100</xdr:rowOff>
        </xdr:from>
        <xdr:to>
          <xdr:col>5</xdr:col>
          <xdr:colOff>3710940</xdr:colOff>
          <xdr:row>4</xdr:row>
          <xdr:rowOff>114300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3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1</xdr:row>
      <xdr:rowOff>114300</xdr:rowOff>
    </xdr:from>
    <xdr:to>
      <xdr:col>5</xdr:col>
      <xdr:colOff>1369333</xdr:colOff>
      <xdr:row>4</xdr:row>
      <xdr:rowOff>160020</xdr:rowOff>
    </xdr:to>
    <xdr:pic>
      <xdr:nvPicPr>
        <xdr:cNvPr id="2" name="Image 1" descr="Résultat de recherche d'images pour &quot;socomec&quot;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" y="167640"/>
          <a:ext cx="3929653" cy="7315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1790700</xdr:colOff>
          <xdr:row>1</xdr:row>
          <xdr:rowOff>220980</xdr:rowOff>
        </xdr:from>
        <xdr:to>
          <xdr:col>6</xdr:col>
          <xdr:colOff>335280</xdr:colOff>
          <xdr:row>4</xdr:row>
          <xdr:rowOff>99060</xdr:rowOff>
        </xdr:to>
        <xdr:sp macro="" textlink="">
          <xdr:nvSpPr>
            <xdr:cNvPr id="31745" name="CommandButton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4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99060</xdr:colOff>
      <xdr:row>0</xdr:row>
      <xdr:rowOff>0</xdr:rowOff>
    </xdr:from>
    <xdr:to>
      <xdr:col>4</xdr:col>
      <xdr:colOff>213360</xdr:colOff>
      <xdr:row>5</xdr:row>
      <xdr:rowOff>81100</xdr:rowOff>
    </xdr:to>
    <xdr:pic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" y="0"/>
          <a:ext cx="2369820" cy="995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495300</xdr:colOff>
          <xdr:row>1</xdr:row>
          <xdr:rowOff>76200</xdr:rowOff>
        </xdr:from>
        <xdr:to>
          <xdr:col>5</xdr:col>
          <xdr:colOff>2941320</xdr:colOff>
          <xdr:row>4</xdr:row>
          <xdr:rowOff>60960</xdr:rowOff>
        </xdr:to>
        <xdr:sp macro="" textlink="">
          <xdr:nvSpPr>
            <xdr:cNvPr id="36865" name="CommandButton7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05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</xdr:colOff>
      <xdr:row>1</xdr:row>
      <xdr:rowOff>190500</xdr:rowOff>
    </xdr:from>
    <xdr:to>
      <xdr:col>5</xdr:col>
      <xdr:colOff>266700</xdr:colOff>
      <xdr:row>4</xdr:row>
      <xdr:rowOff>215268</xdr:rowOff>
    </xdr:to>
    <xdr:pic>
      <xdr:nvPicPr>
        <xdr:cNvPr id="2" name="Image 1" descr="Résultat de recherche d'images pour &quot;legrand&quot;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" y="243840"/>
          <a:ext cx="2857500" cy="71056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609600</xdr:colOff>
          <xdr:row>1</xdr:row>
          <xdr:rowOff>205740</xdr:rowOff>
        </xdr:from>
        <xdr:to>
          <xdr:col>5</xdr:col>
          <xdr:colOff>3101340</xdr:colOff>
          <xdr:row>4</xdr:row>
          <xdr:rowOff>38100</xdr:rowOff>
        </xdr:to>
        <xdr:sp macro="" textlink="">
          <xdr:nvSpPr>
            <xdr:cNvPr id="37889" name="CommandButton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06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15240</xdr:colOff>
      <xdr:row>1</xdr:row>
      <xdr:rowOff>22860</xdr:rowOff>
    </xdr:from>
    <xdr:ext cx="2385060" cy="958331"/>
    <xdr:pic>
      <xdr:nvPicPr>
        <xdr:cNvPr id="2" name="Image 1" descr="Résultat de recherche d'images pour &quot;schneider&quot;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720" y="205740"/>
          <a:ext cx="2385060" cy="95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2</xdr:row>
          <xdr:rowOff>30480</xdr:rowOff>
        </xdr:from>
        <xdr:to>
          <xdr:col>5</xdr:col>
          <xdr:colOff>2804160</xdr:colOff>
          <xdr:row>4</xdr:row>
          <xdr:rowOff>160020</xdr:rowOff>
        </xdr:to>
        <xdr:sp macro="" textlink="">
          <xdr:nvSpPr>
            <xdr:cNvPr id="38913" name="CommandButton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07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2</xdr:row>
      <xdr:rowOff>15240</xdr:rowOff>
    </xdr:from>
    <xdr:to>
      <xdr:col>5</xdr:col>
      <xdr:colOff>500291</xdr:colOff>
      <xdr:row>4</xdr:row>
      <xdr:rowOff>53340</xdr:rowOff>
    </xdr:to>
    <xdr:pic>
      <xdr:nvPicPr>
        <xdr:cNvPr id="2" name="Image 1" descr="Résultat de recherche d'images pour &quot;siemens&quot;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" y="297180"/>
          <a:ext cx="3068230" cy="495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800100</xdr:colOff>
          <xdr:row>2</xdr:row>
          <xdr:rowOff>30480</xdr:rowOff>
        </xdr:from>
        <xdr:to>
          <xdr:col>5</xdr:col>
          <xdr:colOff>3253740</xdr:colOff>
          <xdr:row>4</xdr:row>
          <xdr:rowOff>91440</xdr:rowOff>
        </xdr:to>
        <xdr:sp macro="" textlink="">
          <xdr:nvSpPr>
            <xdr:cNvPr id="39937" name="CommandButton1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id="{00000000-0008-0000-0800-000001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754380</xdr:colOff>
          <xdr:row>1</xdr:row>
          <xdr:rowOff>129540</xdr:rowOff>
        </xdr:from>
        <xdr:to>
          <xdr:col>8</xdr:col>
          <xdr:colOff>495300</xdr:colOff>
          <xdr:row>4</xdr:row>
          <xdr:rowOff>99060</xdr:rowOff>
        </xdr:to>
        <xdr:sp macro="" textlink="">
          <xdr:nvSpPr>
            <xdr:cNvPr id="48130" name="CommandButton1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9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1</xdr:row>
          <xdr:rowOff>129540</xdr:rowOff>
        </xdr:from>
        <xdr:to>
          <xdr:col>8</xdr:col>
          <xdr:colOff>533400</xdr:colOff>
          <xdr:row>4</xdr:row>
          <xdr:rowOff>99060</xdr:rowOff>
        </xdr:to>
        <xdr:sp macro="" textlink="">
          <xdr:nvSpPr>
            <xdr:cNvPr id="49153" name="CommandButton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00000000-0008-0000-0A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716280</xdr:colOff>
          <xdr:row>1</xdr:row>
          <xdr:rowOff>129540</xdr:rowOff>
        </xdr:from>
        <xdr:to>
          <xdr:col>8</xdr:col>
          <xdr:colOff>457200</xdr:colOff>
          <xdr:row>4</xdr:row>
          <xdr:rowOff>99060</xdr:rowOff>
        </xdr:to>
        <xdr:sp macro="" textlink="">
          <xdr:nvSpPr>
            <xdr:cNvPr id="50177" name="CommandButton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B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2947667</xdr:colOff>
      <xdr:row>0</xdr:row>
      <xdr:rowOff>197223</xdr:rowOff>
    </xdr:from>
    <xdr:to>
      <xdr:col>9</xdr:col>
      <xdr:colOff>1112645</xdr:colOff>
      <xdr:row>3</xdr:row>
      <xdr:rowOff>98613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894443" y="197223"/>
          <a:ext cx="2165230" cy="135367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381000</xdr:rowOff>
        </xdr:from>
        <xdr:to>
          <xdr:col>7</xdr:col>
          <xdr:colOff>220980</xdr:colOff>
          <xdr:row>3</xdr:row>
          <xdr:rowOff>152400</xdr:rowOff>
        </xdr:to>
        <xdr:sp macro="" textlink="">
          <xdr:nvSpPr>
            <xdr:cNvPr id="51202" name="CommandButton1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00000000-0008-0000-0C00-000002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268941</xdr:colOff>
      <xdr:row>0</xdr:row>
      <xdr:rowOff>213533</xdr:rowOff>
    </xdr:from>
    <xdr:to>
      <xdr:col>2</xdr:col>
      <xdr:colOff>1039906</xdr:colOff>
      <xdr:row>3</xdr:row>
      <xdr:rowOff>35861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5129" y="213533"/>
          <a:ext cx="1595718" cy="127461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1623060</xdr:colOff>
          <xdr:row>2</xdr:row>
          <xdr:rowOff>281940</xdr:rowOff>
        </xdr:from>
        <xdr:to>
          <xdr:col>6</xdr:col>
          <xdr:colOff>1623060</xdr:colOff>
          <xdr:row>4</xdr:row>
          <xdr:rowOff>160020</xdr:rowOff>
        </xdr:to>
        <xdr:sp macro="" textlink="">
          <xdr:nvSpPr>
            <xdr:cNvPr id="58370" name="CommandButton1" hidden="1">
              <a:extLst>
                <a:ext uri="{63B3BB69-23CF-44E3-9099-C40C66FF867C}">
                  <a14:compatExt spid="_x0000_s58370"/>
                </a:ext>
                <a:ext uri="{FF2B5EF4-FFF2-40B4-BE49-F238E27FC236}">
                  <a16:creationId xmlns:a16="http://schemas.microsoft.com/office/drawing/2014/main" id="{00000000-0008-0000-0D00-000002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152399</xdr:colOff>
      <xdr:row>0</xdr:row>
      <xdr:rowOff>114299</xdr:rowOff>
    </xdr:from>
    <xdr:to>
      <xdr:col>2</xdr:col>
      <xdr:colOff>1095374</xdr:colOff>
      <xdr:row>5</xdr:row>
      <xdr:rowOff>34069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4324" y="114299"/>
          <a:ext cx="1838325" cy="1453295"/>
        </a:xfrm>
        <a:prstGeom prst="rect">
          <a:avLst/>
        </a:prstGeom>
      </xdr:spPr>
    </xdr:pic>
    <xdr:clientData/>
  </xdr:twoCellAnchor>
  <xdr:twoCellAnchor editAs="oneCell">
    <xdr:from>
      <xdr:col>8</xdr:col>
      <xdr:colOff>504824</xdr:colOff>
      <xdr:row>0</xdr:row>
      <xdr:rowOff>57150</xdr:rowOff>
    </xdr:from>
    <xdr:to>
      <xdr:col>10</xdr:col>
      <xdr:colOff>676274</xdr:colOff>
      <xdr:row>5</xdr:row>
      <xdr:rowOff>57150</xdr:rowOff>
    </xdr:to>
    <xdr:pic>
      <xdr:nvPicPr>
        <xdr:cNvPr id="9" name="Image 8" descr="Résultat de recherche d'images pour &quot;image preparation commande&quot;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4" y="57150"/>
          <a:ext cx="2695576" cy="1533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8964</xdr:colOff>
      <xdr:row>0</xdr:row>
      <xdr:rowOff>71718</xdr:rowOff>
    </xdr:from>
    <xdr:to>
      <xdr:col>2</xdr:col>
      <xdr:colOff>914399</xdr:colOff>
      <xdr:row>3</xdr:row>
      <xdr:rowOff>98612</xdr:rowOff>
    </xdr:to>
    <xdr:pic>
      <xdr:nvPicPr>
        <xdr:cNvPr id="3" name="Image 2" descr="Résultat de recherche d'images pour &quot;image listing&quot;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046" y="71718"/>
          <a:ext cx="1748118" cy="14612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322728</xdr:colOff>
      <xdr:row>0</xdr:row>
      <xdr:rowOff>134471</xdr:rowOff>
    </xdr:from>
    <xdr:to>
      <xdr:col>10</xdr:col>
      <xdr:colOff>762000</xdr:colOff>
      <xdr:row>3</xdr:row>
      <xdr:rowOff>98613</xdr:rowOff>
    </xdr:to>
    <xdr:pic>
      <xdr:nvPicPr>
        <xdr:cNvPr id="5" name="Image 4" descr="Image associée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7740" y="134471"/>
          <a:ext cx="3505202" cy="13984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</xdr:row>
      <xdr:rowOff>30480</xdr:rowOff>
    </xdr:from>
    <xdr:to>
      <xdr:col>4</xdr:col>
      <xdr:colOff>922020</xdr:colOff>
      <xdr:row>7</xdr:row>
      <xdr:rowOff>160020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 txBox="1"/>
      </xdr:nvSpPr>
      <xdr:spPr>
        <a:xfrm>
          <a:off x="502920" y="220980"/>
          <a:ext cx="3268980" cy="134112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300" b="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ALSAC'ELEC</a:t>
          </a:r>
          <a:endParaRPr lang="fr-FR" sz="1300" b="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300" b="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S.A.S. au capital de 10 000€</a:t>
          </a:r>
          <a:endParaRPr lang="fr-FR" sz="1300" b="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300" b="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Installation</a:t>
          </a:r>
          <a:r>
            <a:rPr lang="fr-FR" sz="1300" b="0" baseline="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et Réalisation d'équipements Electriques &amp; Industriels</a:t>
          </a:r>
          <a:endParaRPr lang="fr-FR" sz="1300" b="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300" b="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22</a:t>
          </a:r>
          <a:r>
            <a:rPr lang="fr-FR" sz="1300" b="0" baseline="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ROUTE DE COLMAR                                      68750 BERGHEIM</a:t>
          </a:r>
          <a:endParaRPr lang="fr-FR" sz="1300" b="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FR" sz="1300" b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548640</xdr:colOff>
          <xdr:row>5</xdr:row>
          <xdr:rowOff>0</xdr:rowOff>
        </xdr:from>
        <xdr:to>
          <xdr:col>21</xdr:col>
          <xdr:colOff>45720</xdr:colOff>
          <xdr:row>8</xdr:row>
          <xdr:rowOff>160020</xdr:rowOff>
        </xdr:to>
        <xdr:sp macro="" textlink="">
          <xdr:nvSpPr>
            <xdr:cNvPr id="56327" name="CommandButton1" hidden="1">
              <a:extLst>
                <a:ext uri="{63B3BB69-23CF-44E3-9099-C40C66FF867C}">
                  <a14:compatExt spid="_x0000_s56327"/>
                </a:ext>
                <a:ext uri="{FF2B5EF4-FFF2-40B4-BE49-F238E27FC236}">
                  <a16:creationId xmlns:a16="http://schemas.microsoft.com/office/drawing/2014/main" id="{00000000-0008-0000-0F00-000007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525780</xdr:colOff>
          <xdr:row>9</xdr:row>
          <xdr:rowOff>190500</xdr:rowOff>
        </xdr:from>
        <xdr:to>
          <xdr:col>21</xdr:col>
          <xdr:colOff>30480</xdr:colOff>
          <xdr:row>13</xdr:row>
          <xdr:rowOff>68580</xdr:rowOff>
        </xdr:to>
        <xdr:sp macro="" textlink="">
          <xdr:nvSpPr>
            <xdr:cNvPr id="56332" name="Button 12" hidden="1">
              <a:extLst>
                <a:ext uri="{63B3BB69-23CF-44E3-9099-C40C66FF867C}">
                  <a14:compatExt spid="_x0000_s56332"/>
                </a:ext>
                <a:ext uri="{FF2B5EF4-FFF2-40B4-BE49-F238E27FC236}">
                  <a16:creationId xmlns:a16="http://schemas.microsoft.com/office/drawing/2014/main" id="{00000000-0008-0000-0F00-00000C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TERMINER LE BON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219076</xdr:colOff>
      <xdr:row>0</xdr:row>
      <xdr:rowOff>76200</xdr:rowOff>
    </xdr:from>
    <xdr:to>
      <xdr:col>2</xdr:col>
      <xdr:colOff>139046</xdr:colOff>
      <xdr:row>0</xdr:row>
      <xdr:rowOff>1647825</xdr:rowOff>
    </xdr:to>
    <xdr:pic>
      <xdr:nvPicPr>
        <xdr:cNvPr id="3" name="Image 2" descr="Image associée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9836"/>
        <a:stretch/>
      </xdr:blipFill>
      <xdr:spPr bwMode="auto">
        <a:xfrm>
          <a:off x="219076" y="76200"/>
          <a:ext cx="1653520" cy="1571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aire%20des%20stock\STOCK%20ATELIER-BON%20DE%20COMMANDE.xls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GO"/>
      <sheetName val="FILS"/>
      <sheetName val="CABLE"/>
      <sheetName val="GOULOTTE"/>
      <sheetName val="SOCOMEC"/>
      <sheetName val="WURTH"/>
      <sheetName val="CAPRIS"/>
      <sheetName val="LEGRAND"/>
      <sheetName val="SIEMENS"/>
      <sheetName val="ENTREE-ARTICLE"/>
      <sheetName val="SORTIE-RETOUR-ARTICLE"/>
      <sheetName val="BON DE COMMANDE "/>
      <sheetName val="REGLAGE"/>
      <sheetName val="Liste des types"/>
      <sheetName val="STOCK ATELIER-BON DE COMMAN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1">
          <cell r="C1" t="str">
            <v>Types</v>
          </cell>
        </row>
        <row r="2">
          <cell r="C2" t="str">
            <v>WAGO</v>
          </cell>
        </row>
        <row r="3">
          <cell r="C3" t="str">
            <v>FILS</v>
          </cell>
        </row>
        <row r="4">
          <cell r="C4" t="str">
            <v>CABLE</v>
          </cell>
        </row>
        <row r="5">
          <cell r="C5" t="str">
            <v>GOULOTTE</v>
          </cell>
        </row>
        <row r="6">
          <cell r="C6" t="str">
            <v>SOCOMEC</v>
          </cell>
        </row>
        <row r="7">
          <cell r="C7" t="str">
            <v>WURTH</v>
          </cell>
        </row>
        <row r="8">
          <cell r="C8" t="str">
            <v>CAPRIS</v>
          </cell>
        </row>
        <row r="9">
          <cell r="C9" t="str">
            <v>LEGRAND</v>
          </cell>
        </row>
        <row r="10">
          <cell r="C10" t="str">
            <v>SCHNEIDER</v>
          </cell>
        </row>
        <row r="11">
          <cell r="C11" t="str">
            <v>SIEMENS</v>
          </cell>
        </row>
      </sheetData>
      <sheetData sheetId="1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4C7FC38-E704-4AD6-9A86-FCAB48D743AE}" name="Tableau210" displayName="Tableau210" ref="B7:M62" totalsRowShown="0" headerRowDxfId="251" dataDxfId="249" headerRowBorderDxfId="250" tableBorderDxfId="248">
  <autoFilter ref="B7:M62" xr:uid="{BF68181C-25AB-4E86-9D63-7B35484993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74438ED8-7675-4D0D-9E51-AC535BF2299C}" name="A COMMANDER" dataDxfId="247"/>
    <tableColumn id="2" xr3:uid="{0C1C6C5B-4937-409E-B919-7AB28CF49F40}" name="NUL" dataDxfId="246">
      <calculatedColumnFormula>IF(Tableau210[[#This Row],[STOCK REEL]]&lt;=0,1,"")</calculatedColumnFormula>
    </tableColumn>
    <tableColumn id="3" xr3:uid="{9C402A8F-EBB1-4CDC-9590-41085D3F9D63}" name="CRITIQUE" dataDxfId="245">
      <calculatedColumnFormula>IF(Tableau210[[#This Row],[STOCK REEL]]&lt;=Tableau210[[#This Row],[MINI]],1,"")</calculatedColumnFormula>
    </tableColumn>
    <tableColumn id="4" xr3:uid="{0BE42131-975B-4915-AD79-053062D8177D}" name="OK" dataDxfId="244">
      <calculatedColumnFormula>IF(Tableau210[[#This Row],[STOCK REEL]]&gt;=Tableau210[[#This Row],[MINI]],1,"")</calculatedColumnFormula>
    </tableColumn>
    <tableColumn id="5" xr3:uid="{724A91C0-F8F1-4ABF-85BB-1099DDA02A07}" name="NOM DESIGNATION " dataDxfId="243"/>
    <tableColumn id="6" xr3:uid="{D7855B62-7050-43AA-9497-698C0E0F9A8F}" name="REFERENCE" dataDxfId="242"/>
    <tableColumn id="7" xr3:uid="{2EE1113F-6ED3-416E-BD18-8D2DCD4E2618}" name="STOCK REEL" dataDxfId="40">
      <calculatedColumnFormula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calculatedColumnFormula>
    </tableColumn>
    <tableColumn id="8" xr3:uid="{F2BA06FA-490A-498A-9429-3D3AF69E112B}" name="MINI" dataDxfId="241"/>
    <tableColumn id="9" xr3:uid="{E10D92ED-2009-4FC1-8CB9-B926362E60F1}" name="MAXI" dataDxfId="240"/>
    <tableColumn id="10" xr3:uid="{51B744C9-FF4A-4EEB-8A26-4F14150D4321}" name="PRIX U." dataDxfId="239"/>
    <tableColumn id="12" xr3:uid="{D55D3891-E7B2-4769-9A40-BEEA3B015ECC}" name="CONDITIONNER" dataDxfId="238" dataCellStyle="Devise du tableau"/>
    <tableColumn id="11" xr3:uid="{A619CE3A-E64F-4F73-979D-414A3A006BA7}" name="PRIX T." dataDxfId="237">
      <calculatedColumnFormula>IFERROR(K8*H8,"")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EBBEC65-1B31-4A5E-8F52-970A42AD0660}" name="Tableau311" displayName="Tableau311" ref="B7:M43" totalsRowShown="0" headerRowDxfId="236" tableBorderDxfId="235">
  <autoFilter ref="B7:M43" xr:uid="{BD5D1B36-77CF-41D0-B750-DE15CDC980E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1B635CD3-E396-4909-9995-29280B596930}" name="A COMMANDER"/>
    <tableColumn id="2" xr3:uid="{EEA8F3DB-0C99-4642-B2AD-6E0ACC6E9A91}" name="NUL" dataDxfId="234">
      <calculatedColumnFormula>IF(Tableau311[[#This Row],[STOCK REEL]]&lt;=0,1,"")</calculatedColumnFormula>
    </tableColumn>
    <tableColumn id="3" xr3:uid="{2C0DA9E1-8669-4FA0-9FB1-B5F4F662BC88}" name="CRITIQUE" dataDxfId="233">
      <calculatedColumnFormula>IF(Tableau311[[#This Row],[STOCK REEL]]&lt;=Tableau311[[#This Row],[MINI]],1,"")</calculatedColumnFormula>
    </tableColumn>
    <tableColumn id="4" xr3:uid="{0BB9C595-CEDB-41C8-BA5A-3F1DA7F97647}" name="OK" dataDxfId="232">
      <calculatedColumnFormula>IF(Tableau311[[#This Row],[STOCK REEL]]&gt;=Tableau311[[#This Row],[MINI]],1,"")</calculatedColumnFormula>
    </tableColumn>
    <tableColumn id="5" xr3:uid="{CAE357B9-1D47-400E-8757-7D37799657B1}" name="NOM DESIGNATION " dataDxfId="231"/>
    <tableColumn id="6" xr3:uid="{6A31977F-1236-430D-94C0-4A6816B2B59F}" name="REFERENCE" dataDxfId="54"/>
    <tableColumn id="7" xr3:uid="{14EAA016-3A9F-4374-A59F-7E4F70577D8E}" name="STOCK REEL" dataDxfId="39">
      <calculatedColumnFormula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calculatedColumnFormula>
    </tableColumn>
    <tableColumn id="8" xr3:uid="{58DB6387-7628-4F6E-9D27-3BF31735E1E8}" name="MINI" dataDxfId="230"/>
    <tableColumn id="9" xr3:uid="{207610B0-A3BF-4D86-B30D-10C51DD6C9DB}" name="MAXI" dataDxfId="229"/>
    <tableColumn id="10" xr3:uid="{45227FA7-7CAD-46B8-9141-69B47EAECA4E}" name="PRIX U." dataDxfId="228" dataCellStyle="Devise du tableau"/>
    <tableColumn id="12" xr3:uid="{60624001-6E05-4D58-A6E3-EE8CBBEC2EB3}" name="CONDITIONER" dataDxfId="227" dataCellStyle="Devise du tableau"/>
    <tableColumn id="11" xr3:uid="{9BF631BA-4652-490B-AA08-68CA3EC4A5F0}" name="PRIX T." dataDxfId="226">
      <calculatedColumnFormula>IFERROR(K8*H8,"")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D074146-779F-4D89-9276-27D9339F7583}" name="Tableau812" displayName="Tableau812" ref="B7:M26" totalsRowShown="0" headerRowDxfId="225" tableBorderDxfId="224">
  <autoFilter ref="B7:M26" xr:uid="{0FEAEEA8-FAF1-483D-B059-96632FB6168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C3AC816-1BAF-4E90-980C-A43DD87004B9}" name="A COMMANDER"/>
    <tableColumn id="2" xr3:uid="{F3EFD4D4-FB24-43E7-AA3C-E114132D6DA0}" name="NUL" dataDxfId="223">
      <calculatedColumnFormula>IF(Tableau812[[#This Row],[STOCK REEL]]&lt;=0,1,"")</calculatedColumnFormula>
    </tableColumn>
    <tableColumn id="3" xr3:uid="{C9584DC1-93AF-45D5-B7B3-24BE934BD194}" name="CRITIQUE" dataDxfId="222">
      <calculatedColumnFormula>IF(Tableau812[[#This Row],[STOCK REEL]]&lt;=Tableau812[[#This Row],[MINI]],1,"")</calculatedColumnFormula>
    </tableColumn>
    <tableColumn id="4" xr3:uid="{982D4D6D-20A7-4995-8F0A-9DA0386DC2EF}" name="OK" dataDxfId="221">
      <calculatedColumnFormula>IF(Tableau812[[#This Row],[STOCK REEL]]&gt;=Tableau812[[#This Row],[MINI]],1,"")</calculatedColumnFormula>
    </tableColumn>
    <tableColumn id="5" xr3:uid="{85FFDA76-03A7-4C89-B607-44A3CAD4C2D3}" name="NOM DESIGNATION " dataDxfId="220"/>
    <tableColumn id="6" xr3:uid="{CB2BFA4E-5F4B-43F4-9EBD-A77A63DDA9E8}" name="REFERENCE" dataDxfId="219"/>
    <tableColumn id="7" xr3:uid="{39D312BC-6F0A-47E1-92B3-35BC4863A446}" name="STOCK REEL" dataDxfId="38">
      <calculatedColumnFormula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calculatedColumnFormula>
    </tableColumn>
    <tableColumn id="8" xr3:uid="{2B59A1CB-B782-4768-A1D4-CA1094067B8C}" name="MINI" dataDxfId="218"/>
    <tableColumn id="11" xr3:uid="{3396DBF1-6171-483F-8911-C16FA24A57F2}" name="MAXI" dataDxfId="217"/>
    <tableColumn id="9" xr3:uid="{D89C8588-1D50-4D3D-81DD-DB9025760BC2}" name="PRIX U." dataDxfId="216" dataCellStyle="Devise du tableau"/>
    <tableColumn id="12" xr3:uid="{C1A6187B-A7FA-42AA-8602-5B14497F611B}" name="CONDITIONNER" dataDxfId="215" dataCellStyle="Devise du tableau"/>
    <tableColumn id="10" xr3:uid="{5DD4C512-9978-433E-B4A6-5B1AC25F29F8}" name="PRIX T." dataDxfId="214">
      <calculatedColumnFormula>IFERROR(K8*H8,"")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A32348B-83DE-4A43-9CF6-C616C5AB82FE}" name="Tableau98" displayName="Tableau98" ref="B7:M135" totalsRowShown="0" headerRowDxfId="213" headerRowBorderDxfId="212" tableBorderDxfId="211">
  <autoFilter ref="B7:M135" xr:uid="{D809700F-842A-4A9C-81D3-7D88F1002BB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D125740E-3C5C-4975-B87F-61F5C1B36ABE}" name="A COMMANDER"/>
    <tableColumn id="2" xr3:uid="{44BD24D6-2359-4432-816F-57C140B43A3E}" name="NUL" dataDxfId="210">
      <calculatedColumnFormula>IF(Tableau98[[#This Row],[STOCK REEL]]&lt;=0,1,"")</calculatedColumnFormula>
    </tableColumn>
    <tableColumn id="3" xr3:uid="{F56A4C75-EE00-4A50-A401-CB03D5ED155C}" name="CRITIQUE" dataDxfId="209">
      <calculatedColumnFormula>IF(Tableau98[[#This Row],[STOCK REEL]]&lt;=Tableau98[[#This Row],[MINI]],1,"")</calculatedColumnFormula>
    </tableColumn>
    <tableColumn id="4" xr3:uid="{6790DA4B-8D79-4EB6-9324-239505C6D22F}" name="OK" dataDxfId="208">
      <calculatedColumnFormula>IF(Tableau98[[#This Row],[STOCK REEL]]&gt;=Tableau98[[#This Row],[MINI]],1,"")</calculatedColumnFormula>
    </tableColumn>
    <tableColumn id="5" xr3:uid="{B294EFB2-432F-4712-8F76-BBC779AB168A}" name="NOM DESIGNATION " dataDxfId="207"/>
    <tableColumn id="6" xr3:uid="{3EF4F6B9-7DFC-4D3D-827E-63F2CB77F347}" name="REFERENCE" dataDxfId="206"/>
    <tableColumn id="7" xr3:uid="{BF90DFAB-22E8-4628-8E18-2E410609B0C0}" name="STOCK REEL" dataDxfId="37">
      <calculatedColumnFormula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calculatedColumnFormula>
    </tableColumn>
    <tableColumn id="8" xr3:uid="{339EF656-FF64-42AE-AB97-5BA4ED6B7221}" name="MINI" dataDxfId="205"/>
    <tableColumn id="11" xr3:uid="{4709AD3C-7D02-4412-B61F-8301039153BD}" name="MAXI" dataDxfId="204"/>
    <tableColumn id="9" xr3:uid="{28715297-1A24-44B8-8589-67AC22F2C159}" name="PRIX U." dataDxfId="203"/>
    <tableColumn id="13" xr3:uid="{8B793C23-A4AF-4648-98F8-4DC430F4DE2A}" name="CONDITIONNER" dataDxfId="202"/>
    <tableColumn id="10" xr3:uid="{899CB386-5282-40DB-BBDC-D24BCDFAF9B5}" name="PRIX T." dataDxfId="201">
      <calculatedColumnFormula>IFERROR(H8*K8/L8,"")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E36103B-7590-4899-B532-D9ABC334E21B}" name="Tableau10" displayName="Tableau10" ref="B7:M9" totalsRowShown="0" headerRowDxfId="200" headerRowBorderDxfId="199" tableBorderDxfId="198">
  <autoFilter ref="B7:M9" xr:uid="{4191C471-0D43-4049-BA9B-CFE2725BC01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1ABBBDE3-C880-4048-AA35-3CE9EE86747F}" name="A COMMANDER"/>
    <tableColumn id="2" xr3:uid="{B43C6876-51EB-4B5D-AA78-D3EE046C786A}" name="NUL" dataDxfId="197">
      <calculatedColumnFormula>IF(Tableau10[[#This Row],[STOCK REEL]]&lt;=0,1,"")</calculatedColumnFormula>
    </tableColumn>
    <tableColumn id="3" xr3:uid="{71F89158-84C6-476D-A523-FFFD3C218020}" name="CRITIQUE" dataDxfId="196">
      <calculatedColumnFormula>IF(Tableau10[[#This Row],[STOCK REEL]]&lt;=Tableau10[[#This Row],[MINI]],1,"")</calculatedColumnFormula>
    </tableColumn>
    <tableColumn id="4" xr3:uid="{FC1C4774-403A-4B11-9524-F20254809AD2}" name="OK" dataDxfId="195">
      <calculatedColumnFormula>IF(Tableau10[[#This Row],[STOCK REEL]]&gt;=Tableau10[[#This Row],[MINI]],1,"")</calculatedColumnFormula>
    </tableColumn>
    <tableColumn id="5" xr3:uid="{3D109F42-1861-4EBF-8626-34D77A439364}" name="NOM DESIGNATION " dataDxfId="194"/>
    <tableColumn id="6" xr3:uid="{9D837E43-D4E2-47D1-8F4C-9CB0857C9F50}" name="REFERENCE" dataDxfId="193"/>
    <tableColumn id="7" xr3:uid="{8D216E1A-0D81-4791-8848-8E70CF18C3B5}" name="STOCK REEL" dataDxfId="36">
      <calculatedColumnFormula>SUMIFS(Tableau4[QUANTITE],Tableau4[REFERENCE],Tableau10[[#This Row],[REFERENCE]],Tableau4[ENTREE],"Entrée")-SUMIFS(Tableau4[QUANTITE],Tableau4[REFERENCE],Tableau10[[#This Row],[REFERENCE]],Tableau4[ENTREE],"Sortie")+SUMIFS(Tableau5[QUANTITE],Tableau5[REFERENCE],Tableau10[[#This Row],[REFERENCE]],Tableau5[ENTREE],"RETOUR")-SUMIFS(Tableau5[QUANTITE],Tableau5[REFERENCE],Tableau10[[#This Row],[REFERENCE]],Tableau5[ENTREE],"SORTIE")</calculatedColumnFormula>
    </tableColumn>
    <tableColumn id="8" xr3:uid="{155C6512-99E1-4C52-A179-119B2C3F16DD}" name="MINI" dataDxfId="192"/>
    <tableColumn id="9" xr3:uid="{8C745FFC-362F-44F1-9014-4E02D3542BEA}" name="MAXI" dataDxfId="191"/>
    <tableColumn id="10" xr3:uid="{F7DA850D-895A-488C-84A4-6BD5E20555C0}" name="PRIX U." dataDxfId="190"/>
    <tableColumn id="12" xr3:uid="{8D9135E3-17F3-4311-831B-B78A0C3AA0B3}" name="CONDITIONNER" dataDxfId="189"/>
    <tableColumn id="11" xr3:uid="{365EAB76-D9F3-4363-AC8E-9F306FABD661}" name="PRIX T." dataDxfId="188">
      <calculatedColumnFormula>IFERROR(K8*H8,"")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DE2FAF6-4A8B-4CE3-9B42-41C4A6D2FB61}" name="Tableau11" displayName="Tableau11" ref="B7:M9" totalsRowShown="0" headerRowDxfId="187" headerRowBorderDxfId="186" tableBorderDxfId="185">
  <autoFilter ref="B7:M9" xr:uid="{C44D00B5-9F35-4FB6-B9FA-E43AA58C214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9442BB9A-518B-4252-AFCC-56E8DF024EFA}" name="Colonne1"/>
    <tableColumn id="2" xr3:uid="{05C59E34-3E88-4627-B8BD-F8F214D4AD71}" name="NUL" dataDxfId="184">
      <calculatedColumnFormula>IF(Tableau11[[#This Row],[STOCK REEL]]&lt;=0,1,"")</calculatedColumnFormula>
    </tableColumn>
    <tableColumn id="3" xr3:uid="{CE3ACDAD-DF1F-4FBF-B5A2-965D1A2B5A09}" name="CRITIQUE" dataDxfId="183">
      <calculatedColumnFormula>IF(Tableau11[[#This Row],[STOCK REEL]]&lt;=Tableau11[[#This Row],[MINI]],1,"")</calculatedColumnFormula>
    </tableColumn>
    <tableColumn id="4" xr3:uid="{5BAA487F-4EA6-410F-9CA4-EB89094D93E8}" name="OK" dataDxfId="182">
      <calculatedColumnFormula>IF(Tableau11[[#This Row],[STOCK REEL]]&gt;=Tableau11[[#This Row],[MINI]],1,"")</calculatedColumnFormula>
    </tableColumn>
    <tableColumn id="5" xr3:uid="{CDCCD062-37C6-4734-87A9-A2EE3730DDD9}" name="NOM DESIGNATION " dataDxfId="181"/>
    <tableColumn id="6" xr3:uid="{CD09C4E2-0969-41EE-9360-6F84C1E6A743}" name="REFERENCE" dataDxfId="180"/>
    <tableColumn id="7" xr3:uid="{B568728F-D625-4FD4-815D-F97C2F09891A}" name="STOCK REEL" dataDxfId="35">
      <calculatedColumnFormula>SUMIFS(Tableau4[QUANTITE],Tableau4[REFERENCE],Tableau11[[#This Row],[REFERENCE]],Tableau4[ENTREE],"Entrée")-SUMIFS(Tableau4[QUANTITE],Tableau4[REFERENCE],Tableau11[[#This Row],[REFERENCE]],Tableau4[ENTREE],"Sortie")+SUMIFS(Tableau5[QUANTITE],Tableau5[REFERENCE],Tableau11[[#This Row],[REFERENCE]],Tableau5[ENTREE],"RETOUR")-SUMIFS(Tableau5[QUANTITE],Tableau5[REFERENCE],Tableau11[[#This Row],[REFERENCE]],Tableau5[ENTREE],"SORTIE")</calculatedColumnFormula>
    </tableColumn>
    <tableColumn id="8" xr3:uid="{D75EAEBB-A7FD-4BDA-9E80-C59A7836537E}" name="MINI" dataDxfId="179"/>
    <tableColumn id="9" xr3:uid="{A73AA4C7-4062-4190-BAE4-1AD21E0E45FF}" name="MAXI" dataDxfId="178"/>
    <tableColumn id="10" xr3:uid="{969300E6-8C55-4C86-A1C6-0B09A6E7FFDF}" name="PRIX U." dataDxfId="177"/>
    <tableColumn id="12" xr3:uid="{8FDA4C66-639D-4347-B27E-31ABAE4FDD32}" name="CONDITIONNER" dataDxfId="176"/>
    <tableColumn id="11" xr3:uid="{EC9A11FB-759D-4955-9F59-D836B3B51EE0}" name="PRIX T." dataDxfId="175">
      <calculatedColumnFormula>IFERROR(H8*K8,"")</calculatedColumnFormula>
    </tableColumn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B10BC18-E414-4448-A953-105635AC7D9E}" name="Tableau1115" displayName="Tableau1115" ref="B7:M10" totalsRowShown="0" headerRowDxfId="174" headerRowBorderDxfId="173" tableBorderDxfId="172">
  <autoFilter ref="B7:M10" xr:uid="{FB308650-80B2-401B-A2E5-3950ED58AD9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70278F25-D32E-42FA-9E40-0DAC09B928B0}" name="Colonne1"/>
    <tableColumn id="2" xr3:uid="{B96BC626-E134-415A-99C5-B29C6641671D}" name="NUL" dataDxfId="171">
      <calculatedColumnFormula>IF(Tableau1115[[#This Row],[STOCK REEL]]&lt;=0,1,"")</calculatedColumnFormula>
    </tableColumn>
    <tableColumn id="3" xr3:uid="{CCC25FA1-476B-4E0B-8886-AF8BC8D34915}" name="CRITIQUE" dataDxfId="170">
      <calculatedColumnFormula>IF(Tableau1115[[#This Row],[STOCK REEL]]&lt;=Tableau1115[[#This Row],[MINI]],1,"")</calculatedColumnFormula>
    </tableColumn>
    <tableColumn id="4" xr3:uid="{49BA8E57-4AEC-4F72-808E-436B3602B014}" name="OK" dataDxfId="169">
      <calculatedColumnFormula>IF(Tableau1115[[#This Row],[STOCK REEL]]&gt;=Tableau1115[[#This Row],[MINI]],1,"")</calculatedColumnFormula>
    </tableColumn>
    <tableColumn id="5" xr3:uid="{DBB410C9-9AF7-44B0-A381-11839D08D7E9}" name="NOM DESIGNATION " dataDxfId="168"/>
    <tableColumn id="6" xr3:uid="{C3410542-DCB1-4331-87F2-FF2F81DA3F8D}" name="REFERENCE" dataDxfId="167"/>
    <tableColumn id="7" xr3:uid="{F78B409C-A599-41B8-BE04-8A4E1ED376AD}" name="STOCK REEL" dataDxfId="34">
      <calculatedColumnFormula>SUMIFS(Tableau4[QUANTITE],Tableau4[REFERENCE],Tableau1115[[#This Row],[REFERENCE]],Tableau4[ENTREE],"Entrée")-SUMIFS(Tableau4[QUANTITE],Tableau4[REFERENCE],Tableau1115[[#This Row],[REFERENCE]],Tableau4[ENTREE],"Sortie")+SUMIFS(Tableau5[QUANTITE],Tableau5[REFERENCE],Tableau1115[[#This Row],[REFERENCE]],Tableau5[ENTREE],"RETOUR")-SUMIFS(Tableau5[QUANTITE],Tableau5[REFERENCE],Tableau1115[[#This Row],[REFERENCE]],Tableau5[ENTREE],"SORTIE")</calculatedColumnFormula>
    </tableColumn>
    <tableColumn id="8" xr3:uid="{E32A1062-017F-4482-A63A-93BFF96EECEA}" name="MINI" dataDxfId="166"/>
    <tableColumn id="9" xr3:uid="{7FB8A8D5-3867-417D-9BC4-BC08036CB77C}" name="MAXI" dataDxfId="165"/>
    <tableColumn id="10" xr3:uid="{138E44B3-19D9-4B1C-8B32-AEC356E8F3AB}" name="PRIX U." dataDxfId="164"/>
    <tableColumn id="12" xr3:uid="{57B687C3-6673-4116-813E-F297FE205AE1}" name="CONDITIONNER" dataDxfId="163"/>
    <tableColumn id="11" xr3:uid="{8CA0F3BD-B609-435F-8683-FE470A7BBF9F}" name="PRIX T." dataDxfId="162">
      <calculatedColumnFormula>IFERROR(H8*K8,"")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8AE9918-9393-4E5F-A048-F236427E9750}" name="Tableau111517" displayName="Tableau111517" ref="B7:M9" totalsRowShown="0" headerRowDxfId="161" headerRowBorderDxfId="160" tableBorderDxfId="159">
  <autoFilter ref="B7:M9" xr:uid="{3AC100C2-04BB-46DB-9B7D-29C3F2B8EB0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3FAA034-7C57-4976-885E-1DDAD65CAD06}" name="Colonne1"/>
    <tableColumn id="2" xr3:uid="{4CCD0643-95C0-49AF-98D4-9AF289A3C780}" name="NUL" dataDxfId="158">
      <calculatedColumnFormula>IF(Tableau111517[[#This Row],[STOCK REEL]]&lt;=0,1,"")</calculatedColumnFormula>
    </tableColumn>
    <tableColumn id="3" xr3:uid="{6FD17A17-79EC-4603-A089-9D56947A327B}" name="CRITIQUE" dataDxfId="157">
      <calculatedColumnFormula>IF(Tableau111517[[#This Row],[STOCK REEL]]&lt;=Tableau111517[[#This Row],[MINI]],1,"")</calculatedColumnFormula>
    </tableColumn>
    <tableColumn id="4" xr3:uid="{EFA81E8D-8AE2-4430-A845-84AE36678D2A}" name="OK" dataDxfId="156">
      <calculatedColumnFormula>IF(Tableau111517[[#This Row],[STOCK REEL]]&gt;=Tableau111517[[#This Row],[MINI]],1,"")</calculatedColumnFormula>
    </tableColumn>
    <tableColumn id="5" xr3:uid="{2C77D9D8-CD26-4FDF-8FBD-4618F9E85948}" name="NOM DESIGNATION " dataDxfId="155"/>
    <tableColumn id="6" xr3:uid="{EC2414B6-01BD-4076-8A4C-4138E8C7556E}" name="REFERENCE" dataDxfId="154"/>
    <tableColumn id="7" xr3:uid="{EC024670-4780-4CDD-8C65-D8674914AD64}" name="STOCK REEL" dataDxfId="33">
      <calculatedColumnFormula>SUMIFS(Tableau4[QUANTITE],Tableau4[REFERENCE],Tableau111517[[#This Row],[REFERENCE]],Tableau4[ENTREE],"Entrée")-SUMIFS(Tableau4[QUANTITE],Tableau4[REFERENCE],Tableau111517[[#This Row],[REFERENCE]],Tableau4[ENTREE],"Sortie")+SUMIFS(Tableau5[QUANTITE],Tableau5[REFERENCE],Tableau111517[[#This Row],[REFERENCE]],Tableau5[ENTREE],"RETOUR")-SUMIFS(Tableau5[QUANTITE],Tableau5[REFERENCE],Tableau111517[[#This Row],[REFERENCE]],Tableau5[ENTREE],"SORTIE")</calculatedColumnFormula>
    </tableColumn>
    <tableColumn id="8" xr3:uid="{EDF1E300-C68F-4FC3-A644-6C74130C2B2B}" name="MINI" dataDxfId="153"/>
    <tableColumn id="9" xr3:uid="{086C1F94-AC62-4BED-9DCC-C1DF3DF7D6D9}" name="MAXI" dataDxfId="152"/>
    <tableColumn id="10" xr3:uid="{EBCBB977-2EAA-4612-B241-0A4D2A257206}" name="PRIX U." dataDxfId="151"/>
    <tableColumn id="12" xr3:uid="{B8820984-9CC5-435B-95D7-5E0A00F9A7F4}" name="CONDITIONNER" dataDxfId="150"/>
    <tableColumn id="11" xr3:uid="{B2605CA6-486B-4F34-9F60-89DDE2E68436}" name="PRIX T." dataDxfId="149">
      <calculatedColumnFormula>IFERROR(H8*K8,"")</calculatedColumnFormula>
    </tableColumn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B908404-D030-463B-9C96-A119DE3C0856}" name="Tableau11151719" displayName="Tableau11151719" ref="B7:M9" totalsRowShown="0" headerRowDxfId="148" headerRowBorderDxfId="147" tableBorderDxfId="146">
  <autoFilter ref="B7:M9" xr:uid="{F40019B2-B9C3-4480-AA71-BBEB62F5BA2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6BA0A95-3C8C-40B6-B3BB-941BE5B5CDFA}" name="Colonne1"/>
    <tableColumn id="2" xr3:uid="{28CF91B7-5555-4E0E-99C3-D7C62970B9BE}" name="NUL" dataDxfId="145">
      <calculatedColumnFormula>IF(Tableau11151719[[#This Row],[STOCK REEL]]&lt;=0,1,"")</calculatedColumnFormula>
    </tableColumn>
    <tableColumn id="3" xr3:uid="{33C7D229-8123-4B51-802E-0346835C112E}" name="CRITIQUE" dataDxfId="144">
      <calculatedColumnFormula>IF(Tableau11151719[[#This Row],[STOCK REEL]]&lt;=Tableau11151719[[#This Row],[MINI]],1,"")</calculatedColumnFormula>
    </tableColumn>
    <tableColumn id="4" xr3:uid="{A22200BC-4140-4992-ABBF-26F80650F8BE}" name="OK" dataDxfId="143">
      <calculatedColumnFormula>IF(Tableau11151719[[#This Row],[STOCK REEL]]&gt;=Tableau11151719[[#This Row],[MINI]],1,"")</calculatedColumnFormula>
    </tableColumn>
    <tableColumn id="5" xr3:uid="{2B2A5189-CA11-4889-AE4D-F093FC923381}" name="NOM DESIGNATION " dataDxfId="142"/>
    <tableColumn id="6" xr3:uid="{6007D172-03A4-4BCA-9F60-0507DA54FCEC}" name="REFERENCE" dataDxfId="141"/>
    <tableColumn id="7" xr3:uid="{133A95BD-3BA3-4A55-9714-8594EBD4C787}" name="STOCK REEL" dataDxfId="32">
      <calculatedColumnFormula>SUMIFS(Tableau4[QUANTITE],Tableau4[REFERENCE],Tableau11151719[[#This Row],[REFERENCE]],Tableau4[ENTREE],"Entrée")-SUMIFS(Tableau4[QUANTITE],Tableau4[REFERENCE],Tableau11151719[[#This Row],[REFERENCE]],Tableau4[ENTREE],"Sortie")+SUMIFS(Tableau5[QUANTITE],Tableau5[REFERENCE],Tableau11151719[[#This Row],[REFERENCE]],Tableau5[ENTREE],"RETOUR")-SUMIFS(Tableau5[QUANTITE],Tableau5[REFERENCE],Tableau11151719[[#This Row],[REFERENCE]],Tableau5[ENTREE],"SORTIE")</calculatedColumnFormula>
    </tableColumn>
    <tableColumn id="8" xr3:uid="{CB2E0755-4EC8-46EC-A4A7-187E6583CE48}" name="MINI" dataDxfId="140"/>
    <tableColumn id="9" xr3:uid="{A728044E-7A0A-414B-A67B-DBEE7A51B04F}" name="MAXI" dataDxfId="139"/>
    <tableColumn id="10" xr3:uid="{0B1A40D4-A507-496F-85C7-2FEA4D02FB7D}" name="PRIX U." dataDxfId="138"/>
    <tableColumn id="12" xr3:uid="{51D83321-C787-41CE-AD50-495C0A96F209}" name="CONDITIONNER" dataDxfId="137"/>
    <tableColumn id="11" xr3:uid="{67C40C48-1E56-43FA-A3B4-9679D62ABCE6}" name="PRIX T." dataDxfId="136">
      <calculatedColumnFormula>IFERROR(H8*K8,"")</calculatedColumnFormula>
    </tableColumn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86ECCC-849D-48BE-9174-7FA0A8346666}" name="Tableau111517194" displayName="Tableau111517194" ref="B7:M8" totalsRowShown="0" headerRowDxfId="135" headerRowBorderDxfId="134" tableBorderDxfId="133">
  <autoFilter ref="B7:M8" xr:uid="{9CD6FFFC-93A8-4D07-A493-6FA263BC537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D3C33123-C471-4A1E-B49F-AC4AD98A845D}" name="Colonne1"/>
    <tableColumn id="2" xr3:uid="{43A073B5-F394-4F30-A7E7-AA21AB957328}" name="NUL" dataDxfId="132">
      <calculatedColumnFormula>IF(Tableau111517194[[#This Row],[STOCK REEL]]&lt;=0,1,"")</calculatedColumnFormula>
    </tableColumn>
    <tableColumn id="3" xr3:uid="{8E87F764-E11B-403F-99B4-305C000683F1}" name="CRITIQUE" dataDxfId="131">
      <calculatedColumnFormula>IF(Tableau111517194[[#This Row],[STOCK REEL]]&lt;=Tableau111517194[[#This Row],[MINI]],1,"")</calculatedColumnFormula>
    </tableColumn>
    <tableColumn id="4" xr3:uid="{7E70F980-7910-4F0F-BE81-D1590F710F41}" name="OK" dataDxfId="130">
      <calculatedColumnFormula>IF(Tableau111517194[[#This Row],[STOCK REEL]]&gt;=Tableau111517194[[#This Row],[MINI]],1,"")</calculatedColumnFormula>
    </tableColumn>
    <tableColumn id="5" xr3:uid="{0324BD05-8D03-41CE-9A49-CD7709AF73D3}" name="NOM DESIGNATION " dataDxfId="129"/>
    <tableColumn id="6" xr3:uid="{9154D9DC-B553-4083-83CE-778A5F7570BC}" name="REFERENCE" dataDxfId="128"/>
    <tableColumn id="7" xr3:uid="{FEC0D365-C267-4E9E-B983-0164B01DE849}" name="STOCK REEL" dataDxfId="31">
      <calculatedColumnFormula>SUMIFS(Tableau4[QUANTITE],Tableau4[REFERENCE],Tableau111517194[[#This Row],[REFERENCE]],Tableau4[ENTREE],"Entrée")-SUMIFS(Tableau4[QUANTITE],Tableau4[REFERENCE],Tableau111517194[[#This Row],[REFERENCE]],Tableau4[ENTREE],"Sortie")+SUMIFS(Tableau5[QUANTITE],Tableau5[REFERENCE],Tableau111517194[[#This Row],[REFERENCE]],Tableau5[ENTREE],"RETOUR")-SUMIFS(Tableau5[QUANTITE],Tableau5[REFERENCE],Tableau111517194[[#This Row],[REFERENCE]],Tableau5[ENTREE],"SORTIE")</calculatedColumnFormula>
    </tableColumn>
    <tableColumn id="8" xr3:uid="{E1C8CBC8-6ECE-4242-8EE4-4C7FA456D62F}" name="MINI" dataDxfId="127"/>
    <tableColumn id="9" xr3:uid="{86437DC0-E2FC-4F49-8CE9-5C28B22D63ED}" name="MAXI" dataDxfId="126"/>
    <tableColumn id="10" xr3:uid="{DE11D6E4-F9C7-4E82-839E-3BC6A4CFCEBD}" name="PRIX U." dataDxfId="125"/>
    <tableColumn id="12" xr3:uid="{1346744D-7968-4D68-A9EE-38A52A833797}" name="CONDITIONNER" dataDxfId="124"/>
    <tableColumn id="11" xr3:uid="{CD0A2D2D-BD7C-4AF0-BFBA-4B0463BE2643}" name="PRIX T.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CA95BDA-A7A4-46A0-8E3A-5950C6405FA3}" name="Tableau1115171917" displayName="Tableau1115171917" ref="B7:M8" totalsRowShown="0" headerRowDxfId="123" dataDxfId="121" headerRowBorderDxfId="122" tableBorderDxfId="120">
  <autoFilter ref="B7:M8" xr:uid="{C7255054-CE8A-4371-B1FC-9ED7CC6428D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49B91239-B333-4794-A187-B7B08B10A91A}" name="Colonne1"/>
    <tableColumn id="2" xr3:uid="{159E53CB-DCF9-432B-91BE-DAF0AAB69531}" name="NUL" dataDxfId="119">
      <calculatedColumnFormula>IF(Tableau111517194[[#This Row],[STOCK REEL]]&lt;=0,1,"")</calculatedColumnFormula>
    </tableColumn>
    <tableColumn id="3" xr3:uid="{3244C984-E60C-43E6-A2B9-1A3F490D0A68}" name="CRITIQUE" dataDxfId="118">
      <calculatedColumnFormula>IF(Tableau111517194[[#This Row],[STOCK REEL]]&lt;=Tableau111517194[[#This Row],[MINI]],1,"")</calculatedColumnFormula>
    </tableColumn>
    <tableColumn id="4" xr3:uid="{5BF79059-F039-41E7-AD99-17701EAF0A6D}" name="OK" dataDxfId="117">
      <calculatedColumnFormula>IF(Tableau111517194[[#This Row],[STOCK REEL]]&gt;=Tableau111517194[[#This Row],[MINI]],1,"")</calculatedColumnFormula>
    </tableColumn>
    <tableColumn id="5" xr3:uid="{811F113D-B31E-4DDC-B4C6-6FAADF3221B5}" name="NOM DESIGNATION " dataDxfId="116"/>
    <tableColumn id="6" xr3:uid="{1E297017-7236-4726-9B08-C5A01CA5D72D}" name="REFERENCE" dataDxfId="115"/>
    <tableColumn id="7" xr3:uid="{FD4E3FE9-3D54-48BB-B61E-B8119FE55321}" name="STOCK REEL" dataDxfId="30">
      <calculatedColumnFormula>SUMIFS(Tableau4[QUANTITE],Tableau4[REFERENCE],Tableau1115171917[[#This Row],[REFERENCE]],Tableau4[ENTREE],"Entrée")-SUMIFS(Tableau4[QUANTITE],Tableau4[REFERENCE],Tableau1115171917[[#This Row],[REFERENCE]],Tableau4[ENTREE],"Sortie")+SUMIFS(Tableau5[QUANTITE],Tableau5[REFERENCE],Tableau1115171917[[#This Row],[REFERENCE]],Tableau5[ENTREE],"RETOUR")-SUMIFS(Tableau5[QUANTITE],Tableau5[REFERENCE],Tableau1115171917[[#This Row],[REFERENCE]],Tableau5[ENTREE],"SORTIE")</calculatedColumnFormula>
    </tableColumn>
    <tableColumn id="8" xr3:uid="{79404258-2F35-497F-8FCC-0E691FA313B0}" name="MINI" dataDxfId="114"/>
    <tableColumn id="9" xr3:uid="{95D5EF8A-794E-4E9B-A48C-433528A3CDF9}" name="MAXI" dataDxfId="113"/>
    <tableColumn id="10" xr3:uid="{BEC81A9B-1A1F-4931-A852-7F6FAC8797E8}" name="PRIX U." dataDxfId="112"/>
    <tableColumn id="12" xr3:uid="{FF82A8E8-011B-4960-BC9A-4D4A48B54019}" name="CONDITIONNER" dataDxfId="111"/>
    <tableColumn id="11" xr3:uid="{0D7EBBE6-F18C-4C83-8746-4DB2E2A77830}" name="PRIX T.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2A031677-4F1A-41A8-97CB-B79532CBBC05}" name="Tableau1115171923" displayName="Tableau1115171923" ref="B7:M8" totalsRowShown="0" headerRowDxfId="110" dataDxfId="108" headerRowBorderDxfId="109" tableBorderDxfId="107">
  <autoFilter ref="B7:M8" xr:uid="{78269F0E-76FA-41DD-9460-5DA67D6732B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FFA8C90D-A5B5-4626-BC3F-C97FDE93E3EB}" name="Colonne1"/>
    <tableColumn id="2" xr3:uid="{6FB68555-A1B4-4F85-B5ED-7CCDCE8C4582}" name="NUL" dataDxfId="106">
      <calculatedColumnFormula>IF(Tableau111517194[[#This Row],[STOCK REEL]]&lt;=0,1,"")</calculatedColumnFormula>
    </tableColumn>
    <tableColumn id="3" xr3:uid="{0200A7E0-53EC-4C5B-A12F-F9A8E60B6CDD}" name="CRITIQUE" dataDxfId="105">
      <calculatedColumnFormula>IF(Tableau111517194[[#This Row],[STOCK REEL]]&lt;=Tableau111517194[[#This Row],[MINI]],1,"")</calculatedColumnFormula>
    </tableColumn>
    <tableColumn id="4" xr3:uid="{24006AF6-4595-4346-9F80-2D913EB051F9}" name="OK" dataDxfId="104">
      <calculatedColumnFormula>IF(Tableau111517194[[#This Row],[STOCK REEL]]&gt;=Tableau111517194[[#This Row],[MINI]],1,"")</calculatedColumnFormula>
    </tableColumn>
    <tableColumn id="5" xr3:uid="{2A2715BD-34C4-414A-81C4-33F09A502D43}" name="NOM DESIGNATION " dataDxfId="103"/>
    <tableColumn id="6" xr3:uid="{63C01AC7-4B94-4983-939E-6EC5EE5D9CB0}" name="REFERENCE" dataDxfId="102"/>
    <tableColumn id="7" xr3:uid="{9A019DF7-A39E-452C-B79E-1BDFA4C00154}" name="STOCK REEL" dataDxfId="29">
      <calculatedColumnFormula>SUMIFS(Tableau4[QUANTITE],Tableau4[REFERENCE],Tableau1115171923[[#This Row],[REFERENCE]],Tableau4[ENTREE],"Entrée")-SUMIFS(Tableau4[QUANTITE],Tableau4[REFERENCE],Tableau1115171923[[#This Row],[REFERENCE]],Tableau4[ENTREE],"Sortie")+SUMIFS(Tableau5[QUANTITE],Tableau5[REFERENCE],Tableau1115171923[[#This Row],[REFERENCE]],Tableau5[ENTREE],"RETOUR")-SUMIFS(Tableau5[QUANTITE],Tableau5[REFERENCE],Tableau1115171923[[#This Row],[REFERENCE]],Tableau5[ENTREE],"SORTIE")</calculatedColumnFormula>
    </tableColumn>
    <tableColumn id="8" xr3:uid="{87ED339C-5FA8-4E9A-ADA7-2090677BF8D8}" name="MINI" dataDxfId="101"/>
    <tableColumn id="9" xr3:uid="{66C666E5-837E-42B6-BD43-1F4346CF7660}" name="MAXI" dataDxfId="100"/>
    <tableColumn id="10" xr3:uid="{1D4A8D33-86DB-4DCD-A8C8-5396FEEA9BB8}" name="PRIX U." dataDxfId="99"/>
    <tableColumn id="12" xr3:uid="{BE5E031C-4B34-475A-88E4-19E3392EE84B}" name="CONDITIONNER" dataDxfId="98"/>
    <tableColumn id="11" xr3:uid="{B805BAEC-3BEB-4CED-89C9-FEB49176AE54}" name="PRIX T.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B7:K8" totalsRowShown="0" headerRowDxfId="97" dataDxfId="96">
  <autoFilter ref="B7:K8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00000000-0010-0000-0400-000001000000}" name="ENTREE" dataDxfId="95"/>
    <tableColumn id="2" xr3:uid="{00000000-0010-0000-0400-000002000000}" name="N° BON DE COMMANDE " dataDxfId="94"/>
    <tableColumn id="6" xr3:uid="{00000000-0010-0000-0400-000006000000}" name="DATE DE SAISIE" dataDxfId="93"/>
    <tableColumn id="5" xr3:uid="{00000000-0010-0000-0400-000005000000}" name="FOURNISSEUR" dataDxfId="92"/>
    <tableColumn id="4" xr3:uid="{00000000-0010-0000-0400-000004000000}" name="N° DE FACTURE " dataDxfId="91"/>
    <tableColumn id="8" xr3:uid="{14A826CC-D971-43B5-A62F-B8276F40C7EB}" name="REFERENCE" dataDxfId="90"/>
    <tableColumn id="9" xr3:uid="{33B96F76-F5BC-4BFA-9ACF-F84C24E6D18F}" name="DESCRIPTION" dataDxfId="89">
      <calculatedColumnFormula>IFERROR(CONCATENATE(VLOOKUP(Tableau4[[#This Row],[REFERENCE]],Tableau49[[reference]:[description]],2,1)),"")</calculatedColumnFormula>
    </tableColumn>
    <tableColumn id="7" xr3:uid="{00000000-0010-0000-0400-000007000000}" name="QUANTITE" dataDxfId="88"/>
    <tableColumn id="3" xr3:uid="{00000000-0010-0000-0400-000003000000}" name="AFFAIRE" dataDxfId="87"/>
    <tableColumn id="10" xr3:uid="{D5486B6D-906A-4F2C-B016-B27A74B71130}" name="Colonne1" dataDxfId="86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B7:K8" totalsRowShown="0" headerRowDxfId="85">
  <autoFilter ref="B7:K8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8" xr3:uid="{00000000-0010-0000-0500-000008000000}" name="ENTREE"/>
    <tableColumn id="1" xr3:uid="{00000000-0010-0000-0500-000001000000}" name="N° BON DE COMMANDE "/>
    <tableColumn id="3" xr3:uid="{00000000-0010-0000-0500-000003000000}" name="EMPLOYER" dataDxfId="84"/>
    <tableColumn id="9" xr3:uid="{438875DD-4A2A-4099-8D21-BB165CED88D9}" name="AFFAIRE" dataDxfId="83"/>
    <tableColumn id="2" xr3:uid="{00000000-0010-0000-0500-000002000000}" name="DATE DE SAISIE"/>
    <tableColumn id="5" xr3:uid="{00000000-0010-0000-0500-000005000000}" name="REFERENCE"/>
    <tableColumn id="6" xr3:uid="{00000000-0010-0000-0500-000006000000}" name="DESCRIPTION"/>
    <tableColumn id="7" xr3:uid="{00000000-0010-0000-0500-000007000000}" name="QUANTITE"/>
    <tableColumn id="4" xr3:uid="{00000000-0010-0000-0500-000004000000}" name="N° DE FACTURE " dataDxfId="82"/>
    <tableColumn id="10" xr3:uid="{E4E82E37-F87B-439B-B294-C00C259839ED}" name="Colonne1"/>
  </tableColumns>
  <tableStyleInfo name="TableStyleMedium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93A100-3AD0-4EA0-9A3B-307A7D0A288E}" name="Tableau49" displayName="Tableau49" ref="B5:M6" totalsRowShown="0" headerRowDxfId="81" dataDxfId="80">
  <autoFilter ref="B5:M6" xr:uid="{3700A3A0-F8F4-4BBA-91EF-64FC06BB9B3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F05BEBD0-3441-4F80-A342-3AB7B8E18CB2}" name="ENTREE" dataDxfId="79"/>
    <tableColumn id="2" xr3:uid="{E63DEBD5-960B-4E1D-8570-B7C9A23D64EC}" name="N° BON DE COMMANDE " dataDxfId="78"/>
    <tableColumn id="9" xr3:uid="{15E27AFB-64B1-4042-A1A6-8B81834FA330}" name="reference" dataDxfId="77"/>
    <tableColumn id="8" xr3:uid="{08B20C8A-2A64-4DDA-992E-FA4987A7D4E2}" name="description" dataDxfId="76"/>
    <tableColumn id="7" xr3:uid="{246D91BE-E424-43D9-BD96-9A5ABDBFB6DC}" name="QUANTITE" dataDxfId="75"/>
    <tableColumn id="10" xr3:uid="{6CFB4F51-216D-44D1-85B7-5BA405F18E7E}" name="Colonne1" dataDxfId="74"/>
    <tableColumn id="11" xr3:uid="{4357780A-E725-41F1-9B2A-92B466A2AF0B}" name="contrôle" dataDxfId="73">
      <calculatedColumnFormula array="1">IFERROR(INDEX(Tableau4[QUANTITE],MATCH(1,(Tableau49[[#This Row],[N° BON DE COMMANDE ]]=Tableau4[[N° BON DE COMMANDE ]])*(Tableau49[[#This Row],[reference]]=Tableau4[REFERENCE]),0)),"")</calculatedColumnFormula>
    </tableColumn>
    <tableColumn id="12" xr3:uid="{B978D408-6B00-486C-AE4D-0F4EB57161E5}" name="CHECK" dataDxfId="72">
      <calculatedColumnFormula>IF(Tableau49[[#This Row],[contrôle]]=Tableau49[[#This Row],[QUANTITE]],"Close","Open")</calculatedColumnFormula>
    </tableColumn>
    <tableColumn id="3" xr3:uid="{435B16D5-7B8F-440B-A55A-D830F3F4F703}" name="AFFAIRE" dataDxfId="71"/>
    <tableColumn id="4" xr3:uid="{C02FCEC2-0264-42DA-AA54-9AF474461A3C}" name="N° DE FACTURE " dataDxfId="70"/>
    <tableColumn id="5" xr3:uid="{4C182BFB-5EE4-4E0B-80EF-79964F0BAA67}" name="FOURNISSEUR" dataDxfId="69"/>
    <tableColumn id="6" xr3:uid="{8581488C-C3A0-4ED7-856C-FE60ADE2D7F0}" name="ART. N°" dataDxfId="68"/>
  </tableColumns>
  <tableStyleInfo name="TableStyleMedium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6000000}" name="Tableau19" displayName="Tableau19" ref="B4:G10" totalsRowShown="0" headerRowDxfId="67" dataDxfId="66">
  <autoFilter ref="B4:G10" xr:uid="{00000000-0009-0000-0100-00001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600-000001000000}" name="NOM"/>
    <tableColumn id="2" xr3:uid="{00000000-0010-0000-0600-000002000000}" name="RUE " dataDxfId="65"/>
    <tableColumn id="3" xr3:uid="{00000000-0010-0000-0600-000003000000}" name="CP / VILLE" dataDxfId="53"/>
    <tableColumn id="4" xr3:uid="{00000000-0010-0000-0600-000004000000}" name="TEL" dataDxfId="52"/>
    <tableColumn id="5" xr3:uid="{00000000-0010-0000-0600-000005000000}" name="FAX"/>
    <tableColumn id="6" xr3:uid="{00000000-0010-0000-0600-000006000000}" name="MAIL" dataDxfId="64"/>
  </tableColumns>
  <tableStyleInfo name="TableStyleMedium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7000000}" name="Tableau1921" displayName="Tableau1921" ref="B15:G23" headerRowDxfId="51" dataDxfId="50">
  <autoFilter ref="B15:G23" xr:uid="{00000000-0009-0000-0100-00001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700-000001000000}" name="NOM" totalsRowLabel="Total"/>
    <tableColumn id="2" xr3:uid="{00000000-0010-0000-0700-000002000000}" name="RUE " dataDxfId="48" totalsRowDxfId="49"/>
    <tableColumn id="3" xr3:uid="{00000000-0010-0000-0700-000003000000}" name="CP / VILLE" dataDxfId="46" totalsRowDxfId="47"/>
    <tableColumn id="4" xr3:uid="{00000000-0010-0000-0700-000004000000}" name="TEL" dataDxfId="44" totalsRowDxfId="45"/>
    <tableColumn id="5" xr3:uid="{00000000-0010-0000-0700-000005000000}" name="FAX" dataDxfId="43"/>
    <tableColumn id="6" xr3:uid="{00000000-0010-0000-0700-000006000000}" name="MAIL" totalsRowFunction="count" dataDxfId="41" totalsRowDxfId="42"/>
  </tableColumns>
  <tableStyleInfo name="TableStyleMedium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8000000}" name="Tableau1" displayName="Tableau1" ref="L3:L12" totalsRowShown="0" headerRowDxfId="63" dataDxfId="61" headerRowBorderDxfId="62" tableBorderDxfId="60">
  <autoFilter ref="L3:L12" xr:uid="{00000000-0009-0000-0100-000001000000}">
    <filterColumn colId="0" hiddenButton="1"/>
  </autoFilter>
  <tableColumns count="1">
    <tableColumn id="1" xr3:uid="{00000000-0010-0000-0800-000001000000}" name="NOM PRENOM" dataDxfId="59"/>
  </tableColumns>
  <tableStyleInfo name="TableStyleMedium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8A601F2-BC99-4528-AB7A-80FD6C7A0E5C}" name="Tableau12" displayName="Tableau12" ref="N3:N12" totalsRowShown="0" headerRowDxfId="58" dataDxfId="57">
  <autoFilter ref="N3:N12" xr:uid="{8C7869F9-E38D-44AE-84F7-4A916F4E865E}">
    <filterColumn colId="0" hiddenButton="1"/>
  </autoFilter>
  <tableColumns count="1">
    <tableColumn id="1" xr3:uid="{16425569-A1C3-40C7-A494-06F0C3D77698}" name="Initial" dataDxfId="56"/>
  </tableColumns>
  <tableStyleInfo name="TableStyleMedium1 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5598AAF-FCB9-4A45-84B9-BF9861C34066}" name="Tableau21" displayName="Tableau21" ref="J3:J10" totalsRowShown="0" headerRowDxfId="55">
  <autoFilter ref="J3:J10" xr:uid="{3758513F-0C50-401F-B3A6-488619019721}">
    <filterColumn colId="0" hiddenButton="1"/>
  </autoFilter>
  <tableColumns count="1">
    <tableColumn id="1" xr3:uid="{B627CF05-4724-4AD0-BC36-D7F334C78E15}" name="AFFAIRE 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3.xml"/><Relationship Id="rId4" Type="http://schemas.openxmlformats.org/officeDocument/2006/relationships/image" Target="../media/image7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image" Target="../media/image9.emf"/><Relationship Id="rId4" Type="http://schemas.openxmlformats.org/officeDocument/2006/relationships/control" Target="../activeX/activeX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table" Target="../tables/table5.xml"/><Relationship Id="rId4" Type="http://schemas.openxmlformats.org/officeDocument/2006/relationships/image" Target="../media/image1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6.xml"/><Relationship Id="rId4" Type="http://schemas.openxmlformats.org/officeDocument/2006/relationships/image" Target="../media/image13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5" Type="http://schemas.openxmlformats.org/officeDocument/2006/relationships/table" Target="../tables/table7.xml"/><Relationship Id="rId4" Type="http://schemas.openxmlformats.org/officeDocument/2006/relationships/image" Target="../media/image15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table" Target="../tables/table8.xml"/><Relationship Id="rId4" Type="http://schemas.openxmlformats.org/officeDocument/2006/relationships/image" Target="../media/image17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table" Target="../tables/table9.xml"/><Relationship Id="rId4" Type="http://schemas.openxmlformats.org/officeDocument/2006/relationships/image" Target="../media/image19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table" Target="../tables/table10.xml"/><Relationship Id="rId4" Type="http://schemas.openxmlformats.org/officeDocument/2006/relationships/image" Target="../media/image21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table" Target="../tables/table11.xml"/><Relationship Id="rId4" Type="http://schemas.openxmlformats.org/officeDocument/2006/relationships/image" Target="../media/image22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table" Target="../tables/table12.xml"/><Relationship Id="rId4" Type="http://schemas.openxmlformats.org/officeDocument/2006/relationships/image" Target="../media/image23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5" Type="http://schemas.openxmlformats.org/officeDocument/2006/relationships/table" Target="../tables/table13.xml"/><Relationship Id="rId4" Type="http://schemas.openxmlformats.org/officeDocument/2006/relationships/image" Target="../media/image24.emf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4.xml"/><Relationship Id="rId5" Type="http://schemas.openxmlformats.org/officeDocument/2006/relationships/image" Target="../media/image27.emf"/><Relationship Id="rId4" Type="http://schemas.openxmlformats.org/officeDocument/2006/relationships/control" Target="../activeX/activeX16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2.emf"/><Relationship Id="rId4" Type="http://schemas.openxmlformats.org/officeDocument/2006/relationships/control" Target="../activeX/activeX17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7" Type="http://schemas.openxmlformats.org/officeDocument/2006/relationships/table" Target="../tables/table20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9.xml"/><Relationship Id="rId5" Type="http://schemas.openxmlformats.org/officeDocument/2006/relationships/table" Target="../tables/table18.xml"/><Relationship Id="rId4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s://forum.excel-pratique.com/viewtopic.php?f=2&amp;t=134107&amp;sid=5cfd9e25be501985d0ee49718a3c7b7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80E2F-0994-4AAA-929E-AAEE6B1A39BB}">
  <sheetPr codeName="Feuil5">
    <tabColor theme="9" tint="0.59999389629810485"/>
    <pageSetUpPr fitToPage="1"/>
  </sheetPr>
  <dimension ref="A1:M69"/>
  <sheetViews>
    <sheetView showGridLines="0" showRowColHeaders="0" zoomScale="85" zoomScaleNormal="85" workbookViewId="0">
      <selection activeCell="N5" sqref="N5"/>
    </sheetView>
  </sheetViews>
  <sheetFormatPr baseColWidth="10" defaultRowHeight="18" customHeight="1" x14ac:dyDescent="0.3"/>
  <cols>
    <col min="1" max="1" width="4.5546875" customWidth="1"/>
    <col min="2" max="2" width="17.88671875" customWidth="1"/>
    <col min="3" max="3" width="8" style="6" customWidth="1"/>
    <col min="4" max="4" width="9.6640625" style="6" customWidth="1"/>
    <col min="5" max="5" width="7" style="22" customWidth="1"/>
    <col min="6" max="6" width="63.109375" customWidth="1"/>
    <col min="7" max="7" width="19.88671875" style="16" customWidth="1"/>
    <col min="8" max="8" width="12.6640625" style="22" customWidth="1"/>
    <col min="9" max="11" width="11.5546875" style="22"/>
    <col min="12" max="12" width="14.21875" style="22" bestFit="1" customWidth="1"/>
    <col min="13" max="13" width="11.5546875" style="22"/>
  </cols>
  <sheetData>
    <row r="1" spans="1:13" ht="4.2" customHeight="1" x14ac:dyDescent="0.3"/>
    <row r="2" spans="1:13" ht="18" customHeight="1" x14ac:dyDescent="0.3">
      <c r="E2" s="53"/>
      <c r="F2" s="44"/>
    </row>
    <row r="3" spans="1:13" ht="18" customHeight="1" x14ac:dyDescent="0.3">
      <c r="B3" s="44"/>
      <c r="C3" s="60"/>
      <c r="D3" s="60"/>
      <c r="E3" s="53"/>
      <c r="F3" s="44"/>
    </row>
    <row r="4" spans="1:13" ht="18" customHeight="1" x14ac:dyDescent="0.3">
      <c r="B4" s="44"/>
      <c r="C4" s="60"/>
      <c r="D4" s="60"/>
      <c r="E4" s="53"/>
      <c r="F4" s="44"/>
    </row>
    <row r="7" spans="1:13" ht="18" customHeight="1" x14ac:dyDescent="0.3">
      <c r="B7" s="22" t="s">
        <v>5</v>
      </c>
      <c r="C7" s="6" t="s">
        <v>224</v>
      </c>
      <c r="D7" s="6" t="s">
        <v>223</v>
      </c>
      <c r="E7" s="6" t="s">
        <v>222</v>
      </c>
      <c r="F7" s="22" t="s">
        <v>0</v>
      </c>
      <c r="G7" s="22" t="s">
        <v>1</v>
      </c>
      <c r="H7" s="22" t="s">
        <v>2</v>
      </c>
      <c r="I7" s="22" t="s">
        <v>235</v>
      </c>
      <c r="J7" s="22" t="s">
        <v>221</v>
      </c>
      <c r="K7" s="22" t="s">
        <v>3</v>
      </c>
      <c r="L7" s="22" t="s">
        <v>333</v>
      </c>
      <c r="M7" s="22" t="s">
        <v>4</v>
      </c>
    </row>
    <row r="8" spans="1:13" ht="18" customHeight="1" x14ac:dyDescent="0.3">
      <c r="A8" s="101">
        <f>IF(F8&lt;&gt;"",ROW()-7,"")</f>
        <v>1</v>
      </c>
      <c r="B8" s="2"/>
      <c r="C8" s="61">
        <f>IF(Tableau210[[#This Row],[STOCK REEL]]&lt;=0,1,"")</f>
        <v>1</v>
      </c>
      <c r="D8" s="61">
        <f>IF(Tableau210[[#This Row],[STOCK REEL]]&lt;=Tableau210[[#This Row],[MINI]],1,"")</f>
        <v>1</v>
      </c>
      <c r="E8" s="61" t="str">
        <f>IF(Tableau210[[#This Row],[STOCK REEL]]&gt;=Tableau210[[#This Row],[MINI]],1,"")</f>
        <v/>
      </c>
      <c r="F8" s="28" t="s">
        <v>479</v>
      </c>
      <c r="G8" s="45" t="s">
        <v>8</v>
      </c>
      <c r="H8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8" s="45">
        <v>200</v>
      </c>
      <c r="J8" s="45">
        <v>500</v>
      </c>
      <c r="K8" s="63">
        <v>0.2175</v>
      </c>
      <c r="L8" s="64"/>
      <c r="M8" s="65">
        <f t="shared" ref="M8:M39" si="0">IFERROR(K8*H8,"")</f>
        <v>0</v>
      </c>
    </row>
    <row r="9" spans="1:13" ht="18" customHeight="1" x14ac:dyDescent="0.3">
      <c r="A9" s="137">
        <f t="shared" ref="A9:A62" si="1">IF(F9&lt;&gt;"",ROW()-7,"")</f>
        <v>2</v>
      </c>
      <c r="B9" s="2"/>
      <c r="C9" s="61">
        <f>IF(Tableau210[[#This Row],[STOCK REEL]]&lt;=0,1,"")</f>
        <v>1</v>
      </c>
      <c r="D9" s="61">
        <f>IF(Tableau210[[#This Row],[STOCK REEL]]&lt;=Tableau210[[#This Row],[MINI]],1,"")</f>
        <v>1</v>
      </c>
      <c r="E9" s="61">
        <f>IF(Tableau210[[#This Row],[STOCK REEL]]&gt;=Tableau210[[#This Row],[MINI]],1,"")</f>
        <v>1</v>
      </c>
      <c r="F9" s="28" t="s">
        <v>480</v>
      </c>
      <c r="G9" s="45" t="s">
        <v>9</v>
      </c>
      <c r="H9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9" s="45"/>
      <c r="J9" s="45"/>
      <c r="K9" s="63">
        <v>0.31850000000000001</v>
      </c>
      <c r="L9" s="64"/>
      <c r="M9" s="65">
        <f t="shared" si="0"/>
        <v>0</v>
      </c>
    </row>
    <row r="10" spans="1:13" ht="18" customHeight="1" x14ac:dyDescent="0.3">
      <c r="A10" s="137">
        <f t="shared" si="1"/>
        <v>3</v>
      </c>
      <c r="B10" s="2"/>
      <c r="C10" s="61">
        <f>IF(Tableau210[[#This Row],[STOCK REEL]]&lt;=0,1,"")</f>
        <v>1</v>
      </c>
      <c r="D10" s="61">
        <f>IF(Tableau210[[#This Row],[STOCK REEL]]&lt;=Tableau210[[#This Row],[MINI]],1,"")</f>
        <v>1</v>
      </c>
      <c r="E10" s="61">
        <f>IF(Tableau210[[#This Row],[STOCK REEL]]&gt;=Tableau210[[#This Row],[MINI]],1,"")</f>
        <v>1</v>
      </c>
      <c r="F10" s="28" t="s">
        <v>481</v>
      </c>
      <c r="G10" s="45" t="s">
        <v>10</v>
      </c>
      <c r="H10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0" s="45"/>
      <c r="J10" s="45"/>
      <c r="K10" s="63">
        <v>0.8</v>
      </c>
      <c r="L10" s="64"/>
      <c r="M10" s="65">
        <f t="shared" si="0"/>
        <v>0</v>
      </c>
    </row>
    <row r="11" spans="1:13" ht="18" customHeight="1" x14ac:dyDescent="0.3">
      <c r="A11" s="137">
        <f t="shared" si="1"/>
        <v>4</v>
      </c>
      <c r="B11" s="2"/>
      <c r="C11" s="61">
        <f>IF(Tableau210[[#This Row],[STOCK REEL]]&lt;=0,1,"")</f>
        <v>1</v>
      </c>
      <c r="D11" s="61">
        <f>IF(Tableau210[[#This Row],[STOCK REEL]]&lt;=Tableau210[[#This Row],[MINI]],1,"")</f>
        <v>1</v>
      </c>
      <c r="E11" s="61">
        <f>IF(Tableau210[[#This Row],[STOCK REEL]]&gt;=Tableau210[[#This Row],[MINI]],1,"")</f>
        <v>1</v>
      </c>
      <c r="F11" s="28" t="s">
        <v>482</v>
      </c>
      <c r="G11" s="45" t="s">
        <v>11</v>
      </c>
      <c r="H11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1" s="45"/>
      <c r="J11" s="45"/>
      <c r="K11" s="63">
        <v>0.15049999999999999</v>
      </c>
      <c r="L11" s="64"/>
      <c r="M11" s="65">
        <f t="shared" si="0"/>
        <v>0</v>
      </c>
    </row>
    <row r="12" spans="1:13" ht="18" customHeight="1" x14ac:dyDescent="0.3">
      <c r="A12" s="137">
        <f t="shared" si="1"/>
        <v>5</v>
      </c>
      <c r="B12" s="2"/>
      <c r="C12" s="61">
        <f>IF(Tableau210[[#This Row],[STOCK REEL]]&lt;=0,1,"")</f>
        <v>1</v>
      </c>
      <c r="D12" s="61">
        <f>IF(Tableau210[[#This Row],[STOCK REEL]]&lt;=Tableau210[[#This Row],[MINI]],1,"")</f>
        <v>1</v>
      </c>
      <c r="E12" s="61">
        <f>IF(Tableau210[[#This Row],[STOCK REEL]]&gt;=Tableau210[[#This Row],[MINI]],1,"")</f>
        <v>1</v>
      </c>
      <c r="F12" s="28" t="s">
        <v>24</v>
      </c>
      <c r="G12" s="45" t="s">
        <v>12</v>
      </c>
      <c r="H12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2" s="45"/>
      <c r="J12" s="45"/>
      <c r="K12" s="63">
        <v>0.66</v>
      </c>
      <c r="L12" s="64"/>
      <c r="M12" s="65">
        <f t="shared" si="0"/>
        <v>0</v>
      </c>
    </row>
    <row r="13" spans="1:13" ht="18" customHeight="1" x14ac:dyDescent="0.3">
      <c r="A13" s="137">
        <f t="shared" si="1"/>
        <v>6</v>
      </c>
      <c r="B13" s="2"/>
      <c r="C13" s="61">
        <f>IF(Tableau210[[#This Row],[STOCK REEL]]&lt;=0,1,"")</f>
        <v>1</v>
      </c>
      <c r="D13" s="61">
        <f>IF(Tableau210[[#This Row],[STOCK REEL]]&lt;=Tableau210[[#This Row],[MINI]],1,"")</f>
        <v>1</v>
      </c>
      <c r="E13" s="61">
        <f>IF(Tableau210[[#This Row],[STOCK REEL]]&gt;=Tableau210[[#This Row],[MINI]],1,"")</f>
        <v>1</v>
      </c>
      <c r="F13" s="28" t="s">
        <v>63</v>
      </c>
      <c r="G13" s="45" t="s">
        <v>13</v>
      </c>
      <c r="H13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3" s="45"/>
      <c r="J13" s="45"/>
      <c r="K13" s="63">
        <v>1.61</v>
      </c>
      <c r="L13" s="64"/>
      <c r="M13" s="65">
        <f t="shared" si="0"/>
        <v>0</v>
      </c>
    </row>
    <row r="14" spans="1:13" ht="18" customHeight="1" x14ac:dyDescent="0.3">
      <c r="A14" s="137">
        <f t="shared" si="1"/>
        <v>7</v>
      </c>
      <c r="B14" s="2"/>
      <c r="C14" s="61">
        <f>IF(Tableau210[[#This Row],[STOCK REEL]]&lt;=0,1,"")</f>
        <v>1</v>
      </c>
      <c r="D14" s="61">
        <f>IF(Tableau210[[#This Row],[STOCK REEL]]&lt;=Tableau210[[#This Row],[MINI]],1,"")</f>
        <v>1</v>
      </c>
      <c r="E14" s="61">
        <f>IF(Tableau210[[#This Row],[STOCK REEL]]&gt;=Tableau210[[#This Row],[MINI]],1,"")</f>
        <v>1</v>
      </c>
      <c r="F14" s="28" t="s">
        <v>483</v>
      </c>
      <c r="G14" s="45" t="s">
        <v>14</v>
      </c>
      <c r="H14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4" s="45"/>
      <c r="J14" s="45"/>
      <c r="K14" s="63">
        <v>0.14000000000000001</v>
      </c>
      <c r="L14" s="64"/>
      <c r="M14" s="65">
        <f t="shared" si="0"/>
        <v>0</v>
      </c>
    </row>
    <row r="15" spans="1:13" ht="18" customHeight="1" x14ac:dyDescent="0.3">
      <c r="A15" s="137">
        <f t="shared" si="1"/>
        <v>8</v>
      </c>
      <c r="B15" s="2"/>
      <c r="C15" s="61">
        <f>IF(Tableau210[[#This Row],[STOCK REEL]]&lt;=0,1,"")</f>
        <v>1</v>
      </c>
      <c r="D15" s="61">
        <f>IF(Tableau210[[#This Row],[STOCK REEL]]&lt;=Tableau210[[#This Row],[MINI]],1,"")</f>
        <v>1</v>
      </c>
      <c r="E15" s="61">
        <f>IF(Tableau210[[#This Row],[STOCK REEL]]&gt;=Tableau210[[#This Row],[MINI]],1,"")</f>
        <v>1</v>
      </c>
      <c r="F15" s="28" t="s">
        <v>54</v>
      </c>
      <c r="G15" s="45" t="s">
        <v>15</v>
      </c>
      <c r="H15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5" s="45"/>
      <c r="J15" s="45"/>
      <c r="K15" s="63">
        <v>0.11</v>
      </c>
      <c r="L15" s="64"/>
      <c r="M15" s="65">
        <f t="shared" si="0"/>
        <v>0</v>
      </c>
    </row>
    <row r="16" spans="1:13" ht="18" customHeight="1" x14ac:dyDescent="0.3">
      <c r="A16" s="137">
        <f t="shared" si="1"/>
        <v>9</v>
      </c>
      <c r="B16" s="2"/>
      <c r="C16" s="61">
        <f>IF(Tableau210[[#This Row],[STOCK REEL]]&lt;=0,1,"")</f>
        <v>1</v>
      </c>
      <c r="D16" s="61">
        <f>IF(Tableau210[[#This Row],[STOCK REEL]]&lt;=Tableau210[[#This Row],[MINI]],1,"")</f>
        <v>1</v>
      </c>
      <c r="E16" s="61">
        <f>IF(Tableau210[[#This Row],[STOCK REEL]]&gt;=Tableau210[[#This Row],[MINI]],1,"")</f>
        <v>1</v>
      </c>
      <c r="F16" s="28" t="s">
        <v>55</v>
      </c>
      <c r="G16" s="45" t="s">
        <v>16</v>
      </c>
      <c r="H16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6" s="45"/>
      <c r="J16" s="45"/>
      <c r="K16" s="63">
        <v>0.2</v>
      </c>
      <c r="L16" s="64"/>
      <c r="M16" s="65">
        <f t="shared" si="0"/>
        <v>0</v>
      </c>
    </row>
    <row r="17" spans="1:13" ht="18" customHeight="1" x14ac:dyDescent="0.3">
      <c r="A17" s="137">
        <f t="shared" si="1"/>
        <v>10</v>
      </c>
      <c r="B17" s="2"/>
      <c r="C17" s="61">
        <f>IF(Tableau210[[#This Row],[STOCK REEL]]&lt;=0,1,"")</f>
        <v>1</v>
      </c>
      <c r="D17" s="61">
        <f>IF(Tableau210[[#This Row],[STOCK REEL]]&lt;=Tableau210[[#This Row],[MINI]],1,"")</f>
        <v>1</v>
      </c>
      <c r="E17" s="61">
        <f>IF(Tableau210[[#This Row],[STOCK REEL]]&gt;=Tableau210[[#This Row],[MINI]],1,"")</f>
        <v>1</v>
      </c>
      <c r="F17" s="28" t="s">
        <v>56</v>
      </c>
      <c r="G17" s="45" t="s">
        <v>17</v>
      </c>
      <c r="H17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7" s="45"/>
      <c r="J17" s="45"/>
      <c r="K17" s="63">
        <v>0.32</v>
      </c>
      <c r="L17" s="64"/>
      <c r="M17" s="65">
        <f t="shared" si="0"/>
        <v>0</v>
      </c>
    </row>
    <row r="18" spans="1:13" ht="18" customHeight="1" x14ac:dyDescent="0.3">
      <c r="A18" s="137">
        <f t="shared" si="1"/>
        <v>11</v>
      </c>
      <c r="B18" s="2"/>
      <c r="C18" s="61">
        <f>IF(Tableau210[[#This Row],[STOCK REEL]]&lt;=0,1,"")</f>
        <v>1</v>
      </c>
      <c r="D18" s="61">
        <f>IF(Tableau210[[#This Row],[STOCK REEL]]&lt;=Tableau210[[#This Row],[MINI]],1,"")</f>
        <v>1</v>
      </c>
      <c r="E18" s="61">
        <f>IF(Tableau210[[#This Row],[STOCK REEL]]&gt;=Tableau210[[#This Row],[MINI]],1,"")</f>
        <v>1</v>
      </c>
      <c r="F18" s="28" t="s">
        <v>57</v>
      </c>
      <c r="G18" s="45" t="s">
        <v>18</v>
      </c>
      <c r="H18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8" s="45"/>
      <c r="J18" s="45"/>
      <c r="K18" s="63">
        <v>0.41</v>
      </c>
      <c r="L18" s="64"/>
      <c r="M18" s="65">
        <f t="shared" si="0"/>
        <v>0</v>
      </c>
    </row>
    <row r="19" spans="1:13" ht="18" customHeight="1" x14ac:dyDescent="0.3">
      <c r="A19" s="137">
        <f t="shared" si="1"/>
        <v>12</v>
      </c>
      <c r="B19" s="2"/>
      <c r="C19" s="61">
        <f>IF(Tableau210[[#This Row],[STOCK REEL]]&lt;=0,1,"")</f>
        <v>1</v>
      </c>
      <c r="D19" s="61">
        <f>IF(Tableau210[[#This Row],[STOCK REEL]]&lt;=Tableau210[[#This Row],[MINI]],1,"")</f>
        <v>1</v>
      </c>
      <c r="E19" s="61">
        <f>IF(Tableau210[[#This Row],[STOCK REEL]]&gt;=Tableau210[[#This Row],[MINI]],1,"")</f>
        <v>1</v>
      </c>
      <c r="F19" s="28" t="s">
        <v>58</v>
      </c>
      <c r="G19" s="45" t="s">
        <v>19</v>
      </c>
      <c r="H19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19" s="45"/>
      <c r="J19" s="45"/>
      <c r="K19" s="63">
        <v>0.51</v>
      </c>
      <c r="L19" s="64"/>
      <c r="M19" s="65">
        <f t="shared" si="0"/>
        <v>0</v>
      </c>
    </row>
    <row r="20" spans="1:13" ht="18" customHeight="1" x14ac:dyDescent="0.3">
      <c r="A20" s="137">
        <f t="shared" si="1"/>
        <v>13</v>
      </c>
      <c r="B20" s="2"/>
      <c r="C20" s="61">
        <f>IF(Tableau210[[#This Row],[STOCK REEL]]&lt;=0,1,"")</f>
        <v>1</v>
      </c>
      <c r="D20" s="61">
        <f>IF(Tableau210[[#This Row],[STOCK REEL]]&lt;=Tableau210[[#This Row],[MINI]],1,"")</f>
        <v>1</v>
      </c>
      <c r="E20" s="61">
        <f>IF(Tableau210[[#This Row],[STOCK REEL]]&gt;=Tableau210[[#This Row],[MINI]],1,"")</f>
        <v>1</v>
      </c>
      <c r="F20" s="28" t="s">
        <v>59</v>
      </c>
      <c r="G20" s="45" t="s">
        <v>20</v>
      </c>
      <c r="H20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0" s="45"/>
      <c r="J20" s="45"/>
      <c r="K20" s="63">
        <v>0.61</v>
      </c>
      <c r="L20" s="64"/>
      <c r="M20" s="65">
        <f t="shared" si="0"/>
        <v>0</v>
      </c>
    </row>
    <row r="21" spans="1:13" ht="18" customHeight="1" x14ac:dyDescent="0.3">
      <c r="A21" s="137">
        <f t="shared" si="1"/>
        <v>14</v>
      </c>
      <c r="B21" s="2"/>
      <c r="C21" s="61">
        <f>IF(Tableau210[[#This Row],[STOCK REEL]]&lt;=0,1,"")</f>
        <v>1</v>
      </c>
      <c r="D21" s="61">
        <f>IF(Tableau210[[#This Row],[STOCK REEL]]&lt;=Tableau210[[#This Row],[MINI]],1,"")</f>
        <v>1</v>
      </c>
      <c r="E21" s="61">
        <f>IF(Tableau210[[#This Row],[STOCK REEL]]&gt;=Tableau210[[#This Row],[MINI]],1,"")</f>
        <v>1</v>
      </c>
      <c r="F21" s="28" t="s">
        <v>60</v>
      </c>
      <c r="G21" s="45" t="s">
        <v>21</v>
      </c>
      <c r="H21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1" s="45"/>
      <c r="J21" s="45"/>
      <c r="K21" s="63">
        <v>0.72</v>
      </c>
      <c r="L21" s="64"/>
      <c r="M21" s="65">
        <f t="shared" si="0"/>
        <v>0</v>
      </c>
    </row>
    <row r="22" spans="1:13" ht="18" customHeight="1" x14ac:dyDescent="0.3">
      <c r="A22" s="137">
        <f t="shared" si="1"/>
        <v>15</v>
      </c>
      <c r="B22" s="2"/>
      <c r="C22" s="61">
        <f>IF(Tableau210[[#This Row],[STOCK REEL]]&lt;=0,1,"")</f>
        <v>1</v>
      </c>
      <c r="D22" s="61">
        <f>IF(Tableau210[[#This Row],[STOCK REEL]]&lt;=Tableau210[[#This Row],[MINI]],1,"")</f>
        <v>1</v>
      </c>
      <c r="E22" s="61">
        <f>IF(Tableau210[[#This Row],[STOCK REEL]]&gt;=Tableau210[[#This Row],[MINI]],1,"")</f>
        <v>1</v>
      </c>
      <c r="F22" s="28" t="s">
        <v>61</v>
      </c>
      <c r="G22" s="45" t="s">
        <v>22</v>
      </c>
      <c r="H22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2" s="45"/>
      <c r="J22" s="45"/>
      <c r="K22" s="63">
        <v>0.82</v>
      </c>
      <c r="L22" s="64"/>
      <c r="M22" s="65">
        <f t="shared" si="0"/>
        <v>0</v>
      </c>
    </row>
    <row r="23" spans="1:13" ht="18" customHeight="1" x14ac:dyDescent="0.3">
      <c r="A23" s="137">
        <f t="shared" si="1"/>
        <v>16</v>
      </c>
      <c r="B23" s="2"/>
      <c r="C23" s="61">
        <f>IF(Tableau210[[#This Row],[STOCK REEL]]&lt;=0,1,"")</f>
        <v>1</v>
      </c>
      <c r="D23" s="61">
        <f>IF(Tableau210[[#This Row],[STOCK REEL]]&lt;=Tableau210[[#This Row],[MINI]],1,"")</f>
        <v>1</v>
      </c>
      <c r="E23" s="61">
        <f>IF(Tableau210[[#This Row],[STOCK REEL]]&gt;=Tableau210[[#This Row],[MINI]],1,"")</f>
        <v>1</v>
      </c>
      <c r="F23" s="28" t="s">
        <v>62</v>
      </c>
      <c r="G23" s="45" t="s">
        <v>23</v>
      </c>
      <c r="H23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3" s="45"/>
      <c r="J23" s="45"/>
      <c r="K23" s="63">
        <v>0.92</v>
      </c>
      <c r="L23" s="64"/>
      <c r="M23" s="65">
        <f t="shared" si="0"/>
        <v>0</v>
      </c>
    </row>
    <row r="24" spans="1:13" ht="18" customHeight="1" x14ac:dyDescent="0.3">
      <c r="A24" s="137">
        <f t="shared" si="1"/>
        <v>17</v>
      </c>
      <c r="C24" s="61">
        <f>IF(Tableau210[[#This Row],[STOCK REEL]]&lt;=0,1,"")</f>
        <v>1</v>
      </c>
      <c r="D24" s="61">
        <f>IF(Tableau210[[#This Row],[STOCK REEL]]&lt;=Tableau210[[#This Row],[MINI]],1,"")</f>
        <v>1</v>
      </c>
      <c r="E24" s="61">
        <f>IF(Tableau210[[#This Row],[STOCK REEL]]&gt;=Tableau210[[#This Row],[MINI]],1,"")</f>
        <v>1</v>
      </c>
      <c r="F24" s="66" t="s">
        <v>484</v>
      </c>
      <c r="G24" s="50" t="s">
        <v>485</v>
      </c>
      <c r="H24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4" s="45"/>
      <c r="J24" s="45"/>
      <c r="K24" s="63"/>
      <c r="L24" s="64"/>
      <c r="M24" s="65">
        <f t="shared" si="0"/>
        <v>0</v>
      </c>
    </row>
    <row r="25" spans="1:13" ht="18" customHeight="1" x14ac:dyDescent="0.3">
      <c r="A25" s="137">
        <f t="shared" si="1"/>
        <v>18</v>
      </c>
      <c r="C25" s="61">
        <f>IF(Tableau210[[#This Row],[STOCK REEL]]&lt;=0,1,"")</f>
        <v>1</v>
      </c>
      <c r="D25" s="61">
        <f>IF(Tableau210[[#This Row],[STOCK REEL]]&lt;=Tableau210[[#This Row],[MINI]],1,"")</f>
        <v>1</v>
      </c>
      <c r="E25" s="61">
        <f>IF(Tableau210[[#This Row],[STOCK REEL]]&gt;=Tableau210[[#This Row],[MINI]],1,"")</f>
        <v>1</v>
      </c>
      <c r="F25" s="66" t="s">
        <v>486</v>
      </c>
      <c r="G25" s="50" t="s">
        <v>487</v>
      </c>
      <c r="H25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5" s="45"/>
      <c r="J25" s="45"/>
      <c r="K25" s="63"/>
      <c r="L25" s="64"/>
      <c r="M25" s="65">
        <f t="shared" si="0"/>
        <v>0</v>
      </c>
    </row>
    <row r="26" spans="1:13" ht="18" customHeight="1" x14ac:dyDescent="0.3">
      <c r="A26" s="137">
        <f t="shared" si="1"/>
        <v>19</v>
      </c>
      <c r="C26" s="61">
        <f>IF(Tableau210[[#This Row],[STOCK REEL]]&lt;=0,1,"")</f>
        <v>1</v>
      </c>
      <c r="D26" s="61">
        <f>IF(Tableau210[[#This Row],[STOCK REEL]]&lt;=Tableau210[[#This Row],[MINI]],1,"")</f>
        <v>1</v>
      </c>
      <c r="E26" s="61">
        <f>IF(Tableau210[[#This Row],[STOCK REEL]]&gt;=Tableau210[[#This Row],[MINI]],1,"")</f>
        <v>1</v>
      </c>
      <c r="F26" s="66" t="s">
        <v>488</v>
      </c>
      <c r="G26" s="50" t="s">
        <v>25</v>
      </c>
      <c r="H26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6" s="45"/>
      <c r="J26" s="45"/>
      <c r="K26" s="63">
        <v>0.33900000000000002</v>
      </c>
      <c r="L26" s="64"/>
      <c r="M26" s="65">
        <f t="shared" si="0"/>
        <v>0</v>
      </c>
    </row>
    <row r="27" spans="1:13" ht="18" customHeight="1" x14ac:dyDescent="0.3">
      <c r="A27" s="137">
        <f t="shared" si="1"/>
        <v>20</v>
      </c>
      <c r="C27" s="61">
        <f>IF(Tableau210[[#This Row],[STOCK REEL]]&lt;=0,1,"")</f>
        <v>1</v>
      </c>
      <c r="D27" s="61">
        <f>IF(Tableau210[[#This Row],[STOCK REEL]]&lt;=Tableau210[[#This Row],[MINI]],1,"")</f>
        <v>1</v>
      </c>
      <c r="E27" s="61">
        <f>IF(Tableau210[[#This Row],[STOCK REEL]]&gt;=Tableau210[[#This Row],[MINI]],1,"")</f>
        <v>1</v>
      </c>
      <c r="F27" s="66" t="s">
        <v>489</v>
      </c>
      <c r="G27" s="50" t="s">
        <v>26</v>
      </c>
      <c r="H27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7" s="45"/>
      <c r="J27" s="45"/>
      <c r="K27" s="63">
        <v>0.41299999999999998</v>
      </c>
      <c r="L27" s="64"/>
      <c r="M27" s="65">
        <f t="shared" si="0"/>
        <v>0</v>
      </c>
    </row>
    <row r="28" spans="1:13" ht="18" customHeight="1" x14ac:dyDescent="0.3">
      <c r="A28" s="137">
        <f t="shared" si="1"/>
        <v>21</v>
      </c>
      <c r="C28" s="61">
        <f>IF(Tableau210[[#This Row],[STOCK REEL]]&lt;=0,1,"")</f>
        <v>1</v>
      </c>
      <c r="D28" s="61">
        <f>IF(Tableau210[[#This Row],[STOCK REEL]]&lt;=Tableau210[[#This Row],[MINI]],1,"")</f>
        <v>1</v>
      </c>
      <c r="E28" s="61">
        <f>IF(Tableau210[[#This Row],[STOCK REEL]]&gt;=Tableau210[[#This Row],[MINI]],1,"")</f>
        <v>1</v>
      </c>
      <c r="F28" s="67" t="s">
        <v>490</v>
      </c>
      <c r="G28" s="50" t="s">
        <v>27</v>
      </c>
      <c r="H28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8" s="45"/>
      <c r="J28" s="45"/>
      <c r="K28" s="63">
        <v>0.98699999999999999</v>
      </c>
      <c r="L28" s="64"/>
      <c r="M28" s="65">
        <f t="shared" si="0"/>
        <v>0</v>
      </c>
    </row>
    <row r="29" spans="1:13" ht="18" customHeight="1" x14ac:dyDescent="0.3">
      <c r="A29" s="137">
        <f t="shared" si="1"/>
        <v>22</v>
      </c>
      <c r="C29" s="61">
        <f>IF(Tableau210[[#This Row],[STOCK REEL]]&lt;=0,1,"")</f>
        <v>1</v>
      </c>
      <c r="D29" s="61">
        <f>IF(Tableau210[[#This Row],[STOCK REEL]]&lt;=Tableau210[[#This Row],[MINI]],1,"")</f>
        <v>1</v>
      </c>
      <c r="E29" s="61">
        <f>IF(Tableau210[[#This Row],[STOCK REEL]]&gt;=Tableau210[[#This Row],[MINI]],1,"")</f>
        <v>1</v>
      </c>
      <c r="F29" s="67" t="s">
        <v>491</v>
      </c>
      <c r="G29" s="50" t="s">
        <v>28</v>
      </c>
      <c r="H29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29" s="45"/>
      <c r="J29" s="45"/>
      <c r="K29" s="63">
        <v>0.15049999999999999</v>
      </c>
      <c r="L29" s="64"/>
      <c r="M29" s="65">
        <f t="shared" si="0"/>
        <v>0</v>
      </c>
    </row>
    <row r="30" spans="1:13" ht="18" customHeight="1" x14ac:dyDescent="0.3">
      <c r="A30" s="137">
        <f t="shared" si="1"/>
        <v>23</v>
      </c>
      <c r="C30" s="61">
        <f>IF(Tableau210[[#This Row],[STOCK REEL]]&lt;=0,1,"")</f>
        <v>1</v>
      </c>
      <c r="D30" s="61">
        <f>IF(Tableau210[[#This Row],[STOCK REEL]]&lt;=Tableau210[[#This Row],[MINI]],1,"")</f>
        <v>1</v>
      </c>
      <c r="E30" s="61">
        <f>IF(Tableau210[[#This Row],[STOCK REEL]]&gt;=Tableau210[[#This Row],[MINI]],1,"")</f>
        <v>1</v>
      </c>
      <c r="F30" s="67" t="s">
        <v>492</v>
      </c>
      <c r="G30" s="50" t="s">
        <v>29</v>
      </c>
      <c r="H30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0" s="45"/>
      <c r="J30" s="45"/>
      <c r="K30" s="63">
        <v>0</v>
      </c>
      <c r="L30" s="64"/>
      <c r="M30" s="65">
        <f t="shared" si="0"/>
        <v>0</v>
      </c>
    </row>
    <row r="31" spans="1:13" ht="18" customHeight="1" x14ac:dyDescent="0.3">
      <c r="A31" s="137">
        <f t="shared" si="1"/>
        <v>24</v>
      </c>
      <c r="C31" s="61">
        <f>IF(Tableau210[[#This Row],[STOCK REEL]]&lt;=0,1,"")</f>
        <v>1</v>
      </c>
      <c r="D31" s="61">
        <f>IF(Tableau210[[#This Row],[STOCK REEL]]&lt;=Tableau210[[#This Row],[MINI]],1,"")</f>
        <v>1</v>
      </c>
      <c r="E31" s="61">
        <f>IF(Tableau210[[#This Row],[STOCK REEL]]&gt;=Tableau210[[#This Row],[MINI]],1,"")</f>
        <v>1</v>
      </c>
      <c r="F31" s="67" t="s">
        <v>493</v>
      </c>
      <c r="G31" s="50" t="s">
        <v>30</v>
      </c>
      <c r="H31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1" s="45"/>
      <c r="J31" s="45"/>
      <c r="K31" s="63">
        <v>0</v>
      </c>
      <c r="L31" s="64"/>
      <c r="M31" s="65">
        <f t="shared" si="0"/>
        <v>0</v>
      </c>
    </row>
    <row r="32" spans="1:13" ht="18" customHeight="1" x14ac:dyDescent="0.3">
      <c r="A32" s="137">
        <f t="shared" si="1"/>
        <v>25</v>
      </c>
      <c r="C32" s="61">
        <f>IF(Tableau210[[#This Row],[STOCK REEL]]&lt;=0,1,"")</f>
        <v>1</v>
      </c>
      <c r="D32" s="61">
        <f>IF(Tableau210[[#This Row],[STOCK REEL]]&lt;=Tableau210[[#This Row],[MINI]],1,"")</f>
        <v>1</v>
      </c>
      <c r="E32" s="61">
        <f>IF(Tableau210[[#This Row],[STOCK REEL]]&gt;=Tableau210[[#This Row],[MINI]],1,"")</f>
        <v>1</v>
      </c>
      <c r="F32" s="67" t="s">
        <v>494</v>
      </c>
      <c r="G32" s="50" t="s">
        <v>31</v>
      </c>
      <c r="H32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2" s="45"/>
      <c r="J32" s="45"/>
      <c r="K32" s="63">
        <v>0</v>
      </c>
      <c r="L32" s="64"/>
      <c r="M32" s="65">
        <f t="shared" si="0"/>
        <v>0</v>
      </c>
    </row>
    <row r="33" spans="1:13" ht="18" customHeight="1" x14ac:dyDescent="0.3">
      <c r="A33" s="137">
        <f t="shared" si="1"/>
        <v>26</v>
      </c>
      <c r="C33" s="61">
        <f>IF(Tableau210[[#This Row],[STOCK REEL]]&lt;=0,1,"")</f>
        <v>1</v>
      </c>
      <c r="D33" s="61">
        <f>IF(Tableau210[[#This Row],[STOCK REEL]]&lt;=Tableau210[[#This Row],[MINI]],1,"")</f>
        <v>1</v>
      </c>
      <c r="E33" s="61">
        <f>IF(Tableau210[[#This Row],[STOCK REEL]]&gt;=Tableau210[[#This Row],[MINI]],1,"")</f>
        <v>1</v>
      </c>
      <c r="F33" s="67" t="s">
        <v>495</v>
      </c>
      <c r="G33" s="50" t="s">
        <v>32</v>
      </c>
      <c r="H33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3" s="45"/>
      <c r="J33" s="45"/>
      <c r="K33" s="63">
        <v>0</v>
      </c>
      <c r="L33" s="64"/>
      <c r="M33" s="65">
        <f t="shared" si="0"/>
        <v>0</v>
      </c>
    </row>
    <row r="34" spans="1:13" ht="18" customHeight="1" x14ac:dyDescent="0.3">
      <c r="A34" s="137">
        <f t="shared" si="1"/>
        <v>27</v>
      </c>
      <c r="C34" s="61">
        <f>IF(Tableau210[[#This Row],[STOCK REEL]]&lt;=0,1,"")</f>
        <v>1</v>
      </c>
      <c r="D34" s="61">
        <f>IF(Tableau210[[#This Row],[STOCK REEL]]&lt;=Tableau210[[#This Row],[MINI]],1,"")</f>
        <v>1</v>
      </c>
      <c r="E34" s="61">
        <f>IF(Tableau210[[#This Row],[STOCK REEL]]&gt;=Tableau210[[#This Row],[MINI]],1,"")</f>
        <v>1</v>
      </c>
      <c r="F34" s="67" t="s">
        <v>496</v>
      </c>
      <c r="G34" s="50" t="s">
        <v>33</v>
      </c>
      <c r="H34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4" s="45"/>
      <c r="J34" s="45"/>
      <c r="K34" s="63">
        <v>0</v>
      </c>
      <c r="L34" s="64"/>
      <c r="M34" s="65">
        <f t="shared" si="0"/>
        <v>0</v>
      </c>
    </row>
    <row r="35" spans="1:13" ht="18" customHeight="1" x14ac:dyDescent="0.3">
      <c r="A35" s="137">
        <f t="shared" si="1"/>
        <v>28</v>
      </c>
      <c r="C35" s="61">
        <f>IF(Tableau210[[#This Row],[STOCK REEL]]&lt;=0,1,"")</f>
        <v>1</v>
      </c>
      <c r="D35" s="61">
        <f>IF(Tableau210[[#This Row],[STOCK REEL]]&lt;=Tableau210[[#This Row],[MINI]],1,"")</f>
        <v>1</v>
      </c>
      <c r="E35" s="61">
        <f>IF(Tableau210[[#This Row],[STOCK REEL]]&gt;=Tableau210[[#This Row],[MINI]],1,"")</f>
        <v>1</v>
      </c>
      <c r="F35" s="67" t="s">
        <v>497</v>
      </c>
      <c r="G35" s="50" t="s">
        <v>34</v>
      </c>
      <c r="H35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5" s="45"/>
      <c r="J35" s="45"/>
      <c r="K35" s="63">
        <v>0</v>
      </c>
      <c r="L35" s="64"/>
      <c r="M35" s="65">
        <f t="shared" si="0"/>
        <v>0</v>
      </c>
    </row>
    <row r="36" spans="1:13" ht="18" customHeight="1" x14ac:dyDescent="0.3">
      <c r="A36" s="137">
        <f t="shared" si="1"/>
        <v>29</v>
      </c>
      <c r="C36" s="61">
        <f>IF(Tableau210[[#This Row],[STOCK REEL]]&lt;=0,1,"")</f>
        <v>1</v>
      </c>
      <c r="D36" s="61">
        <f>IF(Tableau210[[#This Row],[STOCK REEL]]&lt;=Tableau210[[#This Row],[MINI]],1,"")</f>
        <v>1</v>
      </c>
      <c r="E36" s="61">
        <f>IF(Tableau210[[#This Row],[STOCK REEL]]&gt;=Tableau210[[#This Row],[MINI]],1,"")</f>
        <v>1</v>
      </c>
      <c r="F36" s="67" t="s">
        <v>498</v>
      </c>
      <c r="G36" s="50" t="s">
        <v>35</v>
      </c>
      <c r="H36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6" s="45"/>
      <c r="J36" s="45"/>
      <c r="K36" s="63">
        <v>0</v>
      </c>
      <c r="L36" s="64"/>
      <c r="M36" s="65">
        <f t="shared" si="0"/>
        <v>0</v>
      </c>
    </row>
    <row r="37" spans="1:13" ht="18" customHeight="1" x14ac:dyDescent="0.3">
      <c r="A37" s="137">
        <f t="shared" si="1"/>
        <v>30</v>
      </c>
      <c r="C37" s="61">
        <f>IF(Tableau210[[#This Row],[STOCK REEL]]&lt;=0,1,"")</f>
        <v>1</v>
      </c>
      <c r="D37" s="61">
        <f>IF(Tableau210[[#This Row],[STOCK REEL]]&lt;=Tableau210[[#This Row],[MINI]],1,"")</f>
        <v>1</v>
      </c>
      <c r="E37" s="61">
        <f>IF(Tableau210[[#This Row],[STOCK REEL]]&gt;=Tableau210[[#This Row],[MINI]],1,"")</f>
        <v>1</v>
      </c>
      <c r="F37" s="66" t="s">
        <v>499</v>
      </c>
      <c r="G37" s="50" t="s">
        <v>36</v>
      </c>
      <c r="H37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7" s="45"/>
      <c r="J37" s="45"/>
      <c r="K37" s="63">
        <v>0</v>
      </c>
      <c r="L37" s="64"/>
      <c r="M37" s="65">
        <f t="shared" si="0"/>
        <v>0</v>
      </c>
    </row>
    <row r="38" spans="1:13" ht="18" customHeight="1" x14ac:dyDescent="0.3">
      <c r="A38" s="137">
        <f t="shared" si="1"/>
        <v>31</v>
      </c>
      <c r="C38" s="61">
        <f>IF(Tableau210[[#This Row],[STOCK REEL]]&lt;=0,1,"")</f>
        <v>1</v>
      </c>
      <c r="D38" s="61">
        <f>IF(Tableau210[[#This Row],[STOCK REEL]]&lt;=Tableau210[[#This Row],[MINI]],1,"")</f>
        <v>1</v>
      </c>
      <c r="E38" s="61">
        <f>IF(Tableau210[[#This Row],[STOCK REEL]]&gt;=Tableau210[[#This Row],[MINI]],1,"")</f>
        <v>1</v>
      </c>
      <c r="F38" s="66" t="s">
        <v>500</v>
      </c>
      <c r="G38" s="50" t="s">
        <v>37</v>
      </c>
      <c r="H38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8" s="45"/>
      <c r="J38" s="45"/>
      <c r="K38" s="63">
        <v>0</v>
      </c>
      <c r="L38" s="64"/>
      <c r="M38" s="65">
        <f t="shared" si="0"/>
        <v>0</v>
      </c>
    </row>
    <row r="39" spans="1:13" ht="18" customHeight="1" x14ac:dyDescent="0.3">
      <c r="A39" s="137">
        <f t="shared" si="1"/>
        <v>32</v>
      </c>
      <c r="C39" s="61">
        <f>IF(Tableau210[[#This Row],[STOCK REEL]]&lt;=0,1,"")</f>
        <v>1</v>
      </c>
      <c r="D39" s="61">
        <f>IF(Tableau210[[#This Row],[STOCK REEL]]&lt;=Tableau210[[#This Row],[MINI]],1,"")</f>
        <v>1</v>
      </c>
      <c r="E39" s="61">
        <f>IF(Tableau210[[#This Row],[STOCK REEL]]&gt;=Tableau210[[#This Row],[MINI]],1,"")</f>
        <v>1</v>
      </c>
      <c r="F39" s="66" t="s">
        <v>501</v>
      </c>
      <c r="G39" s="50" t="s">
        <v>38</v>
      </c>
      <c r="H39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39" s="45"/>
      <c r="J39" s="45"/>
      <c r="K39" s="63">
        <v>0.58499999999999996</v>
      </c>
      <c r="L39" s="64"/>
      <c r="M39" s="65">
        <f t="shared" si="0"/>
        <v>0</v>
      </c>
    </row>
    <row r="40" spans="1:13" ht="18" customHeight="1" x14ac:dyDescent="0.3">
      <c r="A40" s="137">
        <f t="shared" si="1"/>
        <v>33</v>
      </c>
      <c r="C40" s="61">
        <f>IF(Tableau210[[#This Row],[STOCK REEL]]&lt;=0,1,"")</f>
        <v>1</v>
      </c>
      <c r="D40" s="61">
        <f>IF(Tableau210[[#This Row],[STOCK REEL]]&lt;=Tableau210[[#This Row],[MINI]],1,"")</f>
        <v>1</v>
      </c>
      <c r="E40" s="61">
        <f>IF(Tableau210[[#This Row],[STOCK REEL]]&gt;=Tableau210[[#This Row],[MINI]],1,"")</f>
        <v>1</v>
      </c>
      <c r="F40" s="66" t="s">
        <v>502</v>
      </c>
      <c r="G40" s="50" t="s">
        <v>39</v>
      </c>
      <c r="H40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0" s="45"/>
      <c r="J40" s="45"/>
      <c r="K40" s="63">
        <v>0.71</v>
      </c>
      <c r="L40" s="64"/>
      <c r="M40" s="65">
        <f t="shared" ref="M40:M62" si="2">IFERROR(K40*H40,"")</f>
        <v>0</v>
      </c>
    </row>
    <row r="41" spans="1:13" ht="18" customHeight="1" x14ac:dyDescent="0.3">
      <c r="A41" s="137">
        <f t="shared" si="1"/>
        <v>34</v>
      </c>
      <c r="C41" s="61">
        <f>IF(Tableau210[[#This Row],[STOCK REEL]]&lt;=0,1,"")</f>
        <v>1</v>
      </c>
      <c r="D41" s="61">
        <f>IF(Tableau210[[#This Row],[STOCK REEL]]&lt;=Tableau210[[#This Row],[MINI]],1,"")</f>
        <v>1</v>
      </c>
      <c r="E41" s="61">
        <f>IF(Tableau210[[#This Row],[STOCK REEL]]&gt;=Tableau210[[#This Row],[MINI]],1,"")</f>
        <v>1</v>
      </c>
      <c r="F41" s="67" t="s">
        <v>503</v>
      </c>
      <c r="G41" s="50" t="s">
        <v>40</v>
      </c>
      <c r="H41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1" s="45"/>
      <c r="J41" s="45"/>
      <c r="K41" s="63">
        <v>1.4339999999999999</v>
      </c>
      <c r="L41" s="64"/>
      <c r="M41" s="65">
        <f t="shared" si="2"/>
        <v>0</v>
      </c>
    </row>
    <row r="42" spans="1:13" ht="18" customHeight="1" x14ac:dyDescent="0.3">
      <c r="A42" s="137">
        <f t="shared" si="1"/>
        <v>35</v>
      </c>
      <c r="C42" s="61">
        <f>IF(Tableau210[[#This Row],[STOCK REEL]]&lt;=0,1,"")</f>
        <v>1</v>
      </c>
      <c r="D42" s="61">
        <f>IF(Tableau210[[#This Row],[STOCK REEL]]&lt;=Tableau210[[#This Row],[MINI]],1,"")</f>
        <v>1</v>
      </c>
      <c r="E42" s="61">
        <f>IF(Tableau210[[#This Row],[STOCK REEL]]&gt;=Tableau210[[#This Row],[MINI]],1,"")</f>
        <v>1</v>
      </c>
      <c r="F42" s="67" t="s">
        <v>504</v>
      </c>
      <c r="G42" s="50" t="s">
        <v>41</v>
      </c>
      <c r="H42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2" s="45"/>
      <c r="J42" s="45"/>
      <c r="K42" s="63">
        <v>0.1575</v>
      </c>
      <c r="L42" s="64"/>
      <c r="M42" s="65">
        <f t="shared" si="2"/>
        <v>0</v>
      </c>
    </row>
    <row r="43" spans="1:13" ht="18" customHeight="1" x14ac:dyDescent="0.3">
      <c r="A43" s="137">
        <f t="shared" si="1"/>
        <v>36</v>
      </c>
      <c r="C43" s="61">
        <f>IF(Tableau210[[#This Row],[STOCK REEL]]&lt;=0,1,"")</f>
        <v>1</v>
      </c>
      <c r="D43" s="61">
        <f>IF(Tableau210[[#This Row],[STOCK REEL]]&lt;=Tableau210[[#This Row],[MINI]],1,"")</f>
        <v>1</v>
      </c>
      <c r="E43" s="61">
        <f>IF(Tableau210[[#This Row],[STOCK REEL]]&gt;=Tableau210[[#This Row],[MINI]],1,"")</f>
        <v>1</v>
      </c>
      <c r="F43" s="67" t="s">
        <v>505</v>
      </c>
      <c r="G43" s="50" t="s">
        <v>42</v>
      </c>
      <c r="H43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3" s="45"/>
      <c r="J43" s="45"/>
      <c r="K43" s="63">
        <v>0.161</v>
      </c>
      <c r="L43" s="64"/>
      <c r="M43" s="65">
        <f t="shared" si="2"/>
        <v>0</v>
      </c>
    </row>
    <row r="44" spans="1:13" ht="18" customHeight="1" x14ac:dyDescent="0.3">
      <c r="A44" s="137">
        <f t="shared" si="1"/>
        <v>37</v>
      </c>
      <c r="C44" s="61">
        <f>IF(Tableau210[[#This Row],[STOCK REEL]]&lt;=0,1,"")</f>
        <v>1</v>
      </c>
      <c r="D44" s="61">
        <f>IF(Tableau210[[#This Row],[STOCK REEL]]&lt;=Tableau210[[#This Row],[MINI]],1,"")</f>
        <v>1</v>
      </c>
      <c r="E44" s="61">
        <f>IF(Tableau210[[#This Row],[STOCK REEL]]&gt;=Tableau210[[#This Row],[MINI]],1,"")</f>
        <v>1</v>
      </c>
      <c r="F44" s="67" t="s">
        <v>506</v>
      </c>
      <c r="G44" s="50" t="s">
        <v>43</v>
      </c>
      <c r="H44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4" s="45"/>
      <c r="J44" s="45"/>
      <c r="K44" s="63">
        <v>0.30449999999999999</v>
      </c>
      <c r="L44" s="64"/>
      <c r="M44" s="65">
        <f t="shared" si="2"/>
        <v>0</v>
      </c>
    </row>
    <row r="45" spans="1:13" ht="18" customHeight="1" x14ac:dyDescent="0.3">
      <c r="A45" s="137">
        <f t="shared" si="1"/>
        <v>38</v>
      </c>
      <c r="C45" s="61">
        <f>IF(Tableau210[[#This Row],[STOCK REEL]]&lt;=0,1,"")</f>
        <v>1</v>
      </c>
      <c r="D45" s="61">
        <f>IF(Tableau210[[#This Row],[STOCK REEL]]&lt;=Tableau210[[#This Row],[MINI]],1,"")</f>
        <v>1</v>
      </c>
      <c r="E45" s="61">
        <f>IF(Tableau210[[#This Row],[STOCK REEL]]&gt;=Tableau210[[#This Row],[MINI]],1,"")</f>
        <v>1</v>
      </c>
      <c r="F45" s="66" t="s">
        <v>507</v>
      </c>
      <c r="G45" s="50" t="s">
        <v>44</v>
      </c>
      <c r="H45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5" s="45"/>
      <c r="J45" s="45"/>
      <c r="K45" s="63">
        <v>0.46200000000000002</v>
      </c>
      <c r="L45" s="64"/>
      <c r="M45" s="65">
        <f t="shared" si="2"/>
        <v>0</v>
      </c>
    </row>
    <row r="46" spans="1:13" ht="18" customHeight="1" x14ac:dyDescent="0.3">
      <c r="A46" s="137">
        <f t="shared" si="1"/>
        <v>39</v>
      </c>
      <c r="C46" s="61">
        <f>IF(Tableau210[[#This Row],[STOCK REEL]]&lt;=0,1,"")</f>
        <v>1</v>
      </c>
      <c r="D46" s="61">
        <f>IF(Tableau210[[#This Row],[STOCK REEL]]&lt;=Tableau210[[#This Row],[MINI]],1,"")</f>
        <v>1</v>
      </c>
      <c r="E46" s="61">
        <f>IF(Tableau210[[#This Row],[STOCK REEL]]&gt;=Tableau210[[#This Row],[MINI]],1,"")</f>
        <v>1</v>
      </c>
      <c r="F46" s="66" t="s">
        <v>508</v>
      </c>
      <c r="G46" s="50" t="s">
        <v>45</v>
      </c>
      <c r="H46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6" s="45"/>
      <c r="J46" s="45"/>
      <c r="K46" s="63">
        <v>0.61</v>
      </c>
      <c r="L46" s="64"/>
      <c r="M46" s="65">
        <f t="shared" si="2"/>
        <v>0</v>
      </c>
    </row>
    <row r="47" spans="1:13" ht="18" customHeight="1" x14ac:dyDescent="0.3">
      <c r="A47" s="137">
        <f t="shared" si="1"/>
        <v>40</v>
      </c>
      <c r="C47" s="61">
        <f>IF(Tableau210[[#This Row],[STOCK REEL]]&lt;=0,1,"")</f>
        <v>1</v>
      </c>
      <c r="D47" s="61">
        <f>IF(Tableau210[[#This Row],[STOCK REEL]]&lt;=Tableau210[[#This Row],[MINI]],1,"")</f>
        <v>1</v>
      </c>
      <c r="E47" s="61">
        <f>IF(Tableau210[[#This Row],[STOCK REEL]]&gt;=Tableau210[[#This Row],[MINI]],1,"")</f>
        <v>1</v>
      </c>
      <c r="F47" s="66" t="s">
        <v>509</v>
      </c>
      <c r="G47" s="50" t="s">
        <v>46</v>
      </c>
      <c r="H47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7" s="45"/>
      <c r="J47" s="45"/>
      <c r="K47" s="63">
        <v>0.89</v>
      </c>
      <c r="L47" s="64"/>
      <c r="M47" s="65">
        <f t="shared" si="2"/>
        <v>0</v>
      </c>
    </row>
    <row r="48" spans="1:13" ht="18" customHeight="1" x14ac:dyDescent="0.3">
      <c r="A48" s="137">
        <f t="shared" si="1"/>
        <v>41</v>
      </c>
      <c r="C48" s="61">
        <f>IF(Tableau210[[#This Row],[STOCK REEL]]&lt;=0,1,"")</f>
        <v>1</v>
      </c>
      <c r="D48" s="61">
        <f>IF(Tableau210[[#This Row],[STOCK REEL]]&lt;=Tableau210[[#This Row],[MINI]],1,"")</f>
        <v>1</v>
      </c>
      <c r="E48" s="61">
        <f>IF(Tableau210[[#This Row],[STOCK REEL]]&gt;=Tableau210[[#This Row],[MINI]],1,"")</f>
        <v>1</v>
      </c>
      <c r="F48" s="66" t="s">
        <v>509</v>
      </c>
      <c r="G48" s="50" t="s">
        <v>47</v>
      </c>
      <c r="H48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8" s="45"/>
      <c r="J48" s="45"/>
      <c r="K48" s="63">
        <v>1.06</v>
      </c>
      <c r="L48" s="64"/>
      <c r="M48" s="65">
        <f t="shared" si="2"/>
        <v>0</v>
      </c>
    </row>
    <row r="49" spans="1:13" ht="18" customHeight="1" x14ac:dyDescent="0.3">
      <c r="A49" s="137">
        <f t="shared" si="1"/>
        <v>42</v>
      </c>
      <c r="C49" s="61">
        <f>IF(Tableau210[[#This Row],[STOCK REEL]]&lt;=0,1,"")</f>
        <v>1</v>
      </c>
      <c r="D49" s="61">
        <f>IF(Tableau210[[#This Row],[STOCK REEL]]&lt;=Tableau210[[#This Row],[MINI]],1,"")</f>
        <v>1</v>
      </c>
      <c r="E49" s="61">
        <f>IF(Tableau210[[#This Row],[STOCK REEL]]&gt;=Tableau210[[#This Row],[MINI]],1,"")</f>
        <v>1</v>
      </c>
      <c r="F49" s="67" t="s">
        <v>510</v>
      </c>
      <c r="G49" s="50" t="s">
        <v>48</v>
      </c>
      <c r="H49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49" s="45"/>
      <c r="J49" s="45"/>
      <c r="K49" s="63">
        <v>1.57</v>
      </c>
      <c r="L49" s="64"/>
      <c r="M49" s="65">
        <f t="shared" si="2"/>
        <v>0</v>
      </c>
    </row>
    <row r="50" spans="1:13" ht="18" customHeight="1" x14ac:dyDescent="0.3">
      <c r="A50" s="137">
        <f t="shared" si="1"/>
        <v>43</v>
      </c>
      <c r="C50" s="61">
        <f>IF(Tableau210[[#This Row],[STOCK REEL]]&lt;=0,1,"")</f>
        <v>1</v>
      </c>
      <c r="D50" s="61">
        <f>IF(Tableau210[[#This Row],[STOCK REEL]]&lt;=Tableau210[[#This Row],[MINI]],1,"")</f>
        <v>1</v>
      </c>
      <c r="E50" s="61">
        <f>IF(Tableau210[[#This Row],[STOCK REEL]]&gt;=Tableau210[[#This Row],[MINI]],1,"")</f>
        <v>1</v>
      </c>
      <c r="F50" s="67" t="s">
        <v>511</v>
      </c>
      <c r="G50" s="50" t="s">
        <v>49</v>
      </c>
      <c r="H50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0" s="45"/>
      <c r="J50" s="45"/>
      <c r="K50" s="63">
        <v>0.2</v>
      </c>
      <c r="L50" s="64"/>
      <c r="M50" s="65">
        <f t="shared" si="2"/>
        <v>0</v>
      </c>
    </row>
    <row r="51" spans="1:13" ht="18" customHeight="1" x14ac:dyDescent="0.3">
      <c r="A51" s="137">
        <f t="shared" si="1"/>
        <v>44</v>
      </c>
      <c r="C51" s="61">
        <f>IF(Tableau210[[#This Row],[STOCK REEL]]&lt;=0,1,"")</f>
        <v>1</v>
      </c>
      <c r="D51" s="61">
        <f>IF(Tableau210[[#This Row],[STOCK REEL]]&lt;=Tableau210[[#This Row],[MINI]],1,"")</f>
        <v>1</v>
      </c>
      <c r="E51" s="61">
        <f>IF(Tableau210[[#This Row],[STOCK REEL]]&gt;=Tableau210[[#This Row],[MINI]],1,"")</f>
        <v>1</v>
      </c>
      <c r="F51" s="67" t="s">
        <v>512</v>
      </c>
      <c r="G51" s="50" t="s">
        <v>50</v>
      </c>
      <c r="H51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1" s="45"/>
      <c r="J51" s="45"/>
      <c r="K51" s="63">
        <v>0.26</v>
      </c>
      <c r="L51" s="64"/>
      <c r="M51" s="65">
        <f t="shared" si="2"/>
        <v>0</v>
      </c>
    </row>
    <row r="52" spans="1:13" ht="18" customHeight="1" x14ac:dyDescent="0.3">
      <c r="A52" s="137">
        <f t="shared" si="1"/>
        <v>45</v>
      </c>
      <c r="C52" s="61">
        <f>IF(Tableau210[[#This Row],[STOCK REEL]]&lt;=0,1,"")</f>
        <v>1</v>
      </c>
      <c r="D52" s="61">
        <f>IF(Tableau210[[#This Row],[STOCK REEL]]&lt;=Tableau210[[#This Row],[MINI]],1,"")</f>
        <v>1</v>
      </c>
      <c r="E52" s="61">
        <f>IF(Tableau210[[#This Row],[STOCK REEL]]&gt;=Tableau210[[#This Row],[MINI]],1,"")</f>
        <v>1</v>
      </c>
      <c r="F52" s="67" t="s">
        <v>513</v>
      </c>
      <c r="G52" s="50" t="s">
        <v>51</v>
      </c>
      <c r="H52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2" s="45"/>
      <c r="J52" s="45"/>
      <c r="K52" s="63">
        <v>0.49</v>
      </c>
      <c r="L52" s="64"/>
      <c r="M52" s="65">
        <f t="shared" si="2"/>
        <v>0</v>
      </c>
    </row>
    <row r="53" spans="1:13" ht="18" customHeight="1" x14ac:dyDescent="0.3">
      <c r="A53" s="137">
        <f t="shared" si="1"/>
        <v>46</v>
      </c>
      <c r="C53" s="61">
        <f>IF(Tableau210[[#This Row],[STOCK REEL]]&lt;=0,1,"")</f>
        <v>1</v>
      </c>
      <c r="D53" s="61">
        <f>IF(Tableau210[[#This Row],[STOCK REEL]]&lt;=Tableau210[[#This Row],[MINI]],1,"")</f>
        <v>1</v>
      </c>
      <c r="E53" s="61">
        <f>IF(Tableau210[[#This Row],[STOCK REEL]]&gt;=Tableau210[[#This Row],[MINI]],1,"")</f>
        <v>1</v>
      </c>
      <c r="F53" s="68" t="s">
        <v>514</v>
      </c>
      <c r="G53" s="50" t="s">
        <v>52</v>
      </c>
      <c r="H53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3" s="45"/>
      <c r="J53" s="45"/>
      <c r="K53" s="69">
        <v>0.74</v>
      </c>
      <c r="L53" s="70"/>
      <c r="M53" s="65">
        <f t="shared" si="2"/>
        <v>0</v>
      </c>
    </row>
    <row r="54" spans="1:13" ht="18" customHeight="1" x14ac:dyDescent="0.3">
      <c r="A54" s="137">
        <f t="shared" si="1"/>
        <v>47</v>
      </c>
      <c r="C54" s="61">
        <f>IF(Tableau210[[#This Row],[STOCK REEL]]&lt;=0,1,"")</f>
        <v>1</v>
      </c>
      <c r="D54" s="61">
        <f>IF(Tableau210[[#This Row],[STOCK REEL]]&lt;=Tableau210[[#This Row],[MINI]],1,"")</f>
        <v>1</v>
      </c>
      <c r="E54" s="61">
        <f>IF(Tableau210[[#This Row],[STOCK REEL]]&gt;=Tableau210[[#This Row],[MINI]],1,"")</f>
        <v>1</v>
      </c>
      <c r="F54" s="68" t="s">
        <v>515</v>
      </c>
      <c r="G54" s="50" t="s">
        <v>53</v>
      </c>
      <c r="H54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4" s="45"/>
      <c r="J54" s="45"/>
      <c r="K54" s="69">
        <v>0.98</v>
      </c>
      <c r="L54" s="70"/>
      <c r="M54" s="65">
        <f t="shared" si="2"/>
        <v>0</v>
      </c>
    </row>
    <row r="55" spans="1:13" ht="18" customHeight="1" x14ac:dyDescent="0.3">
      <c r="A55" s="137">
        <f t="shared" si="1"/>
        <v>48</v>
      </c>
      <c r="C55" s="61">
        <f>IF(Tableau210[[#This Row],[STOCK REEL]]&lt;=0,1,"")</f>
        <v>1</v>
      </c>
      <c r="D55" s="61">
        <f>IF(Tableau210[[#This Row],[STOCK REEL]]&lt;=Tableau210[[#This Row],[MINI]],1,"")</f>
        <v>1</v>
      </c>
      <c r="E55" s="61">
        <f>IF(Tableau210[[#This Row],[STOCK REEL]]&gt;=Tableau210[[#This Row],[MINI]],1,"")</f>
        <v>1</v>
      </c>
      <c r="F55" s="68" t="s">
        <v>516</v>
      </c>
      <c r="G55" s="50" t="s">
        <v>517</v>
      </c>
      <c r="H55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5" s="45"/>
      <c r="J55" s="45"/>
      <c r="K55" s="69"/>
      <c r="L55" s="70"/>
      <c r="M55" s="65">
        <f t="shared" si="2"/>
        <v>0</v>
      </c>
    </row>
    <row r="56" spans="1:13" ht="18" customHeight="1" x14ac:dyDescent="0.3">
      <c r="A56" s="137">
        <f t="shared" si="1"/>
        <v>49</v>
      </c>
      <c r="C56" s="61">
        <f>IF(Tableau210[[#This Row],[STOCK REEL]]&lt;=0,1,"")</f>
        <v>1</v>
      </c>
      <c r="D56" s="61">
        <f>IF(Tableau210[[#This Row],[STOCK REEL]]&lt;=Tableau210[[#This Row],[MINI]],1,"")</f>
        <v>1</v>
      </c>
      <c r="E56" s="61">
        <f>IF(Tableau210[[#This Row],[STOCK REEL]]&gt;=Tableau210[[#This Row],[MINI]],1,"")</f>
        <v>1</v>
      </c>
      <c r="F56" s="68" t="s">
        <v>518</v>
      </c>
      <c r="G56" s="50" t="s">
        <v>519</v>
      </c>
      <c r="H56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6" s="45"/>
      <c r="J56" s="45"/>
      <c r="K56" s="69"/>
      <c r="L56" s="70"/>
      <c r="M56" s="65">
        <f t="shared" si="2"/>
        <v>0</v>
      </c>
    </row>
    <row r="57" spans="1:13" ht="18" customHeight="1" x14ac:dyDescent="0.3">
      <c r="A57" s="137">
        <f t="shared" si="1"/>
        <v>50</v>
      </c>
      <c r="C57" s="61">
        <f>IF(Tableau210[[#This Row],[STOCK REEL]]&lt;=0,1,"")</f>
        <v>1</v>
      </c>
      <c r="D57" s="61">
        <f>IF(Tableau210[[#This Row],[STOCK REEL]]&lt;=Tableau210[[#This Row],[MINI]],1,"")</f>
        <v>1</v>
      </c>
      <c r="E57" s="61">
        <f>IF(Tableau210[[#This Row],[STOCK REEL]]&gt;=Tableau210[[#This Row],[MINI]],1,"")</f>
        <v>1</v>
      </c>
      <c r="F57" s="68" t="s">
        <v>520</v>
      </c>
      <c r="G57" s="50" t="s">
        <v>521</v>
      </c>
      <c r="H57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7" s="45"/>
      <c r="J57" s="45"/>
      <c r="K57" s="69"/>
      <c r="L57" s="70"/>
      <c r="M57" s="65">
        <f t="shared" si="2"/>
        <v>0</v>
      </c>
    </row>
    <row r="58" spans="1:13" ht="18" customHeight="1" x14ac:dyDescent="0.3">
      <c r="A58" s="137">
        <f t="shared" si="1"/>
        <v>51</v>
      </c>
      <c r="C58" s="61">
        <f>IF(Tableau210[[#This Row],[STOCK REEL]]&lt;=0,1,"")</f>
        <v>1</v>
      </c>
      <c r="D58" s="61">
        <f>IF(Tableau210[[#This Row],[STOCK REEL]]&lt;=Tableau210[[#This Row],[MINI]],1,"")</f>
        <v>1</v>
      </c>
      <c r="E58" s="61">
        <f>IF(Tableau210[[#This Row],[STOCK REEL]]&gt;=Tableau210[[#This Row],[MINI]],1,"")</f>
        <v>1</v>
      </c>
      <c r="F58" s="68" t="s">
        <v>522</v>
      </c>
      <c r="G58" s="50" t="s">
        <v>523</v>
      </c>
      <c r="H58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8" s="45"/>
      <c r="J58" s="45"/>
      <c r="K58" s="69"/>
      <c r="L58" s="70"/>
      <c r="M58" s="65">
        <f t="shared" si="2"/>
        <v>0</v>
      </c>
    </row>
    <row r="59" spans="1:13" ht="18" customHeight="1" x14ac:dyDescent="0.3">
      <c r="A59" s="137">
        <f t="shared" si="1"/>
        <v>52</v>
      </c>
      <c r="C59" s="61">
        <f>IF(Tableau210[[#This Row],[STOCK REEL]]&lt;=0,1,"")</f>
        <v>1</v>
      </c>
      <c r="D59" s="61">
        <f>IF(Tableau210[[#This Row],[STOCK REEL]]&lt;=Tableau210[[#This Row],[MINI]],1,"")</f>
        <v>1</v>
      </c>
      <c r="E59" s="61">
        <f>IF(Tableau210[[#This Row],[STOCK REEL]]&gt;=Tableau210[[#This Row],[MINI]],1,"")</f>
        <v>1</v>
      </c>
      <c r="F59" s="68" t="s">
        <v>524</v>
      </c>
      <c r="G59" s="50" t="s">
        <v>525</v>
      </c>
      <c r="H59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59" s="45"/>
      <c r="J59" s="45"/>
      <c r="K59" s="69"/>
      <c r="L59" s="70"/>
      <c r="M59" s="65">
        <f t="shared" si="2"/>
        <v>0</v>
      </c>
    </row>
    <row r="60" spans="1:13" ht="18" customHeight="1" x14ac:dyDescent="0.3">
      <c r="A60" s="137">
        <f t="shared" si="1"/>
        <v>53</v>
      </c>
      <c r="C60" s="61">
        <f>IF(Tableau210[[#This Row],[STOCK REEL]]&lt;=0,1,"")</f>
        <v>1</v>
      </c>
      <c r="D60" s="61">
        <f>IF(Tableau210[[#This Row],[STOCK REEL]]&lt;=Tableau210[[#This Row],[MINI]],1,"")</f>
        <v>1</v>
      </c>
      <c r="E60" s="61">
        <f>IF(Tableau210[[#This Row],[STOCK REEL]]&gt;=Tableau210[[#This Row],[MINI]],1,"")</f>
        <v>1</v>
      </c>
      <c r="F60" s="68" t="s">
        <v>526</v>
      </c>
      <c r="G60" s="50" t="s">
        <v>527</v>
      </c>
      <c r="H60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60" s="45"/>
      <c r="J60" s="45"/>
      <c r="K60" s="69"/>
      <c r="L60" s="70"/>
      <c r="M60" s="65">
        <f t="shared" si="2"/>
        <v>0</v>
      </c>
    </row>
    <row r="61" spans="1:13" ht="18" customHeight="1" x14ac:dyDescent="0.3">
      <c r="A61" s="137">
        <f t="shared" si="1"/>
        <v>54</v>
      </c>
      <c r="C61" s="61">
        <f>IF(Tableau210[[#This Row],[STOCK REEL]]&lt;=0,1,"")</f>
        <v>1</v>
      </c>
      <c r="D61" s="61">
        <f>IF(Tableau210[[#This Row],[STOCK REEL]]&lt;=Tableau210[[#This Row],[MINI]],1,"")</f>
        <v>1</v>
      </c>
      <c r="E61" s="61">
        <f>IF(Tableau210[[#This Row],[STOCK REEL]]&gt;=Tableau210[[#This Row],[MINI]],1,"")</f>
        <v>1</v>
      </c>
      <c r="F61" s="68" t="s">
        <v>528</v>
      </c>
      <c r="G61" s="50" t="s">
        <v>529</v>
      </c>
      <c r="H61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61" s="45"/>
      <c r="J61" s="45"/>
      <c r="K61" s="69"/>
      <c r="L61" s="70"/>
      <c r="M61" s="65">
        <f t="shared" si="2"/>
        <v>0</v>
      </c>
    </row>
    <row r="62" spans="1:13" ht="18" customHeight="1" x14ac:dyDescent="0.3">
      <c r="A62" s="137">
        <f t="shared" si="1"/>
        <v>55</v>
      </c>
      <c r="C62" s="61">
        <f>IF(Tableau210[[#This Row],[STOCK REEL]]&lt;=0,1,"")</f>
        <v>1</v>
      </c>
      <c r="D62" s="61">
        <f>IF(Tableau210[[#This Row],[STOCK REEL]]&lt;=Tableau210[[#This Row],[MINI]],1,"")</f>
        <v>1</v>
      </c>
      <c r="E62" s="61">
        <f>IF(Tableau210[[#This Row],[STOCK REEL]]&gt;=Tableau210[[#This Row],[MINI]],1,"")</f>
        <v>1</v>
      </c>
      <c r="F62" s="68" t="s">
        <v>530</v>
      </c>
      <c r="G62" s="50" t="s">
        <v>531</v>
      </c>
      <c r="H62" s="306">
        <f>SUMIFS(Tableau4[QUANTITE],Tableau4[REFERENCE],Tableau210[[#This Row],[REFERENCE]],Tableau4[ENTREE],"Entrée")-SUMIFS(Tableau4[QUANTITE],Tableau4[REFERENCE],Tableau210[[#This Row],[REFERENCE]],Tableau4[ENTREE],"Sortie")+SUMIFS(Tableau5[QUANTITE],Tableau5[REFERENCE],Tableau210[[#This Row],[REFERENCE]],Tableau5[ENTREE],"RETOUR")-SUMIFS(Tableau5[QUANTITE],Tableau5[REFERENCE],Tableau210[[#This Row],[REFERENCE]],Tableau5[ENTREE],"SORTIE")</f>
        <v>0</v>
      </c>
      <c r="I62" s="45"/>
      <c r="J62" s="45"/>
      <c r="K62" s="69"/>
      <c r="L62" s="70"/>
      <c r="M62" s="65">
        <f t="shared" si="2"/>
        <v>0</v>
      </c>
    </row>
    <row r="63" spans="1:13" ht="18" customHeight="1" x14ac:dyDescent="0.3">
      <c r="C63" s="61"/>
      <c r="D63" s="61"/>
      <c r="E63" s="61"/>
      <c r="F63" s="68"/>
      <c r="G63" s="50"/>
      <c r="H63" s="62"/>
      <c r="I63" s="45"/>
      <c r="J63" s="45"/>
      <c r="K63" s="70"/>
      <c r="L63" s="70"/>
      <c r="M63" s="71"/>
    </row>
    <row r="64" spans="1:13" ht="18" customHeight="1" x14ac:dyDescent="0.3">
      <c r="C64" s="61"/>
      <c r="D64" s="61"/>
      <c r="E64" s="61"/>
      <c r="F64" s="68"/>
      <c r="G64" s="50"/>
      <c r="H64" s="62"/>
      <c r="I64" s="45"/>
      <c r="J64" s="45"/>
      <c r="K64" s="70"/>
      <c r="L64" s="70"/>
      <c r="M64" s="71"/>
    </row>
    <row r="65" spans="3:13" ht="18" customHeight="1" x14ac:dyDescent="0.3">
      <c r="C65" s="61"/>
      <c r="D65" s="61"/>
      <c r="E65" s="61"/>
      <c r="F65" s="68"/>
      <c r="G65" s="50"/>
      <c r="H65" s="62"/>
      <c r="I65" s="45"/>
      <c r="J65" s="45"/>
      <c r="K65" s="70"/>
      <c r="L65" s="70"/>
      <c r="M65" s="71"/>
    </row>
    <row r="66" spans="3:13" ht="18" customHeight="1" x14ac:dyDescent="0.3">
      <c r="C66" s="61"/>
      <c r="D66" s="61"/>
      <c r="E66" s="54"/>
      <c r="K66" s="71"/>
      <c r="L66" s="71"/>
      <c r="M66" s="71"/>
    </row>
    <row r="67" spans="3:13" ht="18" customHeight="1" x14ac:dyDescent="0.3">
      <c r="C67" s="61"/>
      <c r="D67" s="61"/>
      <c r="E67" s="54"/>
      <c r="K67" s="71"/>
      <c r="L67" s="71"/>
      <c r="M67" s="71"/>
    </row>
    <row r="68" spans="3:13" ht="18" customHeight="1" x14ac:dyDescent="0.3">
      <c r="C68" s="61"/>
      <c r="D68" s="61"/>
      <c r="E68" s="54"/>
      <c r="K68" s="71"/>
      <c r="L68" s="71"/>
      <c r="M68" s="71"/>
    </row>
    <row r="69" spans="3:13" ht="18" customHeight="1" x14ac:dyDescent="0.3">
      <c r="C69" s="61"/>
      <c r="D69" s="61"/>
      <c r="E69" s="54"/>
      <c r="K69" s="71"/>
      <c r="L69" s="71"/>
      <c r="M69" s="71"/>
    </row>
  </sheetData>
  <conditionalFormatting sqref="K8:L46 F24:F65 H8:H62">
    <cfRule type="expression" dxfId="28" priority="1">
      <formula>$B8=1</formula>
    </cfRule>
    <cfRule type="expression" dxfId="27" priority="2">
      <formula>$M8="oui"</formula>
    </cfRule>
  </conditionalFormatting>
  <pageMargins left="0.25" right="0.25" top="0.75" bottom="0.75" header="0.3" footer="0.3"/>
  <pageSetup paperSize="9" scale="49" orientation="landscape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33793" r:id="rId4" name="CommandButton1">
          <controlPr defaultSize="0" autoLine="0" r:id="rId5">
            <anchor moveWithCells="1">
              <from>
                <xdr:col>5</xdr:col>
                <xdr:colOff>129540</xdr:colOff>
                <xdr:row>2</xdr:row>
                <xdr:rowOff>53340</xdr:rowOff>
              </from>
              <to>
                <xdr:col>5</xdr:col>
                <xdr:colOff>2834640</xdr:colOff>
                <xdr:row>4</xdr:row>
                <xdr:rowOff>137160</xdr:rowOff>
              </to>
            </anchor>
          </controlPr>
        </control>
      </mc:Choice>
      <mc:Fallback>
        <control shapeId="33793" r:id="rId4" name="CommandButton1"/>
      </mc:Fallback>
    </mc:AlternateContent>
    <mc:AlternateContent xmlns:mc="http://schemas.openxmlformats.org/markup-compatibility/2006">
      <mc:Choice Requires="x14">
        <control shapeId="33794" r:id="rId6" name="CommandButton2">
          <controlPr defaultSize="0" autoLine="0" r:id="rId7">
            <anchor moveWithCells="1">
              <from>
                <xdr:col>1</xdr:col>
                <xdr:colOff>22860</xdr:colOff>
                <xdr:row>7</xdr:row>
                <xdr:rowOff>15240</xdr:rowOff>
              </from>
              <to>
                <xdr:col>1</xdr:col>
                <xdr:colOff>1219200</xdr:colOff>
                <xdr:row>8</xdr:row>
                <xdr:rowOff>0</xdr:rowOff>
              </to>
            </anchor>
          </controlPr>
        </control>
      </mc:Choice>
      <mc:Fallback>
        <control shapeId="33794" r:id="rId6" name="CommandButton2"/>
      </mc:Fallback>
    </mc:AlternateContent>
    <mc:AlternateContent xmlns:mc="http://schemas.openxmlformats.org/markup-compatibility/2006">
      <mc:Choice Requires="x14">
        <control shapeId="33795" r:id="rId8" name="CommandButton3">
          <controlPr defaultSize="0" autoLine="0" r:id="rId9">
            <anchor moveWithCells="1">
              <from>
                <xdr:col>1</xdr:col>
                <xdr:colOff>22860</xdr:colOff>
                <xdr:row>8</xdr:row>
                <xdr:rowOff>15240</xdr:rowOff>
              </from>
              <to>
                <xdr:col>1</xdr:col>
                <xdr:colOff>1219200</xdr:colOff>
                <xdr:row>9</xdr:row>
                <xdr:rowOff>0</xdr:rowOff>
              </to>
            </anchor>
          </controlPr>
        </control>
      </mc:Choice>
      <mc:Fallback>
        <control shapeId="33795" r:id="rId8" name="CommandButton3"/>
      </mc:Fallback>
    </mc:AlternateContent>
  </controls>
  <tableParts count="1">
    <tablePart r:id="rId1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5FC836F7-AA11-4241-A1B6-A36F28BD6B48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E8:E62</xm:sqref>
        </x14:conditionalFormatting>
        <x14:conditionalFormatting xmlns:xm="http://schemas.microsoft.com/office/excel/2006/main">
          <x14:cfRule type="iconSet" priority="4" id="{D6AC6F2B-28ED-4B19-8433-783806470E1D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D8:D62</xm:sqref>
        </x14:conditionalFormatting>
        <x14:conditionalFormatting xmlns:xm="http://schemas.microsoft.com/office/excel/2006/main">
          <x14:cfRule type="iconSet" priority="5" id="{0428BA83-0E77-4E5A-91CD-17F911134110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C8:C62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633D7-E0E7-411E-BE6D-5FA02571CFA2}">
  <sheetPr codeName="Feuil8">
    <tabColor theme="9" tint="0.59999389629810485"/>
  </sheetPr>
  <dimension ref="A1:M231"/>
  <sheetViews>
    <sheetView showGridLines="0" zoomScale="85" zoomScaleNormal="85" workbookViewId="0">
      <selection activeCell="N28" sqref="N28"/>
    </sheetView>
  </sheetViews>
  <sheetFormatPr baseColWidth="10" defaultRowHeight="18" customHeight="1" x14ac:dyDescent="0.3"/>
  <cols>
    <col min="1" max="1" width="5" style="21" customWidth="1"/>
    <col min="2" max="2" width="16" style="8" customWidth="1"/>
    <col min="3" max="3" width="6.44140625" style="8" customWidth="1"/>
    <col min="4" max="4" width="11.6640625" style="8" customWidth="1"/>
    <col min="5" max="5" width="5.88671875" style="8" customWidth="1"/>
    <col min="6" max="6" width="63.5546875" style="8" customWidth="1"/>
    <col min="7" max="7" width="23.21875" style="8" customWidth="1"/>
    <col min="8" max="8" width="12.6640625" style="8" customWidth="1"/>
    <col min="9" max="10" width="11.5546875" style="8"/>
    <col min="11" max="11" width="11.5546875" style="185"/>
    <col min="12" max="12" width="13.6640625" style="8" bestFit="1" customWidth="1"/>
    <col min="13" max="13" width="11.5546875" style="185"/>
    <col min="14" max="16384" width="11.5546875" style="8"/>
  </cols>
  <sheetData>
    <row r="1" spans="1:13" ht="4.8" customHeight="1" x14ac:dyDescent="0.3"/>
    <row r="2" spans="1:13" ht="18" customHeight="1" x14ac:dyDescent="0.3">
      <c r="E2" s="186"/>
      <c r="F2" s="186"/>
    </row>
    <row r="3" spans="1:13" ht="18" customHeight="1" x14ac:dyDescent="0.3">
      <c r="B3" s="186"/>
      <c r="C3" s="186"/>
      <c r="D3" s="186"/>
      <c r="E3" s="186"/>
      <c r="F3" s="186"/>
    </row>
    <row r="4" spans="1:13" ht="18" customHeight="1" x14ac:dyDescent="0.3">
      <c r="B4" s="186"/>
      <c r="C4" s="186"/>
      <c r="D4" s="186"/>
      <c r="E4" s="186"/>
      <c r="F4" s="186"/>
    </row>
    <row r="7" spans="1:13" ht="18" customHeight="1" x14ac:dyDescent="0.3">
      <c r="B7" s="21" t="s">
        <v>5</v>
      </c>
      <c r="C7" s="187" t="s">
        <v>224</v>
      </c>
      <c r="D7" s="187" t="s">
        <v>223</v>
      </c>
      <c r="E7" s="187" t="s">
        <v>222</v>
      </c>
      <c r="F7" s="188" t="s">
        <v>0</v>
      </c>
      <c r="G7" s="188" t="s">
        <v>1</v>
      </c>
      <c r="H7" s="188" t="s">
        <v>2</v>
      </c>
      <c r="I7" s="188" t="s">
        <v>235</v>
      </c>
      <c r="J7" s="188" t="s">
        <v>221</v>
      </c>
      <c r="K7" s="189" t="s">
        <v>3</v>
      </c>
      <c r="L7" s="188" t="s">
        <v>532</v>
      </c>
      <c r="M7" s="190" t="s">
        <v>4</v>
      </c>
    </row>
    <row r="8" spans="1:13" ht="18" customHeight="1" x14ac:dyDescent="0.3">
      <c r="A8" s="21">
        <f>IF(F8&lt;&gt;"",ROW()-7,"")</f>
        <v>1</v>
      </c>
      <c r="C8" s="191">
        <f>IF(Tableau311[[#This Row],[STOCK REEL]]&lt;=0,1,"")</f>
        <v>1</v>
      </c>
      <c r="D8" s="191">
        <f>IF(Tableau311[[#This Row],[STOCK REEL]]&lt;=Tableau311[[#This Row],[MINI]],1,"")</f>
        <v>1</v>
      </c>
      <c r="E8" s="192" t="str">
        <f>IF(Tableau311[[#This Row],[STOCK REEL]]&gt;=Tableau311[[#This Row],[MINI]],1,"")</f>
        <v/>
      </c>
      <c r="F8" s="193" t="s">
        <v>65</v>
      </c>
      <c r="G8" s="294">
        <v>11312121</v>
      </c>
      <c r="H8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8" s="195">
        <v>100</v>
      </c>
      <c r="J8" s="195">
        <v>300</v>
      </c>
      <c r="K8" s="196">
        <v>8.61</v>
      </c>
      <c r="L8" s="197">
        <v>100</v>
      </c>
      <c r="M8" s="185">
        <f t="shared" ref="M8:M43" si="0">IFERROR(K8*H8,"")</f>
        <v>0</v>
      </c>
    </row>
    <row r="9" spans="1:13" ht="18" customHeight="1" x14ac:dyDescent="0.3">
      <c r="A9" s="21">
        <f t="shared" ref="A9:A43" si="1">IF(F9&lt;&gt;"",ROW()-7,"")</f>
        <v>2</v>
      </c>
      <c r="C9" s="191">
        <f>IF(Tableau311[[#This Row],[STOCK REEL]]&lt;=0,1,"")</f>
        <v>1</v>
      </c>
      <c r="D9" s="191">
        <f>IF(Tableau311[[#This Row],[STOCK REEL]]&lt;=Tableau311[[#This Row],[MINI]],1,"")</f>
        <v>1</v>
      </c>
      <c r="E9" s="192">
        <f>IF(Tableau311[[#This Row],[STOCK REEL]]&gt;=Tableau311[[#This Row],[MINI]],1,"")</f>
        <v>1</v>
      </c>
      <c r="F9" s="193" t="s">
        <v>66</v>
      </c>
      <c r="G9" s="294">
        <v>11312131</v>
      </c>
      <c r="H9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9" s="195"/>
      <c r="J9" s="195"/>
      <c r="K9" s="196">
        <v>8.61</v>
      </c>
      <c r="L9" s="197">
        <v>100</v>
      </c>
      <c r="M9" s="185">
        <f t="shared" si="0"/>
        <v>0</v>
      </c>
    </row>
    <row r="10" spans="1:13" ht="18" customHeight="1" x14ac:dyDescent="0.3">
      <c r="A10" s="21">
        <f t="shared" si="1"/>
        <v>3</v>
      </c>
      <c r="C10" s="191">
        <f>IF(Tableau311[[#This Row],[STOCK REEL]]&lt;=0,1,"")</f>
        <v>1</v>
      </c>
      <c r="D10" s="191">
        <f>IF(Tableau311[[#This Row],[STOCK REEL]]&lt;=Tableau311[[#This Row],[MINI]],1,"")</f>
        <v>1</v>
      </c>
      <c r="E10" s="192">
        <f>IF(Tableau311[[#This Row],[STOCK REEL]]&gt;=Tableau311[[#This Row],[MINI]],1,"")</f>
        <v>1</v>
      </c>
      <c r="F10" s="193" t="s">
        <v>67</v>
      </c>
      <c r="G10" s="294">
        <v>11312151</v>
      </c>
      <c r="H10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0" s="195"/>
      <c r="J10" s="195"/>
      <c r="K10" s="196">
        <v>8.61</v>
      </c>
      <c r="L10" s="197">
        <v>100</v>
      </c>
      <c r="M10" s="185">
        <f t="shared" si="0"/>
        <v>0</v>
      </c>
    </row>
    <row r="11" spans="1:13" ht="18" customHeight="1" x14ac:dyDescent="0.3">
      <c r="A11" s="21">
        <f t="shared" si="1"/>
        <v>4</v>
      </c>
      <c r="C11" s="191">
        <f>IF(Tableau311[[#This Row],[STOCK REEL]]&lt;=0,1,"")</f>
        <v>1</v>
      </c>
      <c r="D11" s="191">
        <f>IF(Tableau311[[#This Row],[STOCK REEL]]&lt;=Tableau311[[#This Row],[MINI]],1,"")</f>
        <v>1</v>
      </c>
      <c r="E11" s="192">
        <f>IF(Tableau311[[#This Row],[STOCK REEL]]&gt;=Tableau311[[#This Row],[MINI]],1,"")</f>
        <v>1</v>
      </c>
      <c r="F11" s="193" t="s">
        <v>68</v>
      </c>
      <c r="G11" s="294">
        <v>11312181</v>
      </c>
      <c r="H11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1" s="195"/>
      <c r="J11" s="195"/>
      <c r="K11" s="196">
        <v>8.61</v>
      </c>
      <c r="L11" s="197">
        <v>100</v>
      </c>
      <c r="M11" s="185">
        <f t="shared" si="0"/>
        <v>0</v>
      </c>
    </row>
    <row r="12" spans="1:13" ht="18" customHeight="1" x14ac:dyDescent="0.3">
      <c r="A12" s="21">
        <f t="shared" si="1"/>
        <v>5</v>
      </c>
      <c r="C12" s="191">
        <f>IF(Tableau311[[#This Row],[STOCK REEL]]&lt;=0,1,"")</f>
        <v>1</v>
      </c>
      <c r="D12" s="191">
        <f>IF(Tableau311[[#This Row],[STOCK REEL]]&lt;=Tableau311[[#This Row],[MINI]],1,"")</f>
        <v>1</v>
      </c>
      <c r="E12" s="192">
        <f>IF(Tableau311[[#This Row],[STOCK REEL]]&gt;=Tableau311[[#This Row],[MINI]],1,"")</f>
        <v>1</v>
      </c>
      <c r="F12" s="193" t="s">
        <v>69</v>
      </c>
      <c r="G12" s="294">
        <v>11312211</v>
      </c>
      <c r="H12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2" s="195"/>
      <c r="J12" s="195"/>
      <c r="K12" s="196">
        <v>8.61</v>
      </c>
      <c r="L12" s="197">
        <v>100</v>
      </c>
      <c r="M12" s="185">
        <f t="shared" si="0"/>
        <v>0</v>
      </c>
    </row>
    <row r="13" spans="1:13" ht="18" customHeight="1" x14ac:dyDescent="0.3">
      <c r="A13" s="21">
        <f t="shared" si="1"/>
        <v>6</v>
      </c>
      <c r="C13" s="191">
        <f>IF(Tableau311[[#This Row],[STOCK REEL]]&lt;=0,1,"")</f>
        <v>1</v>
      </c>
      <c r="D13" s="191">
        <f>IF(Tableau311[[#This Row],[STOCK REEL]]&lt;=Tableau311[[#This Row],[MINI]],1,"")</f>
        <v>1</v>
      </c>
      <c r="E13" s="192">
        <f>IF(Tableau311[[#This Row],[STOCK REEL]]&gt;=Tableau311[[#This Row],[MINI]],1,"")</f>
        <v>1</v>
      </c>
      <c r="F13" s="193" t="s">
        <v>70</v>
      </c>
      <c r="G13" s="294">
        <v>11312111</v>
      </c>
      <c r="H13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3" s="195"/>
      <c r="J13" s="195">
        <v>200</v>
      </c>
      <c r="K13" s="196">
        <v>8.61</v>
      </c>
      <c r="L13" s="197">
        <v>100</v>
      </c>
      <c r="M13" s="185">
        <f t="shared" si="0"/>
        <v>0</v>
      </c>
    </row>
    <row r="14" spans="1:13" ht="18" customHeight="1" x14ac:dyDescent="0.3">
      <c r="A14" s="21">
        <f t="shared" si="1"/>
        <v>7</v>
      </c>
      <c r="C14" s="191">
        <f>IF(Tableau311[[#This Row],[STOCK REEL]]&lt;=0,1,"")</f>
        <v>1</v>
      </c>
      <c r="D14" s="191">
        <f>IF(Tableau311[[#This Row],[STOCK REEL]]&lt;=Tableau311[[#This Row],[MINI]],1,"")</f>
        <v>1</v>
      </c>
      <c r="E14" s="192">
        <f>IF(Tableau311[[#This Row],[STOCK REEL]]&gt;=Tableau311[[#This Row],[MINI]],1,"")</f>
        <v>1</v>
      </c>
      <c r="F14" s="193" t="s">
        <v>71</v>
      </c>
      <c r="G14" s="294">
        <v>11312161</v>
      </c>
      <c r="H14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4" s="195"/>
      <c r="J14" s="195"/>
      <c r="K14" s="196">
        <v>8.61</v>
      </c>
      <c r="L14" s="197">
        <v>100</v>
      </c>
      <c r="M14" s="185">
        <f t="shared" si="0"/>
        <v>0</v>
      </c>
    </row>
    <row r="15" spans="1:13" ht="18" customHeight="1" x14ac:dyDescent="0.3">
      <c r="A15" s="21">
        <f t="shared" si="1"/>
        <v>8</v>
      </c>
      <c r="C15" s="191">
        <f>IF(Tableau311[[#This Row],[STOCK REEL]]&lt;=0,1,"")</f>
        <v>1</v>
      </c>
      <c r="D15" s="191">
        <f>IF(Tableau311[[#This Row],[STOCK REEL]]&lt;=Tableau311[[#This Row],[MINI]],1,"")</f>
        <v>1</v>
      </c>
      <c r="E15" s="192">
        <f>IF(Tableau311[[#This Row],[STOCK REEL]]&gt;=Tableau311[[#This Row],[MINI]],1,"")</f>
        <v>1</v>
      </c>
      <c r="F15" s="193" t="s">
        <v>72</v>
      </c>
      <c r="G15" s="294">
        <v>11312261</v>
      </c>
      <c r="H15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5" s="195"/>
      <c r="J15" s="195"/>
      <c r="K15" s="196">
        <v>8.61</v>
      </c>
      <c r="L15" s="197">
        <v>100</v>
      </c>
      <c r="M15" s="185">
        <f t="shared" si="0"/>
        <v>0</v>
      </c>
    </row>
    <row r="16" spans="1:13" ht="18" customHeight="1" x14ac:dyDescent="0.3">
      <c r="A16" s="21">
        <f t="shared" si="1"/>
        <v>9</v>
      </c>
      <c r="C16" s="191">
        <f>IF(Tableau311[[#This Row],[STOCK REEL]]&lt;=0,1,"")</f>
        <v>1</v>
      </c>
      <c r="D16" s="191">
        <f>IF(Tableau311[[#This Row],[STOCK REEL]]&lt;=Tableau311[[#This Row],[MINI]],1,"")</f>
        <v>1</v>
      </c>
      <c r="E16" s="192">
        <f>IF(Tableau311[[#This Row],[STOCK REEL]]&gt;=Tableau311[[#This Row],[MINI]],1,"")</f>
        <v>1</v>
      </c>
      <c r="F16" s="193" t="s">
        <v>73</v>
      </c>
      <c r="G16" s="294">
        <v>11321111</v>
      </c>
      <c r="H16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6" s="195"/>
      <c r="J16" s="195"/>
      <c r="K16" s="196">
        <v>11.69</v>
      </c>
      <c r="L16" s="197">
        <v>100</v>
      </c>
      <c r="M16" s="185">
        <f t="shared" si="0"/>
        <v>0</v>
      </c>
    </row>
    <row r="17" spans="1:13" ht="18" customHeight="1" x14ac:dyDescent="0.3">
      <c r="A17" s="21">
        <f t="shared" si="1"/>
        <v>10</v>
      </c>
      <c r="C17" s="191">
        <f>IF(Tableau311[[#This Row],[STOCK REEL]]&lt;=0,1,"")</f>
        <v>1</v>
      </c>
      <c r="D17" s="191">
        <f>IF(Tableau311[[#This Row],[STOCK REEL]]&lt;=Tableau311[[#This Row],[MINI]],1,"")</f>
        <v>1</v>
      </c>
      <c r="E17" s="192">
        <f>IF(Tableau311[[#This Row],[STOCK REEL]]&gt;=Tableau311[[#This Row],[MINI]],1,"")</f>
        <v>1</v>
      </c>
      <c r="F17" s="193" t="s">
        <v>74</v>
      </c>
      <c r="G17" s="294">
        <v>11321121</v>
      </c>
      <c r="H17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7" s="195"/>
      <c r="J17" s="195"/>
      <c r="K17" s="196">
        <v>11.69</v>
      </c>
      <c r="L17" s="197">
        <v>100</v>
      </c>
      <c r="M17" s="185">
        <f t="shared" si="0"/>
        <v>0</v>
      </c>
    </row>
    <row r="18" spans="1:13" ht="18" customHeight="1" x14ac:dyDescent="0.3">
      <c r="A18" s="21">
        <f t="shared" si="1"/>
        <v>11</v>
      </c>
      <c r="C18" s="191">
        <f>IF(Tableau311[[#This Row],[STOCK REEL]]&lt;=0,1,"")</f>
        <v>1</v>
      </c>
      <c r="D18" s="191">
        <f>IF(Tableau311[[#This Row],[STOCK REEL]]&lt;=Tableau311[[#This Row],[MINI]],1,"")</f>
        <v>1</v>
      </c>
      <c r="E18" s="192">
        <f>IF(Tableau311[[#This Row],[STOCK REEL]]&gt;=Tableau311[[#This Row],[MINI]],1,"")</f>
        <v>1</v>
      </c>
      <c r="F18" s="193" t="s">
        <v>75</v>
      </c>
      <c r="G18" s="294">
        <v>11321131</v>
      </c>
      <c r="H18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8" s="195"/>
      <c r="J18" s="195"/>
      <c r="K18" s="196">
        <v>11.69</v>
      </c>
      <c r="L18" s="197">
        <v>100</v>
      </c>
      <c r="M18" s="185">
        <f t="shared" si="0"/>
        <v>0</v>
      </c>
    </row>
    <row r="19" spans="1:13" ht="18" customHeight="1" x14ac:dyDescent="0.3">
      <c r="A19" s="21">
        <f t="shared" si="1"/>
        <v>12</v>
      </c>
      <c r="C19" s="191">
        <f>IF(Tableau311[[#This Row],[STOCK REEL]]&lt;=0,1,"")</f>
        <v>1</v>
      </c>
      <c r="D19" s="191">
        <f>IF(Tableau311[[#This Row],[STOCK REEL]]&lt;=Tableau311[[#This Row],[MINI]],1,"")</f>
        <v>1</v>
      </c>
      <c r="E19" s="192">
        <f>IF(Tableau311[[#This Row],[STOCK REEL]]&gt;=Tableau311[[#This Row],[MINI]],1,"")</f>
        <v>1</v>
      </c>
      <c r="F19" s="193" t="s">
        <v>76</v>
      </c>
      <c r="G19" s="294">
        <v>11321151</v>
      </c>
      <c r="H19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19" s="195"/>
      <c r="J19" s="195"/>
      <c r="K19" s="196">
        <v>11.69</v>
      </c>
      <c r="L19" s="197">
        <v>100</v>
      </c>
      <c r="M19" s="185">
        <f t="shared" si="0"/>
        <v>0</v>
      </c>
    </row>
    <row r="20" spans="1:13" ht="18" customHeight="1" x14ac:dyDescent="0.3">
      <c r="A20" s="21">
        <f t="shared" si="1"/>
        <v>13</v>
      </c>
      <c r="C20" s="191">
        <f>IF(Tableau311[[#This Row],[STOCK REEL]]&lt;=0,1,"")</f>
        <v>1</v>
      </c>
      <c r="D20" s="191">
        <f>IF(Tableau311[[#This Row],[STOCK REEL]]&lt;=Tableau311[[#This Row],[MINI]],1,"")</f>
        <v>1</v>
      </c>
      <c r="E20" s="192">
        <f>IF(Tableau311[[#This Row],[STOCK REEL]]&gt;=Tableau311[[#This Row],[MINI]],1,"")</f>
        <v>1</v>
      </c>
      <c r="F20" s="193" t="s">
        <v>77</v>
      </c>
      <c r="G20" s="294">
        <v>11321161</v>
      </c>
      <c r="H20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0" s="195"/>
      <c r="J20" s="195"/>
      <c r="K20" s="196">
        <v>11.69</v>
      </c>
      <c r="L20" s="197">
        <v>100</v>
      </c>
      <c r="M20" s="185">
        <f t="shared" si="0"/>
        <v>0</v>
      </c>
    </row>
    <row r="21" spans="1:13" ht="18" customHeight="1" x14ac:dyDescent="0.3">
      <c r="A21" s="21">
        <f t="shared" si="1"/>
        <v>14</v>
      </c>
      <c r="C21" s="191">
        <f>IF(Tableau311[[#This Row],[STOCK REEL]]&lt;=0,1,"")</f>
        <v>1</v>
      </c>
      <c r="D21" s="191">
        <f>IF(Tableau311[[#This Row],[STOCK REEL]]&lt;=Tableau311[[#This Row],[MINI]],1,"")</f>
        <v>1</v>
      </c>
      <c r="E21" s="192">
        <f>IF(Tableau311[[#This Row],[STOCK REEL]]&gt;=Tableau311[[#This Row],[MINI]],1,"")</f>
        <v>1</v>
      </c>
      <c r="F21" s="193" t="s">
        <v>78</v>
      </c>
      <c r="G21" s="294">
        <v>11321181</v>
      </c>
      <c r="H21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1" s="195"/>
      <c r="J21" s="195"/>
      <c r="K21" s="196">
        <v>11.69</v>
      </c>
      <c r="L21" s="197">
        <v>100</v>
      </c>
      <c r="M21" s="185">
        <f t="shared" si="0"/>
        <v>0</v>
      </c>
    </row>
    <row r="22" spans="1:13" ht="18" customHeight="1" x14ac:dyDescent="0.3">
      <c r="A22" s="21">
        <f t="shared" si="1"/>
        <v>15</v>
      </c>
      <c r="C22" s="191">
        <f>IF(Tableau311[[#This Row],[STOCK REEL]]&lt;=0,1,"")</f>
        <v>1</v>
      </c>
      <c r="D22" s="191">
        <f>IF(Tableau311[[#This Row],[STOCK REEL]]&lt;=Tableau311[[#This Row],[MINI]],1,"")</f>
        <v>1</v>
      </c>
      <c r="E22" s="192">
        <f>IF(Tableau311[[#This Row],[STOCK REEL]]&gt;=Tableau311[[#This Row],[MINI]],1,"")</f>
        <v>1</v>
      </c>
      <c r="F22" s="193" t="s">
        <v>79</v>
      </c>
      <c r="G22" s="294">
        <v>11321211</v>
      </c>
      <c r="H22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2" s="195"/>
      <c r="J22" s="195"/>
      <c r="K22" s="196">
        <v>11.69</v>
      </c>
      <c r="L22" s="197">
        <v>100</v>
      </c>
      <c r="M22" s="185">
        <f t="shared" si="0"/>
        <v>0</v>
      </c>
    </row>
    <row r="23" spans="1:13" ht="18" customHeight="1" x14ac:dyDescent="0.3">
      <c r="A23" s="21">
        <f t="shared" si="1"/>
        <v>16</v>
      </c>
      <c r="C23" s="191">
        <f>IF(Tableau311[[#This Row],[STOCK REEL]]&lt;=0,1,"")</f>
        <v>1</v>
      </c>
      <c r="D23" s="191">
        <f>IF(Tableau311[[#This Row],[STOCK REEL]]&lt;=Tableau311[[#This Row],[MINI]],1,"")</f>
        <v>1</v>
      </c>
      <c r="E23" s="192">
        <f>IF(Tableau311[[#This Row],[STOCK REEL]]&gt;=Tableau311[[#This Row],[MINI]],1,"")</f>
        <v>1</v>
      </c>
      <c r="F23" s="193" t="s">
        <v>80</v>
      </c>
      <c r="G23" s="294">
        <v>11321261</v>
      </c>
      <c r="H23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3" s="195"/>
      <c r="J23" s="195"/>
      <c r="K23" s="196">
        <v>11.69</v>
      </c>
      <c r="L23" s="197">
        <v>100</v>
      </c>
      <c r="M23" s="185">
        <f t="shared" si="0"/>
        <v>0</v>
      </c>
    </row>
    <row r="24" spans="1:13" ht="18" customHeight="1" x14ac:dyDescent="0.3">
      <c r="A24" s="21">
        <f t="shared" si="1"/>
        <v>17</v>
      </c>
      <c r="C24" s="191">
        <f>IF(Tableau311[[#This Row],[STOCK REEL]]&lt;=0,1,"")</f>
        <v>1</v>
      </c>
      <c r="D24" s="191">
        <f>IF(Tableau311[[#This Row],[STOCK REEL]]&lt;=Tableau311[[#This Row],[MINI]],1,"")</f>
        <v>1</v>
      </c>
      <c r="E24" s="192">
        <f>IF(Tableau311[[#This Row],[STOCK REEL]]&gt;=Tableau311[[#This Row],[MINI]],1,"")</f>
        <v>1</v>
      </c>
      <c r="F24" s="193" t="s">
        <v>81</v>
      </c>
      <c r="G24" s="294">
        <v>11322111</v>
      </c>
      <c r="H24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4" s="195"/>
      <c r="J24" s="195"/>
      <c r="K24" s="196">
        <v>18.77</v>
      </c>
      <c r="L24" s="197">
        <v>100</v>
      </c>
      <c r="M24" s="185">
        <f t="shared" si="0"/>
        <v>0</v>
      </c>
    </row>
    <row r="25" spans="1:13" ht="18" customHeight="1" x14ac:dyDescent="0.3">
      <c r="A25" s="21">
        <f t="shared" si="1"/>
        <v>18</v>
      </c>
      <c r="C25" s="191">
        <f>IF(Tableau311[[#This Row],[STOCK REEL]]&lt;=0,1,"")</f>
        <v>1</v>
      </c>
      <c r="D25" s="191">
        <f>IF(Tableau311[[#This Row],[STOCK REEL]]&lt;=Tableau311[[#This Row],[MINI]],1,"")</f>
        <v>1</v>
      </c>
      <c r="E25" s="192">
        <f>IF(Tableau311[[#This Row],[STOCK REEL]]&gt;=Tableau311[[#This Row],[MINI]],1,"")</f>
        <v>1</v>
      </c>
      <c r="F25" s="193" t="s">
        <v>82</v>
      </c>
      <c r="G25" s="294">
        <v>11322131</v>
      </c>
      <c r="H25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5" s="195"/>
      <c r="J25" s="195"/>
      <c r="K25" s="196">
        <v>18.77</v>
      </c>
      <c r="L25" s="197">
        <v>100</v>
      </c>
      <c r="M25" s="185">
        <f t="shared" si="0"/>
        <v>0</v>
      </c>
    </row>
    <row r="26" spans="1:13" ht="18" customHeight="1" x14ac:dyDescent="0.3">
      <c r="A26" s="21">
        <f t="shared" si="1"/>
        <v>19</v>
      </c>
      <c r="C26" s="191">
        <f>IF(Tableau311[[#This Row],[STOCK REEL]]&lt;=0,1,"")</f>
        <v>1</v>
      </c>
      <c r="D26" s="191">
        <f>IF(Tableau311[[#This Row],[STOCK REEL]]&lt;=Tableau311[[#This Row],[MINI]],1,"")</f>
        <v>1</v>
      </c>
      <c r="E26" s="192">
        <f>IF(Tableau311[[#This Row],[STOCK REEL]]&gt;=Tableau311[[#This Row],[MINI]],1,"")</f>
        <v>1</v>
      </c>
      <c r="F26" s="193" t="s">
        <v>83</v>
      </c>
      <c r="G26" s="294">
        <v>11322151</v>
      </c>
      <c r="H26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6" s="195"/>
      <c r="J26" s="195"/>
      <c r="K26" s="196">
        <v>18.77</v>
      </c>
      <c r="L26" s="197">
        <v>100</v>
      </c>
      <c r="M26" s="185">
        <f t="shared" si="0"/>
        <v>0</v>
      </c>
    </row>
    <row r="27" spans="1:13" ht="18" customHeight="1" x14ac:dyDescent="0.3">
      <c r="A27" s="21">
        <f t="shared" si="1"/>
        <v>20</v>
      </c>
      <c r="C27" s="191">
        <f>IF(Tableau311[[#This Row],[STOCK REEL]]&lt;=0,1,"")</f>
        <v>1</v>
      </c>
      <c r="D27" s="191">
        <f>IF(Tableau311[[#This Row],[STOCK REEL]]&lt;=Tableau311[[#This Row],[MINI]],1,"")</f>
        <v>1</v>
      </c>
      <c r="E27" s="192">
        <f>IF(Tableau311[[#This Row],[STOCK REEL]]&gt;=Tableau311[[#This Row],[MINI]],1,"")</f>
        <v>1</v>
      </c>
      <c r="F27" s="193" t="s">
        <v>84</v>
      </c>
      <c r="G27" s="294">
        <v>11322161</v>
      </c>
      <c r="H27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7" s="195"/>
      <c r="J27" s="195"/>
      <c r="K27" s="196">
        <v>18.77</v>
      </c>
      <c r="L27" s="197">
        <v>100</v>
      </c>
      <c r="M27" s="185">
        <f t="shared" si="0"/>
        <v>0</v>
      </c>
    </row>
    <row r="28" spans="1:13" ht="18" customHeight="1" x14ac:dyDescent="0.3">
      <c r="A28" s="21">
        <f t="shared" si="1"/>
        <v>21</v>
      </c>
      <c r="C28" s="191">
        <f>IF(Tableau311[[#This Row],[STOCK REEL]]&lt;=0,1,"")</f>
        <v>1</v>
      </c>
      <c r="D28" s="191">
        <f>IF(Tableau311[[#This Row],[STOCK REEL]]&lt;=Tableau311[[#This Row],[MINI]],1,"")</f>
        <v>1</v>
      </c>
      <c r="E28" s="192">
        <f>IF(Tableau311[[#This Row],[STOCK REEL]]&gt;=Tableau311[[#This Row],[MINI]],1,"")</f>
        <v>1</v>
      </c>
      <c r="F28" s="193" t="s">
        <v>85</v>
      </c>
      <c r="G28" s="294">
        <v>11322261</v>
      </c>
      <c r="H28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8" s="195"/>
      <c r="J28" s="195"/>
      <c r="K28" s="196">
        <v>18.77</v>
      </c>
      <c r="L28" s="197">
        <v>100</v>
      </c>
      <c r="M28" s="185">
        <f t="shared" si="0"/>
        <v>0</v>
      </c>
    </row>
    <row r="29" spans="1:13" ht="18" customHeight="1" x14ac:dyDescent="0.3">
      <c r="A29" s="21">
        <f t="shared" si="1"/>
        <v>22</v>
      </c>
      <c r="C29" s="191">
        <f>IF(Tableau311[[#This Row],[STOCK REEL]]&lt;=0,1,"")</f>
        <v>1</v>
      </c>
      <c r="D29" s="191">
        <f>IF(Tableau311[[#This Row],[STOCK REEL]]&lt;=Tableau311[[#This Row],[MINI]],1,"")</f>
        <v>1</v>
      </c>
      <c r="E29" s="192">
        <f>IF(Tableau311[[#This Row],[STOCK REEL]]&gt;=Tableau311[[#This Row],[MINI]],1,"")</f>
        <v>1</v>
      </c>
      <c r="F29" s="193" t="s">
        <v>86</v>
      </c>
      <c r="G29" s="294">
        <v>11322211</v>
      </c>
      <c r="H29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29" s="195"/>
      <c r="J29" s="195"/>
      <c r="K29" s="196">
        <v>18.77</v>
      </c>
      <c r="L29" s="197">
        <v>100</v>
      </c>
      <c r="M29" s="185">
        <f t="shared" si="0"/>
        <v>0</v>
      </c>
    </row>
    <row r="30" spans="1:13" ht="18" customHeight="1" x14ac:dyDescent="0.3">
      <c r="A30" s="21">
        <f t="shared" si="1"/>
        <v>23</v>
      </c>
      <c r="C30" s="191">
        <f>IF(Tableau311[[#This Row],[STOCK REEL]]&lt;=0,1,"")</f>
        <v>1</v>
      </c>
      <c r="D30" s="191">
        <f>IF(Tableau311[[#This Row],[STOCK REEL]]&lt;=Tableau311[[#This Row],[MINI]],1,"")</f>
        <v>1</v>
      </c>
      <c r="E30" s="192">
        <f>IF(Tableau311[[#This Row],[STOCK REEL]]&gt;=Tableau311[[#This Row],[MINI]],1,"")</f>
        <v>1</v>
      </c>
      <c r="F30" s="193" t="s">
        <v>87</v>
      </c>
      <c r="G30" s="294">
        <v>11322121</v>
      </c>
      <c r="H30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0" s="195"/>
      <c r="J30" s="195"/>
      <c r="K30" s="196">
        <v>18.77</v>
      </c>
      <c r="L30" s="197">
        <v>100</v>
      </c>
      <c r="M30" s="185">
        <f t="shared" si="0"/>
        <v>0</v>
      </c>
    </row>
    <row r="31" spans="1:13" ht="18" customHeight="1" x14ac:dyDescent="0.3">
      <c r="A31" s="21">
        <f t="shared" si="1"/>
        <v>24</v>
      </c>
      <c r="C31" s="191">
        <f>IF(Tableau311[[#This Row],[STOCK REEL]]&lt;=0,1,"")</f>
        <v>1</v>
      </c>
      <c r="D31" s="191">
        <f>IF(Tableau311[[#This Row],[STOCK REEL]]&lt;=Tableau311[[#This Row],[MINI]],1,"")</f>
        <v>1</v>
      </c>
      <c r="E31" s="192">
        <f>IF(Tableau311[[#This Row],[STOCK REEL]]&gt;=Tableau311[[#This Row],[MINI]],1,"")</f>
        <v>1</v>
      </c>
      <c r="F31" s="193" t="s">
        <v>88</v>
      </c>
      <c r="G31" s="294">
        <v>11322181</v>
      </c>
      <c r="H31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1" s="195"/>
      <c r="J31" s="195"/>
      <c r="K31" s="196">
        <v>18.77</v>
      </c>
      <c r="L31" s="197">
        <v>100</v>
      </c>
      <c r="M31" s="185">
        <f t="shared" si="0"/>
        <v>0</v>
      </c>
    </row>
    <row r="32" spans="1:13" ht="18" customHeight="1" x14ac:dyDescent="0.3">
      <c r="A32" s="21">
        <f t="shared" si="1"/>
        <v>25</v>
      </c>
      <c r="C32" s="191">
        <f>IF(Tableau311[[#This Row],[STOCK REEL]]&lt;=0,1,"")</f>
        <v>1</v>
      </c>
      <c r="D32" s="191">
        <f>IF(Tableau311[[#This Row],[STOCK REEL]]&lt;=Tableau311[[#This Row],[MINI]],1,"")</f>
        <v>1</v>
      </c>
      <c r="E32" s="192">
        <f>IF(Tableau311[[#This Row],[STOCK REEL]]&gt;=Tableau311[[#This Row],[MINI]],1,"")</f>
        <v>1</v>
      </c>
      <c r="F32" s="193" t="s">
        <v>89</v>
      </c>
      <c r="G32" s="294">
        <v>11323111</v>
      </c>
      <c r="H32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2" s="195"/>
      <c r="J32" s="195"/>
      <c r="K32" s="196">
        <v>31.21</v>
      </c>
      <c r="L32" s="197">
        <v>100</v>
      </c>
      <c r="M32" s="185">
        <f t="shared" si="0"/>
        <v>0</v>
      </c>
    </row>
    <row r="33" spans="1:13" ht="18" customHeight="1" x14ac:dyDescent="0.3">
      <c r="A33" s="21">
        <f t="shared" si="1"/>
        <v>26</v>
      </c>
      <c r="C33" s="191">
        <f>IF(Tableau311[[#This Row],[STOCK REEL]]&lt;=0,1,"")</f>
        <v>1</v>
      </c>
      <c r="D33" s="191">
        <f>IF(Tableau311[[#This Row],[STOCK REEL]]&lt;=Tableau311[[#This Row],[MINI]],1,"")</f>
        <v>1</v>
      </c>
      <c r="E33" s="192">
        <f>IF(Tableau311[[#This Row],[STOCK REEL]]&gt;=Tableau311[[#This Row],[MINI]],1,"")</f>
        <v>1</v>
      </c>
      <c r="F33" s="193" t="s">
        <v>90</v>
      </c>
      <c r="G33" s="294">
        <v>11323131</v>
      </c>
      <c r="H33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3" s="195"/>
      <c r="J33" s="195"/>
      <c r="K33" s="196">
        <v>31.21</v>
      </c>
      <c r="L33" s="197">
        <v>100</v>
      </c>
      <c r="M33" s="185">
        <f t="shared" si="0"/>
        <v>0</v>
      </c>
    </row>
    <row r="34" spans="1:13" ht="18" customHeight="1" x14ac:dyDescent="0.3">
      <c r="A34" s="21">
        <f t="shared" si="1"/>
        <v>27</v>
      </c>
      <c r="C34" s="191">
        <f>IF(Tableau311[[#This Row],[STOCK REEL]]&lt;=0,1,"")</f>
        <v>1</v>
      </c>
      <c r="D34" s="191">
        <f>IF(Tableau311[[#This Row],[STOCK REEL]]&lt;=Tableau311[[#This Row],[MINI]],1,"")</f>
        <v>1</v>
      </c>
      <c r="E34" s="192">
        <f>IF(Tableau311[[#This Row],[STOCK REEL]]&gt;=Tableau311[[#This Row],[MINI]],1,"")</f>
        <v>1</v>
      </c>
      <c r="F34" s="193" t="s">
        <v>91</v>
      </c>
      <c r="G34" s="294">
        <v>11323151</v>
      </c>
      <c r="H34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4" s="195"/>
      <c r="J34" s="195"/>
      <c r="K34" s="196">
        <v>31.21</v>
      </c>
      <c r="L34" s="197">
        <v>100</v>
      </c>
      <c r="M34" s="185">
        <f t="shared" si="0"/>
        <v>0</v>
      </c>
    </row>
    <row r="35" spans="1:13" ht="18" customHeight="1" x14ac:dyDescent="0.3">
      <c r="A35" s="21">
        <f t="shared" si="1"/>
        <v>28</v>
      </c>
      <c r="C35" s="191">
        <f>IF(Tableau311[[#This Row],[STOCK REEL]]&lt;=0,1,"")</f>
        <v>1</v>
      </c>
      <c r="D35" s="191">
        <f>IF(Tableau311[[#This Row],[STOCK REEL]]&lt;=Tableau311[[#This Row],[MINI]],1,"")</f>
        <v>1</v>
      </c>
      <c r="E35" s="192">
        <f>IF(Tableau311[[#This Row],[STOCK REEL]]&gt;=Tableau311[[#This Row],[MINI]],1,"")</f>
        <v>1</v>
      </c>
      <c r="F35" s="193" t="s">
        <v>92</v>
      </c>
      <c r="G35" s="294">
        <v>11323161</v>
      </c>
      <c r="H35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5" s="195"/>
      <c r="J35" s="195"/>
      <c r="K35" s="196">
        <v>31.21</v>
      </c>
      <c r="L35" s="197">
        <v>100</v>
      </c>
      <c r="M35" s="185">
        <f t="shared" si="0"/>
        <v>0</v>
      </c>
    </row>
    <row r="36" spans="1:13" ht="18" customHeight="1" x14ac:dyDescent="0.3">
      <c r="A36" s="21">
        <f t="shared" si="1"/>
        <v>29</v>
      </c>
      <c r="C36" s="191">
        <f>IF(Tableau311[[#This Row],[STOCK REEL]]&lt;=0,1,"")</f>
        <v>1</v>
      </c>
      <c r="D36" s="191">
        <f>IF(Tableau311[[#This Row],[STOCK REEL]]&lt;=Tableau311[[#This Row],[MINI]],1,"")</f>
        <v>1</v>
      </c>
      <c r="E36" s="192">
        <f>IF(Tableau311[[#This Row],[STOCK REEL]]&gt;=Tableau311[[#This Row],[MINI]],1,"")</f>
        <v>1</v>
      </c>
      <c r="F36" s="193" t="s">
        <v>93</v>
      </c>
      <c r="G36" s="294">
        <v>11323251</v>
      </c>
      <c r="H36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6" s="195"/>
      <c r="J36" s="195"/>
      <c r="K36" s="196">
        <v>31.21</v>
      </c>
      <c r="L36" s="197">
        <v>100</v>
      </c>
      <c r="M36" s="185">
        <f t="shared" si="0"/>
        <v>0</v>
      </c>
    </row>
    <row r="37" spans="1:13" ht="18" customHeight="1" x14ac:dyDescent="0.3">
      <c r="A37" s="21">
        <f t="shared" si="1"/>
        <v>30</v>
      </c>
      <c r="C37" s="191">
        <f>IF(Tableau311[[#This Row],[STOCK REEL]]&lt;=0,1,"")</f>
        <v>1</v>
      </c>
      <c r="D37" s="191">
        <f>IF(Tableau311[[#This Row],[STOCK REEL]]&lt;=Tableau311[[#This Row],[MINI]],1,"")</f>
        <v>1</v>
      </c>
      <c r="E37" s="192">
        <f>IF(Tableau311[[#This Row],[STOCK REEL]]&gt;=Tableau311[[#This Row],[MINI]],1,"")</f>
        <v>1</v>
      </c>
      <c r="F37" s="193" t="s">
        <v>94</v>
      </c>
      <c r="G37" s="294">
        <v>11334111</v>
      </c>
      <c r="H37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7" s="195"/>
      <c r="J37" s="195"/>
      <c r="K37" s="196">
        <v>45.95</v>
      </c>
      <c r="L37" s="197">
        <v>100</v>
      </c>
      <c r="M37" s="185">
        <f t="shared" si="0"/>
        <v>0</v>
      </c>
    </row>
    <row r="38" spans="1:13" ht="18" customHeight="1" x14ac:dyDescent="0.3">
      <c r="A38" s="21">
        <f t="shared" si="1"/>
        <v>31</v>
      </c>
      <c r="C38" s="191">
        <f>IF(Tableau311[[#This Row],[STOCK REEL]]&lt;=0,1,"")</f>
        <v>1</v>
      </c>
      <c r="D38" s="191">
        <f>IF(Tableau311[[#This Row],[STOCK REEL]]&lt;=Tableau311[[#This Row],[MINI]],1,"")</f>
        <v>1</v>
      </c>
      <c r="E38" s="192">
        <f>IF(Tableau311[[#This Row],[STOCK REEL]]&gt;=Tableau311[[#This Row],[MINI]],1,"")</f>
        <v>1</v>
      </c>
      <c r="F38" s="193" t="s">
        <v>95</v>
      </c>
      <c r="G38" s="294">
        <v>11334131</v>
      </c>
      <c r="H38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8" s="195"/>
      <c r="J38" s="195"/>
      <c r="K38" s="196">
        <v>45.95</v>
      </c>
      <c r="L38" s="197">
        <v>100</v>
      </c>
      <c r="M38" s="185">
        <f t="shared" si="0"/>
        <v>0</v>
      </c>
    </row>
    <row r="39" spans="1:13" ht="18" customHeight="1" x14ac:dyDescent="0.3">
      <c r="A39" s="21">
        <f t="shared" si="1"/>
        <v>32</v>
      </c>
      <c r="C39" s="191">
        <f>IF(Tableau311[[#This Row],[STOCK REEL]]&lt;=0,1,"")</f>
        <v>1</v>
      </c>
      <c r="D39" s="191">
        <f>IF(Tableau311[[#This Row],[STOCK REEL]]&lt;=Tableau311[[#This Row],[MINI]],1,"")</f>
        <v>1</v>
      </c>
      <c r="E39" s="192">
        <f>IF(Tableau311[[#This Row],[STOCK REEL]]&gt;=Tableau311[[#This Row],[MINI]],1,"")</f>
        <v>1</v>
      </c>
      <c r="F39" s="193" t="s">
        <v>96</v>
      </c>
      <c r="G39" s="294">
        <v>11334161</v>
      </c>
      <c r="H39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39" s="195"/>
      <c r="J39" s="195"/>
      <c r="K39" s="196">
        <v>45.95</v>
      </c>
      <c r="L39" s="197">
        <v>100</v>
      </c>
      <c r="M39" s="185">
        <f t="shared" si="0"/>
        <v>0</v>
      </c>
    </row>
    <row r="40" spans="1:13" ht="18" customHeight="1" x14ac:dyDescent="0.3">
      <c r="A40" s="21">
        <f t="shared" si="1"/>
        <v>33</v>
      </c>
      <c r="C40" s="191">
        <f>IF(Tableau311[[#This Row],[STOCK REEL]]&lt;=0,1,"")</f>
        <v>1</v>
      </c>
      <c r="D40" s="191">
        <f>IF(Tableau311[[#This Row],[STOCK REEL]]&lt;=Tableau311[[#This Row],[MINI]],1,"")</f>
        <v>1</v>
      </c>
      <c r="E40" s="192">
        <f>IF(Tableau311[[#This Row],[STOCK REEL]]&gt;=Tableau311[[#This Row],[MINI]],1,"")</f>
        <v>1</v>
      </c>
      <c r="F40" s="193" t="s">
        <v>97</v>
      </c>
      <c r="G40" s="294">
        <v>11335111</v>
      </c>
      <c r="H40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40" s="195"/>
      <c r="J40" s="195"/>
      <c r="K40" s="196">
        <v>77.16</v>
      </c>
      <c r="L40" s="197">
        <v>100</v>
      </c>
      <c r="M40" s="185">
        <f t="shared" si="0"/>
        <v>0</v>
      </c>
    </row>
    <row r="41" spans="1:13" ht="18" customHeight="1" x14ac:dyDescent="0.3">
      <c r="A41" s="21">
        <f t="shared" si="1"/>
        <v>34</v>
      </c>
      <c r="C41" s="191">
        <f>IF(Tableau311[[#This Row],[STOCK REEL]]&lt;=0,1,"")</f>
        <v>1</v>
      </c>
      <c r="D41" s="191">
        <f>IF(Tableau311[[#This Row],[STOCK REEL]]&lt;=Tableau311[[#This Row],[MINI]],1,"")</f>
        <v>1</v>
      </c>
      <c r="E41" s="192">
        <f>IF(Tableau311[[#This Row],[STOCK REEL]]&gt;=Tableau311[[#This Row],[MINI]],1,"")</f>
        <v>1</v>
      </c>
      <c r="F41" s="193" t="s">
        <v>98</v>
      </c>
      <c r="G41" s="294">
        <v>11335131</v>
      </c>
      <c r="H41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41" s="195"/>
      <c r="J41" s="195"/>
      <c r="K41" s="196">
        <v>77.16</v>
      </c>
      <c r="L41" s="197">
        <v>100</v>
      </c>
      <c r="M41" s="185">
        <f t="shared" si="0"/>
        <v>0</v>
      </c>
    </row>
    <row r="42" spans="1:13" ht="18" customHeight="1" x14ac:dyDescent="0.3">
      <c r="A42" s="21">
        <f t="shared" si="1"/>
        <v>35</v>
      </c>
      <c r="C42" s="191">
        <f>IF(Tableau311[[#This Row],[STOCK REEL]]&lt;=0,1,"")</f>
        <v>1</v>
      </c>
      <c r="D42" s="191">
        <f>IF(Tableau311[[#This Row],[STOCK REEL]]&lt;=Tableau311[[#This Row],[MINI]],1,"")</f>
        <v>1</v>
      </c>
      <c r="E42" s="192">
        <f>IF(Tableau311[[#This Row],[STOCK REEL]]&gt;=Tableau311[[#This Row],[MINI]],1,"")</f>
        <v>1</v>
      </c>
      <c r="F42" s="193" t="s">
        <v>99</v>
      </c>
      <c r="G42" s="294">
        <v>11335161</v>
      </c>
      <c r="H42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42" s="195"/>
      <c r="J42" s="195"/>
      <c r="K42" s="196">
        <v>77.16</v>
      </c>
      <c r="L42" s="197">
        <v>100</v>
      </c>
      <c r="M42" s="185">
        <f t="shared" si="0"/>
        <v>0</v>
      </c>
    </row>
    <row r="43" spans="1:13" ht="18" customHeight="1" x14ac:dyDescent="0.3">
      <c r="A43" s="21">
        <f t="shared" si="1"/>
        <v>36</v>
      </c>
      <c r="C43" s="191">
        <f>IF(Tableau311[[#This Row],[STOCK REEL]]&lt;=0,1,"")</f>
        <v>1</v>
      </c>
      <c r="D43" s="191">
        <f>IF(Tableau311[[#This Row],[STOCK REEL]]&lt;=Tableau311[[#This Row],[MINI]],1,"")</f>
        <v>1</v>
      </c>
      <c r="E43" s="192">
        <f>IF(Tableau311[[#This Row],[STOCK REEL]]&gt;=Tableau311[[#This Row],[MINI]],1,"")</f>
        <v>1</v>
      </c>
      <c r="F43" s="193" t="s">
        <v>100</v>
      </c>
      <c r="G43" s="294" t="s">
        <v>64</v>
      </c>
      <c r="H43" s="307">
        <f>SUMIFS(Tableau4[QUANTITE],Tableau4[REFERENCE],Tableau311[[#This Row],[REFERENCE]],Tableau4[ENTREE],"Entrée")-SUMIFS(Tableau4[QUANTITE],Tableau4[REFERENCE],Tableau311[[#This Row],[REFERENCE]],Tableau4[ENTREE],"Sortie")+SUMIFS(Tableau5[QUANTITE],Tableau5[REFERENCE],Tableau311[[#This Row],[REFERENCE]],Tableau5[ENTREE],"RETOUR")-SUMIFS(Tableau5[QUANTITE],Tableau5[REFERENCE],Tableau311[[#This Row],[REFERENCE]],Tableau5[ENTREE],"SORTIE")</f>
        <v>0</v>
      </c>
      <c r="I43" s="195"/>
      <c r="J43" s="195"/>
      <c r="K43" s="196">
        <v>0</v>
      </c>
      <c r="L43" s="197"/>
      <c r="M43" s="185">
        <f t="shared" si="0"/>
        <v>0</v>
      </c>
    </row>
    <row r="44" spans="1:13" ht="18" customHeight="1" x14ac:dyDescent="0.3">
      <c r="C44" s="191"/>
      <c r="D44" s="191"/>
      <c r="E44" s="192"/>
      <c r="F44" s="198"/>
      <c r="G44" s="198"/>
      <c r="H44" s="194"/>
      <c r="I44" s="195"/>
      <c r="J44" s="195"/>
      <c r="K44" s="196"/>
      <c r="L44" s="197"/>
    </row>
    <row r="45" spans="1:13" ht="18" customHeight="1" x14ac:dyDescent="0.3">
      <c r="C45" s="191"/>
      <c r="D45" s="191"/>
      <c r="E45" s="192"/>
      <c r="F45" s="198"/>
      <c r="G45" s="198"/>
      <c r="H45" s="194"/>
      <c r="I45" s="195"/>
      <c r="J45" s="195"/>
      <c r="K45" s="196"/>
      <c r="L45" s="197"/>
    </row>
    <row r="46" spans="1:13" ht="18" customHeight="1" x14ac:dyDescent="0.3">
      <c r="C46" s="191"/>
      <c r="D46" s="191"/>
      <c r="E46" s="192"/>
      <c r="F46" s="11"/>
      <c r="G46" s="11"/>
      <c r="K46" s="199"/>
      <c r="L46" s="200"/>
    </row>
    <row r="47" spans="1:13" ht="18" customHeight="1" x14ac:dyDescent="0.3">
      <c r="C47" s="191"/>
      <c r="D47" s="191"/>
      <c r="E47" s="192"/>
      <c r="F47" s="11"/>
      <c r="G47" s="11"/>
      <c r="K47" s="199"/>
      <c r="L47" s="200"/>
    </row>
    <row r="48" spans="1:13" ht="18" customHeight="1" x14ac:dyDescent="0.3">
      <c r="C48" s="191"/>
      <c r="D48" s="191"/>
      <c r="E48" s="192"/>
      <c r="F48" s="11"/>
      <c r="G48" s="11"/>
      <c r="K48" s="199"/>
      <c r="L48" s="200"/>
    </row>
    <row r="49" spans="3:12" ht="18" customHeight="1" x14ac:dyDescent="0.3">
      <c r="C49" s="191"/>
      <c r="D49" s="191"/>
      <c r="E49" s="192"/>
      <c r="F49" s="11"/>
      <c r="G49" s="11"/>
      <c r="K49" s="199"/>
      <c r="L49" s="200"/>
    </row>
    <row r="50" spans="3:12" ht="18" customHeight="1" x14ac:dyDescent="0.3">
      <c r="C50" s="191"/>
      <c r="D50" s="191"/>
      <c r="E50" s="192"/>
      <c r="F50" s="11"/>
      <c r="G50" s="11"/>
      <c r="K50" s="199"/>
      <c r="L50" s="200"/>
    </row>
    <row r="51" spans="3:12" ht="18" customHeight="1" x14ac:dyDescent="0.3">
      <c r="C51" s="191"/>
      <c r="D51" s="191"/>
      <c r="E51" s="192"/>
      <c r="F51" s="11"/>
      <c r="G51" s="11"/>
      <c r="K51" s="199"/>
      <c r="L51" s="200"/>
    </row>
    <row r="52" spans="3:12" ht="18" customHeight="1" x14ac:dyDescent="0.3">
      <c r="C52" s="191"/>
      <c r="D52" s="191"/>
      <c r="E52" s="192"/>
      <c r="F52" s="11"/>
      <c r="G52" s="11"/>
      <c r="K52" s="199"/>
      <c r="L52" s="200"/>
    </row>
    <row r="53" spans="3:12" ht="18" customHeight="1" x14ac:dyDescent="0.3">
      <c r="C53" s="191"/>
      <c r="D53" s="191"/>
      <c r="E53" s="192"/>
      <c r="F53" s="11"/>
      <c r="G53" s="11"/>
      <c r="K53" s="199"/>
      <c r="L53" s="200"/>
    </row>
    <row r="54" spans="3:12" ht="18" customHeight="1" x14ac:dyDescent="0.3">
      <c r="C54" s="191"/>
      <c r="D54" s="191"/>
      <c r="E54" s="192"/>
      <c r="F54" s="11"/>
      <c r="G54" s="11"/>
      <c r="K54" s="199"/>
      <c r="L54" s="200"/>
    </row>
    <row r="55" spans="3:12" ht="18" customHeight="1" x14ac:dyDescent="0.3">
      <c r="C55" s="191"/>
      <c r="D55" s="191"/>
      <c r="E55" s="192"/>
      <c r="F55" s="11"/>
      <c r="G55" s="11"/>
      <c r="K55" s="199"/>
      <c r="L55" s="200"/>
    </row>
    <row r="56" spans="3:12" ht="18" customHeight="1" x14ac:dyDescent="0.3">
      <c r="C56" s="191"/>
      <c r="D56" s="191"/>
      <c r="E56" s="192"/>
      <c r="F56" s="11"/>
      <c r="G56" s="11"/>
      <c r="K56" s="199"/>
      <c r="L56" s="200"/>
    </row>
    <row r="57" spans="3:12" ht="18" customHeight="1" x14ac:dyDescent="0.3">
      <c r="C57" s="191"/>
      <c r="D57" s="191"/>
      <c r="E57" s="192"/>
      <c r="F57" s="11"/>
      <c r="G57" s="11"/>
      <c r="K57" s="199"/>
      <c r="L57" s="200"/>
    </row>
    <row r="58" spans="3:12" ht="18" customHeight="1" x14ac:dyDescent="0.3">
      <c r="C58" s="191"/>
      <c r="D58" s="191"/>
      <c r="E58" s="192"/>
      <c r="F58" s="11"/>
      <c r="G58" s="11"/>
      <c r="K58" s="199"/>
      <c r="L58" s="200"/>
    </row>
    <row r="59" spans="3:12" ht="18" customHeight="1" x14ac:dyDescent="0.3">
      <c r="C59" s="191"/>
      <c r="D59" s="191"/>
      <c r="E59" s="192"/>
      <c r="F59" s="11"/>
      <c r="G59" s="11"/>
      <c r="K59" s="199"/>
      <c r="L59" s="200"/>
    </row>
    <row r="60" spans="3:12" ht="18" customHeight="1" x14ac:dyDescent="0.3">
      <c r="C60" s="191"/>
      <c r="D60" s="191"/>
      <c r="E60" s="192"/>
      <c r="F60" s="11"/>
      <c r="G60" s="11"/>
      <c r="K60" s="199"/>
      <c r="L60" s="200"/>
    </row>
    <row r="61" spans="3:12" ht="18" customHeight="1" x14ac:dyDescent="0.3">
      <c r="C61" s="191"/>
      <c r="D61" s="191"/>
      <c r="E61" s="192"/>
      <c r="F61" s="11"/>
      <c r="G61" s="11"/>
      <c r="K61" s="199"/>
      <c r="L61" s="200"/>
    </row>
    <row r="62" spans="3:12" ht="18" customHeight="1" x14ac:dyDescent="0.3">
      <c r="C62" s="191"/>
      <c r="D62" s="191"/>
      <c r="E62" s="192"/>
      <c r="F62" s="11"/>
      <c r="G62" s="11"/>
      <c r="K62" s="199"/>
      <c r="L62" s="200"/>
    </row>
    <row r="63" spans="3:12" ht="18" customHeight="1" x14ac:dyDescent="0.3">
      <c r="C63" s="191"/>
      <c r="D63" s="191"/>
      <c r="E63" s="192"/>
      <c r="F63" s="11"/>
      <c r="G63" s="11"/>
      <c r="K63" s="199"/>
      <c r="L63" s="200"/>
    </row>
    <row r="64" spans="3:12" ht="18" customHeight="1" x14ac:dyDescent="0.3">
      <c r="C64" s="191"/>
      <c r="D64" s="191"/>
      <c r="E64" s="192"/>
      <c r="F64" s="11"/>
      <c r="G64" s="11"/>
      <c r="K64" s="199"/>
      <c r="L64" s="200"/>
    </row>
    <row r="65" spans="3:12" ht="18" customHeight="1" x14ac:dyDescent="0.3">
      <c r="C65" s="191"/>
      <c r="D65" s="191"/>
      <c r="E65" s="192"/>
      <c r="F65" s="11"/>
      <c r="G65" s="11"/>
      <c r="K65" s="199"/>
      <c r="L65" s="200"/>
    </row>
    <row r="66" spans="3:12" ht="18" customHeight="1" x14ac:dyDescent="0.3">
      <c r="C66" s="191"/>
      <c r="D66" s="191"/>
      <c r="E66" s="192"/>
      <c r="F66" s="11"/>
      <c r="G66" s="11"/>
      <c r="K66" s="199"/>
      <c r="L66" s="200"/>
    </row>
    <row r="67" spans="3:12" ht="18" customHeight="1" x14ac:dyDescent="0.3">
      <c r="C67" s="191"/>
      <c r="D67" s="191"/>
      <c r="E67" s="192"/>
      <c r="F67" s="11"/>
      <c r="G67" s="11"/>
      <c r="K67" s="199"/>
      <c r="L67" s="200"/>
    </row>
    <row r="68" spans="3:12" ht="18" customHeight="1" x14ac:dyDescent="0.3">
      <c r="C68" s="191"/>
      <c r="D68" s="191"/>
      <c r="E68" s="192"/>
      <c r="F68" s="11"/>
      <c r="G68" s="11"/>
      <c r="K68" s="199"/>
      <c r="L68" s="200"/>
    </row>
    <row r="69" spans="3:12" ht="18" customHeight="1" x14ac:dyDescent="0.3">
      <c r="C69" s="191"/>
      <c r="D69" s="191"/>
      <c r="E69" s="192"/>
      <c r="F69" s="11"/>
      <c r="G69" s="11"/>
      <c r="K69" s="199"/>
      <c r="L69" s="200"/>
    </row>
    <row r="70" spans="3:12" ht="18" customHeight="1" x14ac:dyDescent="0.3">
      <c r="C70" s="191"/>
      <c r="D70" s="191"/>
      <c r="E70" s="192"/>
      <c r="F70" s="11"/>
      <c r="G70" s="11"/>
      <c r="K70" s="199"/>
      <c r="L70" s="200"/>
    </row>
    <row r="71" spans="3:12" ht="18" customHeight="1" x14ac:dyDescent="0.3">
      <c r="C71" s="191"/>
      <c r="D71" s="191"/>
      <c r="E71" s="192"/>
      <c r="F71" s="11"/>
      <c r="G71" s="11"/>
      <c r="K71" s="199"/>
      <c r="L71" s="200"/>
    </row>
    <row r="72" spans="3:12" ht="18" customHeight="1" x14ac:dyDescent="0.3">
      <c r="C72" s="191"/>
      <c r="D72" s="191"/>
      <c r="E72" s="192"/>
      <c r="F72" s="11"/>
      <c r="G72" s="11"/>
      <c r="K72" s="199"/>
      <c r="L72" s="200"/>
    </row>
    <row r="73" spans="3:12" ht="18" customHeight="1" x14ac:dyDescent="0.3">
      <c r="C73" s="191"/>
      <c r="D73" s="191"/>
      <c r="E73" s="192"/>
      <c r="F73" s="11"/>
      <c r="G73" s="11"/>
      <c r="K73" s="199"/>
      <c r="L73" s="200"/>
    </row>
    <row r="74" spans="3:12" ht="18" customHeight="1" x14ac:dyDescent="0.3">
      <c r="C74" s="191"/>
      <c r="D74" s="191"/>
      <c r="E74" s="192"/>
      <c r="F74" s="11"/>
      <c r="G74" s="11"/>
      <c r="K74" s="199"/>
      <c r="L74" s="200"/>
    </row>
    <row r="75" spans="3:12" ht="18" customHeight="1" x14ac:dyDescent="0.3">
      <c r="C75" s="191"/>
      <c r="D75" s="191"/>
      <c r="E75" s="192"/>
      <c r="F75" s="11"/>
      <c r="G75" s="11"/>
      <c r="K75" s="199"/>
      <c r="L75" s="200"/>
    </row>
    <row r="76" spans="3:12" ht="18" customHeight="1" x14ac:dyDescent="0.3">
      <c r="C76" s="191"/>
      <c r="D76" s="191"/>
      <c r="E76" s="192"/>
      <c r="F76" s="11"/>
      <c r="G76" s="11"/>
      <c r="K76" s="199"/>
      <c r="L76" s="200"/>
    </row>
    <row r="77" spans="3:12" ht="18" customHeight="1" x14ac:dyDescent="0.3">
      <c r="C77" s="191"/>
      <c r="D77" s="191"/>
      <c r="E77" s="192"/>
      <c r="F77" s="11"/>
      <c r="G77" s="11"/>
      <c r="K77" s="199"/>
      <c r="L77" s="200"/>
    </row>
    <row r="78" spans="3:12" ht="18" customHeight="1" x14ac:dyDescent="0.3">
      <c r="C78" s="191"/>
      <c r="D78" s="191"/>
      <c r="E78" s="192"/>
      <c r="F78" s="11"/>
      <c r="G78" s="11"/>
      <c r="K78" s="199"/>
      <c r="L78" s="200"/>
    </row>
    <row r="79" spans="3:12" ht="18" customHeight="1" x14ac:dyDescent="0.3">
      <c r="C79" s="191"/>
      <c r="D79" s="191"/>
      <c r="E79" s="192"/>
      <c r="F79" s="11"/>
      <c r="G79" s="11"/>
      <c r="K79" s="199"/>
      <c r="L79" s="200"/>
    </row>
    <row r="80" spans="3:12" ht="18" customHeight="1" x14ac:dyDescent="0.3">
      <c r="C80" s="191"/>
      <c r="D80" s="191"/>
      <c r="E80" s="192"/>
      <c r="F80" s="11"/>
      <c r="G80" s="11"/>
      <c r="K80" s="199"/>
      <c r="L80" s="200"/>
    </row>
    <row r="81" spans="3:12" ht="18" customHeight="1" x14ac:dyDescent="0.3">
      <c r="C81" s="191"/>
      <c r="D81" s="191"/>
      <c r="E81" s="192"/>
      <c r="F81" s="11"/>
      <c r="G81" s="11"/>
      <c r="K81" s="199"/>
      <c r="L81" s="200"/>
    </row>
    <row r="82" spans="3:12" ht="18" customHeight="1" x14ac:dyDescent="0.3">
      <c r="C82" s="191"/>
      <c r="D82" s="191"/>
      <c r="E82" s="192"/>
      <c r="F82" s="11"/>
      <c r="G82" s="11"/>
      <c r="K82" s="199"/>
      <c r="L82" s="200"/>
    </row>
    <row r="83" spans="3:12" ht="18" customHeight="1" x14ac:dyDescent="0.3">
      <c r="C83" s="191"/>
      <c r="D83" s="191"/>
      <c r="E83" s="192"/>
      <c r="F83" s="11"/>
      <c r="G83" s="11"/>
      <c r="K83" s="199"/>
      <c r="L83" s="200"/>
    </row>
    <row r="84" spans="3:12" ht="18" customHeight="1" x14ac:dyDescent="0.3">
      <c r="C84" s="191"/>
      <c r="D84" s="191"/>
      <c r="E84" s="192"/>
      <c r="F84" s="11"/>
      <c r="G84" s="11"/>
      <c r="K84" s="199"/>
      <c r="L84" s="200"/>
    </row>
    <row r="85" spans="3:12" ht="18" customHeight="1" x14ac:dyDescent="0.3">
      <c r="C85" s="191"/>
      <c r="D85" s="191"/>
      <c r="E85" s="192"/>
      <c r="F85" s="11"/>
      <c r="G85" s="11"/>
      <c r="K85" s="199"/>
      <c r="L85" s="200"/>
    </row>
    <row r="86" spans="3:12" ht="18" customHeight="1" x14ac:dyDescent="0.3">
      <c r="C86" s="191"/>
      <c r="D86" s="191"/>
      <c r="E86" s="192"/>
      <c r="F86" s="11"/>
      <c r="G86" s="11"/>
      <c r="K86" s="199"/>
      <c r="L86" s="200"/>
    </row>
    <row r="87" spans="3:12" ht="18" customHeight="1" x14ac:dyDescent="0.3">
      <c r="C87" s="191"/>
      <c r="D87" s="191"/>
      <c r="E87" s="192"/>
      <c r="F87" s="11"/>
      <c r="G87" s="11"/>
      <c r="K87" s="199"/>
      <c r="L87" s="200"/>
    </row>
    <row r="88" spans="3:12" ht="18" customHeight="1" x14ac:dyDescent="0.3">
      <c r="C88" s="191"/>
      <c r="D88" s="191"/>
      <c r="E88" s="192"/>
      <c r="F88" s="11"/>
      <c r="G88" s="11"/>
      <c r="K88" s="199"/>
      <c r="L88" s="200"/>
    </row>
    <row r="89" spans="3:12" ht="18" customHeight="1" x14ac:dyDescent="0.3">
      <c r="C89" s="191"/>
      <c r="D89" s="191"/>
      <c r="E89" s="192"/>
      <c r="F89" s="11"/>
      <c r="G89" s="11"/>
      <c r="K89" s="199"/>
      <c r="L89" s="200"/>
    </row>
    <row r="90" spans="3:12" ht="18" customHeight="1" x14ac:dyDescent="0.3">
      <c r="C90" s="191"/>
      <c r="D90" s="191"/>
      <c r="E90" s="192"/>
      <c r="F90" s="11"/>
      <c r="G90" s="11"/>
      <c r="K90" s="199"/>
      <c r="L90" s="200"/>
    </row>
    <row r="91" spans="3:12" ht="18" customHeight="1" x14ac:dyDescent="0.3">
      <c r="C91" s="191"/>
      <c r="D91" s="191"/>
      <c r="E91" s="192"/>
      <c r="F91" s="11"/>
      <c r="G91" s="11"/>
      <c r="K91" s="199"/>
      <c r="L91" s="200"/>
    </row>
    <row r="92" spans="3:12" ht="18" customHeight="1" x14ac:dyDescent="0.3">
      <c r="C92" s="191"/>
      <c r="D92" s="191"/>
      <c r="E92" s="192"/>
      <c r="F92" s="11"/>
      <c r="G92" s="11"/>
      <c r="K92" s="199"/>
      <c r="L92" s="200"/>
    </row>
    <row r="93" spans="3:12" ht="18" customHeight="1" x14ac:dyDescent="0.3">
      <c r="C93" s="191"/>
      <c r="D93" s="191"/>
      <c r="E93" s="192"/>
      <c r="F93" s="11"/>
      <c r="G93" s="11"/>
      <c r="K93" s="199"/>
      <c r="L93" s="200"/>
    </row>
    <row r="94" spans="3:12" ht="18" customHeight="1" x14ac:dyDescent="0.3">
      <c r="C94" s="191"/>
      <c r="D94" s="191"/>
      <c r="E94" s="192"/>
      <c r="F94" s="11"/>
      <c r="G94" s="11"/>
      <c r="K94" s="199"/>
      <c r="L94" s="200"/>
    </row>
    <row r="95" spans="3:12" ht="18" customHeight="1" x14ac:dyDescent="0.3">
      <c r="C95" s="191"/>
      <c r="D95" s="191"/>
      <c r="E95" s="192"/>
      <c r="F95" s="11"/>
      <c r="G95" s="11"/>
      <c r="K95" s="199"/>
      <c r="L95" s="200"/>
    </row>
    <row r="96" spans="3:12" ht="18" customHeight="1" x14ac:dyDescent="0.3">
      <c r="C96" s="191"/>
      <c r="D96" s="191"/>
      <c r="E96" s="192"/>
      <c r="F96" s="11"/>
      <c r="G96" s="11"/>
      <c r="K96" s="199"/>
      <c r="L96" s="200"/>
    </row>
    <row r="97" spans="3:12" ht="18" customHeight="1" x14ac:dyDescent="0.3">
      <c r="C97" s="191"/>
      <c r="D97" s="191"/>
      <c r="E97" s="192"/>
      <c r="F97" s="11"/>
      <c r="G97" s="11"/>
      <c r="K97" s="199"/>
      <c r="L97" s="200"/>
    </row>
    <row r="98" spans="3:12" ht="18" customHeight="1" x14ac:dyDescent="0.3">
      <c r="C98" s="191"/>
      <c r="D98" s="191"/>
      <c r="E98" s="192"/>
      <c r="F98" s="11"/>
      <c r="G98" s="11"/>
      <c r="K98" s="199"/>
      <c r="L98" s="200"/>
    </row>
    <row r="99" spans="3:12" ht="18" customHeight="1" x14ac:dyDescent="0.3">
      <c r="C99" s="191"/>
      <c r="D99" s="191"/>
      <c r="E99" s="192"/>
      <c r="F99" s="11"/>
      <c r="G99" s="11"/>
      <c r="K99" s="199"/>
      <c r="L99" s="200"/>
    </row>
    <row r="100" spans="3:12" ht="18" customHeight="1" x14ac:dyDescent="0.3">
      <c r="C100" s="191"/>
      <c r="D100" s="191"/>
      <c r="E100" s="192"/>
      <c r="F100" s="11"/>
      <c r="G100" s="11"/>
      <c r="K100" s="199"/>
      <c r="L100" s="200"/>
    </row>
    <row r="101" spans="3:12" ht="18" customHeight="1" x14ac:dyDescent="0.3">
      <c r="C101" s="191"/>
      <c r="D101" s="191"/>
      <c r="E101" s="192"/>
      <c r="F101" s="11"/>
      <c r="G101" s="11"/>
      <c r="K101" s="199"/>
      <c r="L101" s="200"/>
    </row>
    <row r="102" spans="3:12" ht="18" customHeight="1" x14ac:dyDescent="0.3">
      <c r="C102" s="191"/>
      <c r="D102" s="191"/>
      <c r="E102" s="192"/>
      <c r="F102" s="11"/>
      <c r="G102" s="11"/>
      <c r="K102" s="199"/>
      <c r="L102" s="200"/>
    </row>
    <row r="103" spans="3:12" ht="18" customHeight="1" x14ac:dyDescent="0.3">
      <c r="C103" s="191"/>
      <c r="D103" s="191"/>
      <c r="E103" s="192"/>
      <c r="F103" s="11"/>
      <c r="G103" s="11"/>
      <c r="K103" s="199"/>
      <c r="L103" s="200"/>
    </row>
    <row r="104" spans="3:12" ht="18" customHeight="1" x14ac:dyDescent="0.3">
      <c r="C104" s="191"/>
      <c r="D104" s="191"/>
      <c r="E104" s="192"/>
      <c r="F104" s="11"/>
      <c r="G104" s="11"/>
      <c r="K104" s="199"/>
      <c r="L104" s="200"/>
    </row>
    <row r="105" spans="3:12" ht="18" customHeight="1" x14ac:dyDescent="0.3">
      <c r="C105" s="191"/>
      <c r="D105" s="191"/>
      <c r="E105" s="192"/>
      <c r="F105" s="11"/>
      <c r="G105" s="11"/>
      <c r="K105" s="199"/>
      <c r="L105" s="200"/>
    </row>
    <row r="106" spans="3:12" ht="18" customHeight="1" x14ac:dyDescent="0.3">
      <c r="C106" s="191"/>
      <c r="D106" s="191"/>
      <c r="E106" s="192"/>
      <c r="F106" s="11"/>
      <c r="G106" s="11"/>
      <c r="K106" s="199"/>
      <c r="L106" s="200"/>
    </row>
    <row r="107" spans="3:12" ht="18" customHeight="1" x14ac:dyDescent="0.3">
      <c r="C107" s="191"/>
      <c r="D107" s="191"/>
      <c r="E107" s="192"/>
      <c r="F107" s="11"/>
      <c r="G107" s="11"/>
      <c r="K107" s="199"/>
      <c r="L107" s="200"/>
    </row>
    <row r="108" spans="3:12" ht="18" customHeight="1" x14ac:dyDescent="0.3">
      <c r="C108" s="191"/>
      <c r="D108" s="191"/>
      <c r="E108" s="192"/>
      <c r="F108" s="11"/>
      <c r="G108" s="11"/>
      <c r="K108" s="199"/>
      <c r="L108" s="200"/>
    </row>
    <row r="109" spans="3:12" ht="18" customHeight="1" x14ac:dyDescent="0.3">
      <c r="C109" s="191"/>
      <c r="D109" s="191"/>
      <c r="E109" s="192"/>
      <c r="F109" s="11"/>
      <c r="G109" s="11"/>
      <c r="K109" s="199"/>
      <c r="L109" s="200"/>
    </row>
    <row r="110" spans="3:12" ht="18" customHeight="1" x14ac:dyDescent="0.3">
      <c r="C110" s="191"/>
      <c r="D110" s="191"/>
      <c r="E110" s="192"/>
      <c r="F110" s="11"/>
      <c r="G110" s="11"/>
      <c r="K110" s="199"/>
      <c r="L110" s="200"/>
    </row>
    <row r="111" spans="3:12" ht="18" customHeight="1" x14ac:dyDescent="0.3">
      <c r="C111" s="191"/>
      <c r="D111" s="191"/>
      <c r="E111" s="192"/>
      <c r="F111" s="11"/>
      <c r="G111" s="11"/>
      <c r="K111" s="199"/>
      <c r="L111" s="200"/>
    </row>
    <row r="112" spans="3:12" ht="18" customHeight="1" x14ac:dyDescent="0.3">
      <c r="C112" s="191"/>
      <c r="D112" s="191"/>
      <c r="E112" s="192"/>
      <c r="F112" s="11"/>
      <c r="G112" s="11"/>
      <c r="K112" s="199"/>
      <c r="L112" s="200"/>
    </row>
    <row r="113" spans="3:12" ht="18" customHeight="1" x14ac:dyDescent="0.3">
      <c r="C113" s="191"/>
      <c r="D113" s="191"/>
      <c r="E113" s="192"/>
      <c r="F113" s="11"/>
      <c r="G113" s="11"/>
      <c r="K113" s="199"/>
      <c r="L113" s="200"/>
    </row>
    <row r="114" spans="3:12" ht="18" customHeight="1" x14ac:dyDescent="0.3">
      <c r="C114" s="191"/>
      <c r="D114" s="191"/>
      <c r="E114" s="192"/>
      <c r="F114" s="11"/>
      <c r="G114" s="11"/>
      <c r="K114" s="199"/>
      <c r="L114" s="200"/>
    </row>
    <row r="115" spans="3:12" ht="18" customHeight="1" x14ac:dyDescent="0.3">
      <c r="C115" s="191"/>
      <c r="D115" s="191"/>
      <c r="E115" s="192"/>
      <c r="F115" s="11"/>
      <c r="G115" s="11"/>
      <c r="K115" s="199"/>
      <c r="L115" s="200"/>
    </row>
    <row r="116" spans="3:12" ht="18" customHeight="1" x14ac:dyDescent="0.3">
      <c r="C116" s="191"/>
      <c r="D116" s="191"/>
      <c r="E116" s="192"/>
      <c r="F116" s="11"/>
      <c r="G116" s="11"/>
      <c r="K116" s="199"/>
      <c r="L116" s="200"/>
    </row>
    <row r="117" spans="3:12" ht="18" customHeight="1" x14ac:dyDescent="0.3">
      <c r="C117" s="191"/>
      <c r="D117" s="191"/>
      <c r="E117" s="192"/>
      <c r="F117" s="11"/>
      <c r="G117" s="11"/>
      <c r="K117" s="199"/>
      <c r="L117" s="200"/>
    </row>
    <row r="118" spans="3:12" ht="18" customHeight="1" x14ac:dyDescent="0.3">
      <c r="C118" s="191"/>
      <c r="D118" s="191"/>
      <c r="E118" s="192"/>
      <c r="F118" s="11"/>
      <c r="G118" s="11"/>
      <c r="K118" s="199"/>
      <c r="L118" s="200"/>
    </row>
    <row r="119" spans="3:12" ht="18" customHeight="1" x14ac:dyDescent="0.3">
      <c r="C119" s="191"/>
      <c r="D119" s="191"/>
      <c r="E119" s="192"/>
      <c r="F119" s="11"/>
      <c r="G119" s="11"/>
      <c r="K119" s="199"/>
      <c r="L119" s="200"/>
    </row>
    <row r="120" spans="3:12" ht="18" customHeight="1" x14ac:dyDescent="0.3">
      <c r="C120" s="191"/>
      <c r="D120" s="191"/>
      <c r="E120" s="192"/>
      <c r="F120" s="11"/>
      <c r="G120" s="11"/>
      <c r="K120" s="199"/>
      <c r="L120" s="200"/>
    </row>
    <row r="121" spans="3:12" ht="18" customHeight="1" x14ac:dyDescent="0.3">
      <c r="C121" s="191"/>
      <c r="D121" s="191"/>
      <c r="E121" s="192"/>
      <c r="F121" s="11"/>
      <c r="G121" s="11"/>
      <c r="K121" s="199"/>
      <c r="L121" s="200"/>
    </row>
    <row r="122" spans="3:12" ht="18" customHeight="1" x14ac:dyDescent="0.3">
      <c r="C122" s="191"/>
      <c r="D122" s="191"/>
      <c r="E122" s="192"/>
      <c r="F122" s="11"/>
      <c r="G122" s="11"/>
      <c r="K122" s="199"/>
      <c r="L122" s="200"/>
    </row>
    <row r="123" spans="3:12" ht="18" customHeight="1" x14ac:dyDescent="0.3">
      <c r="C123" s="191"/>
      <c r="D123" s="191"/>
      <c r="E123" s="192"/>
      <c r="F123" s="11"/>
      <c r="G123" s="11"/>
      <c r="K123" s="199"/>
      <c r="L123" s="200"/>
    </row>
    <row r="124" spans="3:12" ht="18" customHeight="1" x14ac:dyDescent="0.3">
      <c r="C124" s="191"/>
      <c r="D124" s="191"/>
      <c r="E124" s="192"/>
      <c r="F124" s="11"/>
      <c r="G124" s="11"/>
      <c r="K124" s="199"/>
      <c r="L124" s="200"/>
    </row>
    <row r="125" spans="3:12" ht="18" customHeight="1" x14ac:dyDescent="0.3">
      <c r="C125" s="191"/>
      <c r="D125" s="191"/>
      <c r="E125" s="192"/>
      <c r="F125" s="11"/>
      <c r="G125" s="11"/>
      <c r="K125" s="199"/>
      <c r="L125" s="200"/>
    </row>
    <row r="126" spans="3:12" ht="18" customHeight="1" x14ac:dyDescent="0.3">
      <c r="C126" s="191"/>
      <c r="D126" s="191"/>
      <c r="E126" s="192"/>
      <c r="F126" s="11"/>
      <c r="G126" s="11"/>
      <c r="K126" s="199"/>
      <c r="L126" s="200"/>
    </row>
    <row r="127" spans="3:12" ht="18" customHeight="1" x14ac:dyDescent="0.3">
      <c r="C127" s="191"/>
      <c r="D127" s="191"/>
      <c r="E127" s="192"/>
      <c r="F127" s="11"/>
      <c r="G127" s="11"/>
      <c r="K127" s="199"/>
      <c r="L127" s="200"/>
    </row>
    <row r="128" spans="3:12" ht="18" customHeight="1" x14ac:dyDescent="0.3">
      <c r="C128" s="191"/>
      <c r="D128" s="191"/>
      <c r="E128" s="192"/>
      <c r="F128" s="11"/>
      <c r="G128" s="11"/>
      <c r="K128" s="199"/>
      <c r="L128" s="200"/>
    </row>
    <row r="129" spans="3:12" ht="18" customHeight="1" x14ac:dyDescent="0.3">
      <c r="C129" s="191"/>
      <c r="D129" s="191"/>
      <c r="E129" s="192"/>
      <c r="F129" s="11"/>
      <c r="G129" s="11"/>
      <c r="K129" s="199"/>
      <c r="L129" s="200"/>
    </row>
    <row r="130" spans="3:12" ht="18" customHeight="1" x14ac:dyDescent="0.3">
      <c r="C130" s="191"/>
      <c r="D130" s="191"/>
      <c r="E130" s="192"/>
      <c r="F130" s="11"/>
      <c r="G130" s="11"/>
      <c r="K130" s="199"/>
      <c r="L130" s="200"/>
    </row>
    <row r="131" spans="3:12" ht="18" customHeight="1" x14ac:dyDescent="0.3">
      <c r="C131" s="191"/>
      <c r="D131" s="191"/>
      <c r="E131" s="192"/>
      <c r="F131" s="11"/>
      <c r="G131" s="11"/>
      <c r="K131" s="199"/>
      <c r="L131" s="200"/>
    </row>
    <row r="132" spans="3:12" ht="18" customHeight="1" x14ac:dyDescent="0.3">
      <c r="C132" s="191"/>
      <c r="D132" s="191"/>
      <c r="E132" s="192"/>
      <c r="F132" s="11"/>
      <c r="G132" s="11"/>
      <c r="K132" s="199"/>
      <c r="L132" s="200"/>
    </row>
    <row r="133" spans="3:12" ht="18" customHeight="1" x14ac:dyDescent="0.3">
      <c r="C133" s="191"/>
      <c r="D133" s="191"/>
      <c r="E133" s="192"/>
      <c r="F133" s="11"/>
      <c r="G133" s="11"/>
      <c r="K133" s="199"/>
      <c r="L133" s="200"/>
    </row>
    <row r="134" spans="3:12" ht="18" customHeight="1" x14ac:dyDescent="0.3">
      <c r="C134" s="191"/>
      <c r="D134" s="191"/>
      <c r="E134" s="192"/>
      <c r="F134" s="11"/>
      <c r="G134" s="11"/>
      <c r="K134" s="199"/>
      <c r="L134" s="200"/>
    </row>
    <row r="135" spans="3:12" ht="18" customHeight="1" x14ac:dyDescent="0.3">
      <c r="C135" s="191"/>
      <c r="D135" s="191"/>
      <c r="E135" s="192"/>
      <c r="F135" s="11"/>
      <c r="G135" s="11"/>
      <c r="K135" s="199"/>
      <c r="L135" s="200"/>
    </row>
    <row r="136" spans="3:12" ht="18" customHeight="1" x14ac:dyDescent="0.3">
      <c r="C136" s="191"/>
      <c r="D136" s="191"/>
      <c r="E136" s="192"/>
      <c r="F136" s="11"/>
      <c r="G136" s="11"/>
      <c r="K136" s="199"/>
      <c r="L136" s="200"/>
    </row>
    <row r="137" spans="3:12" ht="18" customHeight="1" x14ac:dyDescent="0.3">
      <c r="C137" s="191"/>
      <c r="D137" s="191"/>
      <c r="E137" s="192"/>
      <c r="F137" s="11"/>
      <c r="G137" s="11"/>
      <c r="K137" s="199"/>
      <c r="L137" s="200"/>
    </row>
    <row r="138" spans="3:12" ht="18" customHeight="1" x14ac:dyDescent="0.3">
      <c r="C138" s="191"/>
      <c r="D138" s="191"/>
      <c r="E138" s="192"/>
      <c r="F138" s="11"/>
      <c r="G138" s="11"/>
      <c r="K138" s="199"/>
      <c r="L138" s="200"/>
    </row>
    <row r="139" spans="3:12" ht="18" customHeight="1" x14ac:dyDescent="0.3">
      <c r="C139" s="191"/>
      <c r="D139" s="191"/>
      <c r="E139" s="192"/>
      <c r="F139" s="11"/>
      <c r="G139" s="11"/>
      <c r="K139" s="199"/>
      <c r="L139" s="200"/>
    </row>
    <row r="140" spans="3:12" ht="18" customHeight="1" x14ac:dyDescent="0.3">
      <c r="C140" s="191"/>
      <c r="D140" s="191"/>
      <c r="E140" s="192"/>
      <c r="F140" s="11"/>
      <c r="G140" s="11"/>
      <c r="K140" s="199"/>
      <c r="L140" s="200"/>
    </row>
    <row r="141" spans="3:12" ht="18" customHeight="1" x14ac:dyDescent="0.3">
      <c r="C141" s="191"/>
      <c r="D141" s="191"/>
      <c r="E141" s="192"/>
      <c r="F141" s="11"/>
      <c r="G141" s="11"/>
      <c r="K141" s="199"/>
      <c r="L141" s="200"/>
    </row>
    <row r="142" spans="3:12" ht="18" customHeight="1" x14ac:dyDescent="0.3">
      <c r="C142" s="191"/>
      <c r="D142" s="191"/>
      <c r="E142" s="192"/>
      <c r="F142" s="11"/>
      <c r="G142" s="11"/>
      <c r="K142" s="199"/>
      <c r="L142" s="200"/>
    </row>
    <row r="143" spans="3:12" ht="18" customHeight="1" x14ac:dyDescent="0.3">
      <c r="C143" s="191"/>
      <c r="D143" s="191"/>
      <c r="E143" s="192"/>
      <c r="F143" s="11"/>
      <c r="G143" s="11"/>
      <c r="K143" s="199"/>
      <c r="L143" s="200"/>
    </row>
    <row r="144" spans="3:12" ht="18" customHeight="1" x14ac:dyDescent="0.3">
      <c r="C144" s="191"/>
      <c r="D144" s="191"/>
      <c r="E144" s="192"/>
      <c r="F144" s="11"/>
      <c r="G144" s="11"/>
      <c r="K144" s="199"/>
      <c r="L144" s="200"/>
    </row>
    <row r="145" spans="3:12" ht="18" customHeight="1" x14ac:dyDescent="0.3">
      <c r="C145" s="191"/>
      <c r="D145" s="191"/>
      <c r="E145" s="192"/>
      <c r="F145" s="11"/>
      <c r="G145" s="11"/>
      <c r="K145" s="199"/>
      <c r="L145" s="200"/>
    </row>
    <row r="146" spans="3:12" ht="18" customHeight="1" x14ac:dyDescent="0.3">
      <c r="C146" s="191"/>
      <c r="D146" s="191"/>
      <c r="E146" s="192"/>
      <c r="F146" s="11"/>
      <c r="G146" s="11"/>
      <c r="K146" s="199"/>
      <c r="L146" s="200"/>
    </row>
    <row r="147" spans="3:12" ht="18" customHeight="1" x14ac:dyDescent="0.3">
      <c r="C147" s="191"/>
      <c r="D147" s="191"/>
      <c r="E147" s="192"/>
      <c r="F147" s="11"/>
      <c r="G147" s="11"/>
      <c r="K147" s="199"/>
      <c r="L147" s="200"/>
    </row>
    <row r="148" spans="3:12" ht="18" customHeight="1" x14ac:dyDescent="0.3">
      <c r="C148" s="191"/>
      <c r="D148" s="191"/>
      <c r="E148" s="192"/>
      <c r="F148" s="11"/>
      <c r="G148" s="11"/>
      <c r="K148" s="199"/>
      <c r="L148" s="200"/>
    </row>
    <row r="149" spans="3:12" ht="18" customHeight="1" x14ac:dyDescent="0.3">
      <c r="C149" s="191"/>
      <c r="D149" s="191"/>
      <c r="E149" s="192"/>
      <c r="F149" s="11"/>
      <c r="G149" s="11"/>
      <c r="K149" s="199"/>
      <c r="L149" s="200"/>
    </row>
    <row r="150" spans="3:12" ht="18" customHeight="1" x14ac:dyDescent="0.3">
      <c r="C150" s="191"/>
      <c r="D150" s="191"/>
      <c r="E150" s="192"/>
      <c r="F150" s="11"/>
      <c r="G150" s="11"/>
      <c r="K150" s="199"/>
      <c r="L150" s="200"/>
    </row>
    <row r="151" spans="3:12" ht="18" customHeight="1" x14ac:dyDescent="0.3">
      <c r="C151" s="191"/>
      <c r="D151" s="191"/>
      <c r="E151" s="192"/>
      <c r="F151" s="11"/>
      <c r="G151" s="11"/>
      <c r="K151" s="199"/>
      <c r="L151" s="200"/>
    </row>
    <row r="152" spans="3:12" ht="18" customHeight="1" x14ac:dyDescent="0.3">
      <c r="C152" s="191"/>
      <c r="D152" s="191"/>
      <c r="E152" s="192"/>
      <c r="F152" s="11"/>
      <c r="G152" s="11"/>
      <c r="K152" s="199"/>
      <c r="L152" s="200"/>
    </row>
    <row r="153" spans="3:12" ht="18" customHeight="1" x14ac:dyDescent="0.3">
      <c r="C153" s="191"/>
      <c r="D153" s="191"/>
      <c r="E153" s="192"/>
      <c r="F153" s="11"/>
      <c r="G153" s="11"/>
      <c r="K153" s="199"/>
      <c r="L153" s="200"/>
    </row>
    <row r="154" spans="3:12" ht="18" customHeight="1" x14ac:dyDescent="0.3">
      <c r="C154" s="191"/>
      <c r="D154" s="191"/>
      <c r="E154" s="192"/>
      <c r="F154" s="11"/>
      <c r="G154" s="11"/>
      <c r="K154" s="199"/>
      <c r="L154" s="200"/>
    </row>
    <row r="155" spans="3:12" ht="18" customHeight="1" x14ac:dyDescent="0.3">
      <c r="C155" s="191"/>
      <c r="D155" s="191"/>
      <c r="E155" s="192"/>
      <c r="F155" s="11"/>
      <c r="G155" s="11"/>
      <c r="K155" s="199"/>
      <c r="L155" s="200"/>
    </row>
    <row r="156" spans="3:12" ht="18" customHeight="1" x14ac:dyDescent="0.3">
      <c r="C156" s="191"/>
      <c r="D156" s="191"/>
      <c r="E156" s="192"/>
      <c r="F156" s="11"/>
      <c r="G156" s="11"/>
      <c r="K156" s="199"/>
      <c r="L156" s="200"/>
    </row>
    <row r="157" spans="3:12" ht="18" customHeight="1" x14ac:dyDescent="0.3">
      <c r="C157" s="191"/>
      <c r="D157" s="191"/>
      <c r="E157" s="192"/>
      <c r="F157" s="11"/>
      <c r="G157" s="11"/>
      <c r="K157" s="199"/>
      <c r="L157" s="200"/>
    </row>
    <row r="158" spans="3:12" ht="18" customHeight="1" x14ac:dyDescent="0.3">
      <c r="C158" s="191"/>
      <c r="D158" s="191"/>
      <c r="E158" s="192"/>
      <c r="F158" s="11"/>
      <c r="G158" s="11"/>
      <c r="K158" s="199"/>
      <c r="L158" s="200"/>
    </row>
    <row r="159" spans="3:12" ht="18" customHeight="1" x14ac:dyDescent="0.3">
      <c r="C159" s="191"/>
      <c r="D159" s="191"/>
      <c r="E159" s="192"/>
      <c r="F159" s="11"/>
      <c r="G159" s="11"/>
      <c r="K159" s="199"/>
      <c r="L159" s="200"/>
    </row>
    <row r="160" spans="3:12" ht="18" customHeight="1" x14ac:dyDescent="0.3">
      <c r="C160" s="191"/>
      <c r="D160" s="191"/>
      <c r="E160" s="192"/>
      <c r="F160" s="11"/>
      <c r="G160" s="11"/>
      <c r="K160" s="199"/>
      <c r="L160" s="200"/>
    </row>
    <row r="161" spans="3:12" ht="18" customHeight="1" x14ac:dyDescent="0.3">
      <c r="C161" s="191"/>
      <c r="D161" s="191"/>
      <c r="E161" s="192"/>
      <c r="F161" s="11"/>
      <c r="G161" s="11"/>
      <c r="K161" s="199"/>
      <c r="L161" s="200"/>
    </row>
    <row r="162" spans="3:12" ht="18" customHeight="1" x14ac:dyDescent="0.3">
      <c r="C162" s="191"/>
      <c r="D162" s="191"/>
      <c r="E162" s="192"/>
      <c r="F162" s="11"/>
      <c r="G162" s="11"/>
      <c r="K162" s="199"/>
      <c r="L162" s="200"/>
    </row>
    <row r="163" spans="3:12" ht="18" customHeight="1" x14ac:dyDescent="0.3">
      <c r="C163" s="191"/>
      <c r="D163" s="191"/>
      <c r="E163" s="192"/>
      <c r="F163" s="11"/>
      <c r="G163" s="11"/>
      <c r="K163" s="199"/>
      <c r="L163" s="200"/>
    </row>
    <row r="164" spans="3:12" ht="18" customHeight="1" x14ac:dyDescent="0.3">
      <c r="C164" s="191"/>
      <c r="D164" s="191"/>
      <c r="E164" s="192"/>
      <c r="F164" s="11"/>
      <c r="G164" s="11"/>
      <c r="K164" s="199"/>
      <c r="L164" s="200"/>
    </row>
    <row r="165" spans="3:12" ht="18" customHeight="1" x14ac:dyDescent="0.3">
      <c r="C165" s="191"/>
      <c r="D165" s="191"/>
      <c r="E165" s="192"/>
      <c r="F165" s="11"/>
      <c r="G165" s="11"/>
      <c r="K165" s="199"/>
      <c r="L165" s="200"/>
    </row>
    <row r="166" spans="3:12" ht="18" customHeight="1" x14ac:dyDescent="0.3">
      <c r="C166" s="191"/>
      <c r="D166" s="191"/>
      <c r="E166" s="192"/>
      <c r="F166" s="11"/>
      <c r="G166" s="11"/>
      <c r="K166" s="199"/>
      <c r="L166" s="200"/>
    </row>
    <row r="167" spans="3:12" ht="18" customHeight="1" x14ac:dyDescent="0.3">
      <c r="C167" s="191"/>
      <c r="D167" s="191"/>
      <c r="E167" s="192"/>
      <c r="F167" s="11"/>
      <c r="G167" s="11"/>
      <c r="K167" s="199"/>
      <c r="L167" s="200"/>
    </row>
    <row r="168" spans="3:12" ht="18" customHeight="1" x14ac:dyDescent="0.3">
      <c r="C168" s="191"/>
      <c r="D168" s="191"/>
      <c r="E168" s="192"/>
      <c r="F168" s="11"/>
      <c r="G168" s="11"/>
      <c r="K168" s="199"/>
      <c r="L168" s="200"/>
    </row>
    <row r="169" spans="3:12" ht="18" customHeight="1" x14ac:dyDescent="0.3">
      <c r="C169" s="191"/>
      <c r="D169" s="191"/>
      <c r="E169" s="192"/>
      <c r="F169" s="11"/>
      <c r="G169" s="11"/>
      <c r="K169" s="199"/>
      <c r="L169" s="200"/>
    </row>
    <row r="170" spans="3:12" ht="18" customHeight="1" x14ac:dyDescent="0.3">
      <c r="C170" s="191"/>
      <c r="D170" s="191"/>
      <c r="E170" s="192"/>
      <c r="F170" s="11"/>
      <c r="G170" s="11"/>
      <c r="K170" s="199"/>
      <c r="L170" s="200"/>
    </row>
    <row r="171" spans="3:12" ht="18" customHeight="1" x14ac:dyDescent="0.3">
      <c r="C171" s="191"/>
      <c r="D171" s="191"/>
      <c r="E171" s="192"/>
      <c r="F171" s="11"/>
      <c r="G171" s="11"/>
      <c r="K171" s="199"/>
      <c r="L171" s="200"/>
    </row>
    <row r="172" spans="3:12" ht="18" customHeight="1" x14ac:dyDescent="0.3">
      <c r="C172" s="191"/>
      <c r="D172" s="191"/>
      <c r="E172" s="192"/>
      <c r="F172" s="11"/>
      <c r="G172" s="11"/>
      <c r="K172" s="199"/>
      <c r="L172" s="200"/>
    </row>
    <row r="173" spans="3:12" ht="18" customHeight="1" x14ac:dyDescent="0.3">
      <c r="C173" s="191"/>
      <c r="D173" s="191"/>
      <c r="E173" s="192"/>
      <c r="F173" s="11"/>
      <c r="G173" s="11"/>
      <c r="K173" s="199"/>
      <c r="L173" s="200"/>
    </row>
    <row r="174" spans="3:12" ht="18" customHeight="1" x14ac:dyDescent="0.3">
      <c r="C174" s="191"/>
      <c r="D174" s="191"/>
      <c r="E174" s="192"/>
      <c r="F174" s="11"/>
      <c r="G174" s="11"/>
      <c r="K174" s="199"/>
      <c r="L174" s="200"/>
    </row>
    <row r="175" spans="3:12" ht="18" customHeight="1" x14ac:dyDescent="0.3">
      <c r="C175" s="191"/>
      <c r="D175" s="191"/>
      <c r="E175" s="192"/>
      <c r="F175" s="11"/>
      <c r="G175" s="11"/>
      <c r="K175" s="199"/>
      <c r="L175" s="200"/>
    </row>
    <row r="176" spans="3:12" ht="18" customHeight="1" x14ac:dyDescent="0.3">
      <c r="C176" s="191"/>
      <c r="D176" s="191"/>
      <c r="E176" s="192"/>
      <c r="F176" s="11"/>
      <c r="G176" s="11"/>
      <c r="K176" s="199"/>
      <c r="L176" s="200"/>
    </row>
    <row r="177" spans="3:12" ht="18" customHeight="1" x14ac:dyDescent="0.3">
      <c r="C177" s="191"/>
      <c r="D177" s="191"/>
      <c r="E177" s="192"/>
      <c r="F177" s="11"/>
      <c r="G177" s="11"/>
      <c r="K177" s="199"/>
      <c r="L177" s="200"/>
    </row>
    <row r="178" spans="3:12" ht="18" customHeight="1" x14ac:dyDescent="0.3">
      <c r="C178" s="191"/>
      <c r="D178" s="191"/>
      <c r="E178" s="192"/>
      <c r="F178" s="11"/>
      <c r="G178" s="11"/>
      <c r="K178" s="199"/>
      <c r="L178" s="200"/>
    </row>
    <row r="179" spans="3:12" ht="18" customHeight="1" x14ac:dyDescent="0.3">
      <c r="C179" s="191"/>
      <c r="D179" s="191"/>
      <c r="E179" s="192"/>
      <c r="F179" s="11"/>
      <c r="G179" s="11"/>
      <c r="K179" s="199"/>
      <c r="L179" s="200"/>
    </row>
    <row r="180" spans="3:12" ht="18" customHeight="1" x14ac:dyDescent="0.3">
      <c r="C180" s="191"/>
      <c r="D180" s="191"/>
      <c r="E180" s="192"/>
      <c r="F180" s="11"/>
      <c r="G180" s="11"/>
      <c r="K180" s="199"/>
      <c r="L180" s="200"/>
    </row>
    <row r="181" spans="3:12" ht="18" customHeight="1" x14ac:dyDescent="0.3">
      <c r="C181" s="191"/>
      <c r="D181" s="191"/>
      <c r="E181" s="192"/>
      <c r="F181" s="11"/>
      <c r="G181" s="11"/>
      <c r="K181" s="199"/>
      <c r="L181" s="200"/>
    </row>
    <row r="182" spans="3:12" ht="18" customHeight="1" x14ac:dyDescent="0.3">
      <c r="C182" s="191"/>
      <c r="D182" s="191"/>
      <c r="E182" s="192"/>
      <c r="F182" s="11"/>
      <c r="G182" s="11"/>
      <c r="K182" s="199"/>
      <c r="L182" s="200"/>
    </row>
    <row r="183" spans="3:12" ht="18" customHeight="1" x14ac:dyDescent="0.3">
      <c r="C183" s="191"/>
      <c r="D183" s="191"/>
      <c r="E183" s="192"/>
      <c r="F183" s="11"/>
      <c r="G183" s="11"/>
      <c r="K183" s="199"/>
      <c r="L183" s="200"/>
    </row>
    <row r="184" spans="3:12" ht="18" customHeight="1" x14ac:dyDescent="0.3">
      <c r="C184" s="191"/>
      <c r="D184" s="191"/>
      <c r="E184" s="192"/>
      <c r="F184" s="11"/>
      <c r="G184" s="11"/>
      <c r="K184" s="199"/>
      <c r="L184" s="200"/>
    </row>
    <row r="185" spans="3:12" ht="18" customHeight="1" x14ac:dyDescent="0.3">
      <c r="C185" s="191"/>
      <c r="D185" s="191"/>
      <c r="E185" s="192"/>
      <c r="F185" s="11"/>
      <c r="G185" s="11"/>
      <c r="K185" s="199"/>
      <c r="L185" s="200"/>
    </row>
    <row r="186" spans="3:12" ht="18" customHeight="1" x14ac:dyDescent="0.3">
      <c r="C186" s="191"/>
      <c r="D186" s="191"/>
      <c r="E186" s="192"/>
      <c r="F186" s="11"/>
      <c r="G186" s="11"/>
      <c r="K186" s="199"/>
      <c r="L186" s="200"/>
    </row>
    <row r="187" spans="3:12" ht="18" customHeight="1" x14ac:dyDescent="0.3">
      <c r="C187" s="191"/>
      <c r="D187" s="191"/>
      <c r="E187" s="192"/>
      <c r="F187" s="11"/>
      <c r="G187" s="11"/>
      <c r="K187" s="199"/>
      <c r="L187" s="200"/>
    </row>
    <row r="188" spans="3:12" ht="18" customHeight="1" x14ac:dyDescent="0.3">
      <c r="C188" s="191"/>
      <c r="D188" s="191"/>
      <c r="E188" s="192"/>
      <c r="F188" s="11"/>
      <c r="G188" s="11"/>
      <c r="K188" s="199"/>
      <c r="L188" s="200"/>
    </row>
    <row r="189" spans="3:12" ht="18" customHeight="1" x14ac:dyDescent="0.3">
      <c r="C189" s="191"/>
      <c r="D189" s="191"/>
      <c r="E189" s="192"/>
      <c r="F189" s="11"/>
      <c r="G189" s="11"/>
      <c r="K189" s="199"/>
      <c r="L189" s="200"/>
    </row>
    <row r="190" spans="3:12" ht="18" customHeight="1" x14ac:dyDescent="0.3">
      <c r="C190" s="191"/>
      <c r="D190" s="191"/>
      <c r="E190" s="192"/>
      <c r="F190" s="11"/>
      <c r="G190" s="11"/>
      <c r="K190" s="199"/>
      <c r="L190" s="200"/>
    </row>
    <row r="191" spans="3:12" ht="18" customHeight="1" x14ac:dyDescent="0.3">
      <c r="C191" s="191"/>
      <c r="D191" s="191"/>
      <c r="E191" s="192"/>
      <c r="F191" s="11"/>
      <c r="G191" s="11"/>
      <c r="K191" s="199"/>
      <c r="L191" s="200"/>
    </row>
    <row r="192" spans="3:12" ht="18" customHeight="1" x14ac:dyDescent="0.3">
      <c r="C192" s="191"/>
      <c r="D192" s="191"/>
      <c r="E192" s="192"/>
      <c r="F192" s="11"/>
      <c r="G192" s="11"/>
      <c r="K192" s="199"/>
      <c r="L192" s="200"/>
    </row>
    <row r="193" spans="3:12" ht="18" customHeight="1" x14ac:dyDescent="0.3">
      <c r="C193" s="191"/>
      <c r="D193" s="191"/>
      <c r="E193" s="192"/>
      <c r="F193" s="11"/>
      <c r="G193" s="11"/>
      <c r="K193" s="199"/>
      <c r="L193" s="200"/>
    </row>
    <row r="194" spans="3:12" ht="18" customHeight="1" x14ac:dyDescent="0.3">
      <c r="C194" s="191"/>
      <c r="D194" s="191"/>
      <c r="E194" s="192"/>
      <c r="F194" s="11"/>
      <c r="G194" s="11"/>
      <c r="K194" s="199"/>
      <c r="L194" s="200"/>
    </row>
    <row r="195" spans="3:12" ht="18" customHeight="1" x14ac:dyDescent="0.3">
      <c r="C195" s="191"/>
      <c r="D195" s="191"/>
      <c r="E195" s="192"/>
      <c r="F195" s="11"/>
      <c r="G195" s="11"/>
      <c r="K195" s="199"/>
      <c r="L195" s="200"/>
    </row>
    <row r="196" spans="3:12" ht="18" customHeight="1" x14ac:dyDescent="0.3">
      <c r="C196" s="191"/>
      <c r="D196" s="191"/>
      <c r="E196" s="192"/>
      <c r="F196" s="11"/>
      <c r="G196" s="11"/>
      <c r="K196" s="199"/>
      <c r="L196" s="200"/>
    </row>
    <row r="197" spans="3:12" ht="18" customHeight="1" x14ac:dyDescent="0.3">
      <c r="C197" s="191"/>
      <c r="D197" s="191"/>
      <c r="E197" s="192"/>
      <c r="F197" s="11"/>
      <c r="G197" s="11"/>
      <c r="K197" s="199"/>
      <c r="L197" s="200"/>
    </row>
    <row r="198" spans="3:12" ht="18" customHeight="1" x14ac:dyDescent="0.3">
      <c r="C198" s="191"/>
      <c r="D198" s="191"/>
      <c r="E198" s="192"/>
      <c r="F198" s="11"/>
      <c r="G198" s="11"/>
      <c r="K198" s="199"/>
      <c r="L198" s="200"/>
    </row>
    <row r="199" spans="3:12" ht="18" customHeight="1" x14ac:dyDescent="0.3">
      <c r="C199" s="191"/>
      <c r="D199" s="191"/>
      <c r="E199" s="192"/>
      <c r="F199" s="11"/>
      <c r="G199" s="11"/>
      <c r="K199" s="199"/>
      <c r="L199" s="200"/>
    </row>
    <row r="200" spans="3:12" ht="18" customHeight="1" x14ac:dyDescent="0.3">
      <c r="C200" s="191"/>
      <c r="D200" s="191"/>
      <c r="E200" s="192"/>
      <c r="F200" s="11"/>
      <c r="G200" s="11"/>
      <c r="K200" s="199"/>
      <c r="L200" s="200"/>
    </row>
    <row r="201" spans="3:12" ht="18" customHeight="1" x14ac:dyDescent="0.3">
      <c r="C201" s="191"/>
      <c r="D201" s="191"/>
      <c r="E201" s="192"/>
      <c r="F201" s="11"/>
      <c r="G201" s="11"/>
      <c r="K201" s="199"/>
      <c r="L201" s="200"/>
    </row>
    <row r="202" spans="3:12" ht="18" customHeight="1" x14ac:dyDescent="0.3">
      <c r="C202" s="191"/>
      <c r="D202" s="191"/>
      <c r="E202" s="192"/>
      <c r="F202" s="11"/>
      <c r="G202" s="11"/>
      <c r="K202" s="199"/>
      <c r="L202" s="200"/>
    </row>
    <row r="203" spans="3:12" ht="18" customHeight="1" x14ac:dyDescent="0.3">
      <c r="C203" s="191"/>
      <c r="D203" s="191"/>
      <c r="E203" s="192"/>
      <c r="F203" s="11"/>
      <c r="G203" s="11"/>
      <c r="K203" s="199"/>
      <c r="L203" s="200"/>
    </row>
    <row r="204" spans="3:12" ht="18" customHeight="1" x14ac:dyDescent="0.3">
      <c r="C204" s="191"/>
      <c r="D204" s="191"/>
      <c r="E204" s="192"/>
      <c r="F204" s="11"/>
      <c r="G204" s="11"/>
      <c r="K204" s="199"/>
      <c r="L204" s="200"/>
    </row>
    <row r="205" spans="3:12" ht="18" customHeight="1" x14ac:dyDescent="0.3">
      <c r="C205" s="191"/>
      <c r="D205" s="191"/>
      <c r="E205" s="192"/>
      <c r="F205" s="11"/>
      <c r="G205" s="11"/>
      <c r="K205" s="199"/>
      <c r="L205" s="200"/>
    </row>
    <row r="206" spans="3:12" ht="18" customHeight="1" x14ac:dyDescent="0.3">
      <c r="C206" s="191"/>
      <c r="D206" s="191"/>
      <c r="E206" s="192"/>
      <c r="F206" s="11"/>
      <c r="G206" s="11"/>
      <c r="K206" s="199"/>
      <c r="L206" s="200"/>
    </row>
    <row r="207" spans="3:12" ht="18" customHeight="1" x14ac:dyDescent="0.3">
      <c r="C207" s="191"/>
      <c r="D207" s="191"/>
      <c r="E207" s="192"/>
      <c r="F207" s="11"/>
      <c r="G207" s="11"/>
      <c r="K207" s="199"/>
      <c r="L207" s="200"/>
    </row>
    <row r="208" spans="3:12" ht="18" customHeight="1" x14ac:dyDescent="0.3">
      <c r="C208" s="191"/>
      <c r="D208" s="191"/>
      <c r="E208" s="192"/>
      <c r="F208" s="11"/>
      <c r="G208" s="11"/>
      <c r="K208" s="199"/>
      <c r="L208" s="200"/>
    </row>
    <row r="209" spans="3:12" ht="18" customHeight="1" x14ac:dyDescent="0.3">
      <c r="C209" s="191"/>
      <c r="D209" s="191"/>
      <c r="E209" s="192"/>
      <c r="F209" s="11"/>
      <c r="G209" s="11"/>
      <c r="K209" s="199"/>
      <c r="L209" s="200"/>
    </row>
    <row r="210" spans="3:12" ht="18" customHeight="1" x14ac:dyDescent="0.3">
      <c r="C210" s="191"/>
      <c r="D210" s="191"/>
      <c r="E210" s="192"/>
      <c r="F210" s="11"/>
      <c r="G210" s="11"/>
      <c r="K210" s="199"/>
      <c r="L210" s="200"/>
    </row>
    <row r="211" spans="3:12" ht="18" customHeight="1" x14ac:dyDescent="0.3">
      <c r="C211" s="191"/>
      <c r="D211" s="191"/>
      <c r="E211" s="192"/>
      <c r="F211" s="11"/>
      <c r="G211" s="11"/>
      <c r="K211" s="199"/>
      <c r="L211" s="200"/>
    </row>
    <row r="212" spans="3:12" ht="18" customHeight="1" x14ac:dyDescent="0.3">
      <c r="C212" s="191"/>
      <c r="D212" s="191"/>
      <c r="E212" s="192"/>
      <c r="F212" s="11"/>
      <c r="G212" s="11"/>
      <c r="K212" s="199"/>
      <c r="L212" s="200"/>
    </row>
    <row r="213" spans="3:12" ht="18" customHeight="1" x14ac:dyDescent="0.3">
      <c r="C213" s="191"/>
      <c r="D213" s="191"/>
      <c r="E213" s="192"/>
      <c r="F213" s="11"/>
      <c r="G213" s="11"/>
      <c r="K213" s="199"/>
      <c r="L213" s="200"/>
    </row>
    <row r="214" spans="3:12" ht="18" customHeight="1" x14ac:dyDescent="0.3">
      <c r="C214" s="191"/>
      <c r="D214" s="191"/>
      <c r="E214" s="192"/>
      <c r="F214" s="11"/>
      <c r="G214" s="11"/>
      <c r="K214" s="199"/>
      <c r="L214" s="200"/>
    </row>
    <row r="215" spans="3:12" ht="18" customHeight="1" x14ac:dyDescent="0.3">
      <c r="C215" s="191"/>
      <c r="D215" s="191"/>
      <c r="E215" s="192"/>
      <c r="F215" s="11"/>
      <c r="G215" s="11"/>
      <c r="K215" s="199"/>
      <c r="L215" s="200"/>
    </row>
    <row r="216" spans="3:12" ht="18" customHeight="1" x14ac:dyDescent="0.3">
      <c r="C216" s="191"/>
      <c r="D216" s="191"/>
      <c r="E216" s="192"/>
      <c r="F216" s="11"/>
      <c r="G216" s="11"/>
      <c r="K216" s="199"/>
      <c r="L216" s="200"/>
    </row>
    <row r="217" spans="3:12" ht="18" customHeight="1" x14ac:dyDescent="0.3">
      <c r="C217" s="191"/>
      <c r="D217" s="191"/>
      <c r="E217" s="192"/>
      <c r="F217" s="11"/>
      <c r="G217" s="11"/>
      <c r="K217" s="199"/>
      <c r="L217" s="200"/>
    </row>
    <row r="218" spans="3:12" ht="18" customHeight="1" x14ac:dyDescent="0.3">
      <c r="C218" s="191"/>
      <c r="D218" s="191"/>
      <c r="E218" s="192"/>
      <c r="F218" s="11"/>
      <c r="G218" s="11"/>
      <c r="K218" s="199"/>
      <c r="L218" s="200"/>
    </row>
    <row r="219" spans="3:12" ht="18" customHeight="1" x14ac:dyDescent="0.3">
      <c r="C219" s="191"/>
      <c r="D219" s="191"/>
      <c r="E219" s="192"/>
      <c r="F219" s="11"/>
      <c r="G219" s="11"/>
      <c r="K219" s="199"/>
      <c r="L219" s="200"/>
    </row>
    <row r="220" spans="3:12" ht="18" customHeight="1" x14ac:dyDescent="0.3">
      <c r="C220" s="191"/>
      <c r="D220" s="191"/>
      <c r="E220" s="192"/>
      <c r="F220" s="11"/>
      <c r="G220" s="11"/>
      <c r="K220" s="199"/>
      <c r="L220" s="200"/>
    </row>
    <row r="221" spans="3:12" ht="18" customHeight="1" x14ac:dyDescent="0.3">
      <c r="C221" s="191"/>
      <c r="D221" s="191"/>
      <c r="E221" s="192"/>
      <c r="F221" s="11"/>
      <c r="G221" s="11"/>
      <c r="K221" s="199"/>
      <c r="L221" s="200"/>
    </row>
    <row r="222" spans="3:12" ht="18" customHeight="1" x14ac:dyDescent="0.3">
      <c r="C222" s="191"/>
      <c r="D222" s="191"/>
      <c r="E222" s="192"/>
      <c r="F222" s="11"/>
      <c r="G222" s="11"/>
      <c r="K222" s="199"/>
      <c r="L222" s="200"/>
    </row>
    <row r="223" spans="3:12" ht="18" customHeight="1" x14ac:dyDescent="0.3">
      <c r="C223" s="191"/>
      <c r="D223" s="191"/>
      <c r="E223" s="192"/>
      <c r="F223" s="11"/>
      <c r="G223" s="11"/>
      <c r="K223" s="199"/>
      <c r="L223" s="200"/>
    </row>
    <row r="224" spans="3:12" ht="18" customHeight="1" x14ac:dyDescent="0.3">
      <c r="C224" s="191"/>
      <c r="D224" s="191"/>
      <c r="E224" s="192"/>
      <c r="F224" s="11"/>
      <c r="G224" s="11"/>
      <c r="K224" s="199"/>
      <c r="L224" s="200"/>
    </row>
    <row r="225" spans="3:12" ht="18" customHeight="1" x14ac:dyDescent="0.3">
      <c r="C225" s="191"/>
      <c r="D225" s="191"/>
      <c r="E225" s="192"/>
      <c r="F225" s="11"/>
      <c r="G225" s="11"/>
      <c r="K225" s="199"/>
      <c r="L225" s="200"/>
    </row>
    <row r="226" spans="3:12" ht="18" customHeight="1" x14ac:dyDescent="0.3">
      <c r="C226" s="191"/>
      <c r="D226" s="191"/>
      <c r="E226" s="192"/>
      <c r="F226" s="11"/>
      <c r="G226" s="11"/>
      <c r="K226" s="199"/>
      <c r="L226" s="200"/>
    </row>
    <row r="227" spans="3:12" ht="18" customHeight="1" x14ac:dyDescent="0.3">
      <c r="C227" s="191"/>
      <c r="D227" s="191"/>
      <c r="E227" s="192"/>
      <c r="F227" s="11"/>
      <c r="G227" s="11"/>
      <c r="K227" s="199"/>
      <c r="L227" s="200"/>
    </row>
    <row r="228" spans="3:12" ht="18" customHeight="1" x14ac:dyDescent="0.3">
      <c r="C228" s="191"/>
      <c r="D228" s="191"/>
      <c r="E228" s="192"/>
      <c r="F228" s="11"/>
      <c r="G228" s="11"/>
      <c r="K228" s="199"/>
      <c r="L228" s="200"/>
    </row>
    <row r="229" spans="3:12" ht="18" customHeight="1" x14ac:dyDescent="0.3">
      <c r="C229" s="191"/>
      <c r="D229" s="191"/>
      <c r="E229" s="192"/>
      <c r="F229" s="11"/>
      <c r="G229" s="11"/>
      <c r="K229" s="199"/>
      <c r="L229" s="200"/>
    </row>
    <row r="230" spans="3:12" ht="18" customHeight="1" x14ac:dyDescent="0.3">
      <c r="C230" s="191"/>
      <c r="D230" s="191"/>
      <c r="E230" s="192"/>
      <c r="F230" s="11"/>
      <c r="G230" s="11"/>
      <c r="K230" s="199"/>
      <c r="L230" s="200"/>
    </row>
    <row r="231" spans="3:12" ht="18" customHeight="1" x14ac:dyDescent="0.3">
      <c r="C231" s="191"/>
      <c r="D231" s="191"/>
      <c r="E231" s="192"/>
      <c r="F231" s="11"/>
      <c r="G231" s="11"/>
      <c r="K231" s="199"/>
      <c r="L231" s="200"/>
    </row>
  </sheetData>
  <conditionalFormatting sqref="G8:G15 F44:H45 K44:L45 F17:G43">
    <cfRule type="expression" dxfId="26" priority="16">
      <formula>$B8=1</formula>
    </cfRule>
    <cfRule type="expression" dxfId="25" priority="17">
      <formula>$P8="oui"</formula>
    </cfRule>
  </conditionalFormatting>
  <conditionalFormatting sqref="G16">
    <cfRule type="expression" dxfId="24" priority="14">
      <formula>$B16=1</formula>
    </cfRule>
    <cfRule type="expression" dxfId="23" priority="15">
      <formula>$P16="oui"</formula>
    </cfRule>
  </conditionalFormatting>
  <conditionalFormatting sqref="F8:F15">
    <cfRule type="expression" dxfId="22" priority="12">
      <formula>$B8=1</formula>
    </cfRule>
    <cfRule type="expression" dxfId="21" priority="13">
      <formula>$P8="oui"</formula>
    </cfRule>
  </conditionalFormatting>
  <conditionalFormatting sqref="F16">
    <cfRule type="expression" dxfId="20" priority="10">
      <formula>$B16=1</formula>
    </cfRule>
    <cfRule type="expression" dxfId="19" priority="11">
      <formula>$P16="oui"</formula>
    </cfRule>
  </conditionalFormatting>
  <conditionalFormatting sqref="H8:H43">
    <cfRule type="expression" dxfId="18" priority="8">
      <formula>$B8=1</formula>
    </cfRule>
    <cfRule type="expression" dxfId="17" priority="9">
      <formula>$P8="oui"</formula>
    </cfRule>
  </conditionalFormatting>
  <conditionalFormatting sqref="K8:L43">
    <cfRule type="expression" dxfId="16" priority="4">
      <formula>$B8=1</formula>
    </cfRule>
    <cfRule type="expression" dxfId="15" priority="5">
      <formula>$P8="oui"</formula>
    </cfRule>
  </conditionalFormatting>
  <conditionalFormatting sqref="K230:L231">
    <cfRule type="expression" dxfId="14" priority="18">
      <formula>$B230=1</formula>
    </cfRule>
    <cfRule type="expression" dxfId="13" priority="19">
      <formula>$P228="oui"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4817" r:id="rId3" name="CommandButton1">
          <controlPr defaultSize="0" autoLine="0" r:id="rId4">
            <anchor moveWithCells="1">
              <from>
                <xdr:col>5</xdr:col>
                <xdr:colOff>320040</xdr:colOff>
                <xdr:row>1</xdr:row>
                <xdr:rowOff>213360</xdr:rowOff>
              </from>
              <to>
                <xdr:col>5</xdr:col>
                <xdr:colOff>3108960</xdr:colOff>
                <xdr:row>4</xdr:row>
                <xdr:rowOff>76200</xdr:rowOff>
              </to>
            </anchor>
          </controlPr>
        </control>
      </mc:Choice>
      <mc:Fallback>
        <control shapeId="34817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AE307C74-298C-4DEE-BD62-2718B8649D2F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E8:E43</xm:sqref>
        </x14:conditionalFormatting>
        <x14:conditionalFormatting xmlns:xm="http://schemas.microsoft.com/office/excel/2006/main">
          <x14:cfRule type="iconSet" priority="2" id="{619BFCD7-63EC-4CE2-8921-56683D261098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D8:D43</xm:sqref>
        </x14:conditionalFormatting>
        <x14:conditionalFormatting xmlns:xm="http://schemas.microsoft.com/office/excel/2006/main">
          <x14:cfRule type="iconSet" priority="1" id="{B27BD229-BECB-4B7D-AC70-047B2739852C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C8:C43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7A6C8-54D4-4F36-A4C7-0D7FCF5D9FCD}">
  <sheetPr codeName="Feuil9">
    <tabColor theme="9" tint="0.59999389629810485"/>
  </sheetPr>
  <dimension ref="A1:M36"/>
  <sheetViews>
    <sheetView showGridLines="0" showRowColHeaders="0" zoomScale="85" zoomScaleNormal="85" workbookViewId="0">
      <selection activeCell="G27" sqref="G27"/>
    </sheetView>
  </sheetViews>
  <sheetFormatPr baseColWidth="10" defaultRowHeight="18" customHeight="1" x14ac:dyDescent="0.3"/>
  <cols>
    <col min="1" max="1" width="4.33203125" style="137" customWidth="1"/>
    <col min="2" max="2" width="16" customWidth="1"/>
    <col min="3" max="3" width="6.6640625" customWidth="1"/>
    <col min="4" max="4" width="11.5546875" customWidth="1"/>
    <col min="5" max="5" width="5.6640625" customWidth="1"/>
    <col min="6" max="6" width="54.33203125" customWidth="1"/>
    <col min="7" max="7" width="25.21875" customWidth="1"/>
    <col min="8" max="8" width="12.6640625" customWidth="1"/>
    <col min="11" max="11" width="10.5546875" style="77" customWidth="1"/>
    <col min="12" max="12" width="16.44140625" customWidth="1"/>
    <col min="13" max="13" width="11.5546875" style="77"/>
  </cols>
  <sheetData>
    <row r="1" spans="1:13" ht="4.2" customHeight="1" x14ac:dyDescent="0.3"/>
    <row r="2" spans="1:13" ht="18" customHeight="1" x14ac:dyDescent="0.3">
      <c r="E2" s="44"/>
      <c r="F2" s="44"/>
    </row>
    <row r="3" spans="1:13" ht="18" customHeight="1" x14ac:dyDescent="0.3">
      <c r="B3" s="44"/>
      <c r="C3" s="44"/>
      <c r="D3" s="44"/>
      <c r="E3" s="44"/>
      <c r="F3" s="44"/>
    </row>
    <row r="4" spans="1:13" ht="18" customHeight="1" x14ac:dyDescent="0.3">
      <c r="B4" s="44"/>
      <c r="C4" s="44"/>
      <c r="D4" s="44"/>
      <c r="E4" s="44"/>
      <c r="F4" s="44"/>
    </row>
    <row r="7" spans="1:13" ht="18" customHeight="1" x14ac:dyDescent="0.3">
      <c r="B7" s="22" t="s">
        <v>5</v>
      </c>
      <c r="C7" s="6" t="s">
        <v>224</v>
      </c>
      <c r="D7" s="6" t="s">
        <v>223</v>
      </c>
      <c r="E7" s="6" t="s">
        <v>222</v>
      </c>
      <c r="F7" s="45" t="s">
        <v>0</v>
      </c>
      <c r="G7" s="45" t="s">
        <v>1</v>
      </c>
      <c r="H7" s="45" t="s">
        <v>2</v>
      </c>
      <c r="I7" s="45" t="s">
        <v>235</v>
      </c>
      <c r="J7" s="45" t="s">
        <v>221</v>
      </c>
      <c r="K7" s="78" t="s">
        <v>3</v>
      </c>
      <c r="L7" s="45" t="s">
        <v>333</v>
      </c>
      <c r="M7" s="79" t="s">
        <v>4</v>
      </c>
    </row>
    <row r="8" spans="1:13" ht="18" customHeight="1" x14ac:dyDescent="0.3">
      <c r="A8" s="137">
        <f>IF(F8&lt;&gt;"",ROW()-7,"")</f>
        <v>1</v>
      </c>
      <c r="C8" s="48">
        <f>IF(Tableau812[[#This Row],[STOCK REEL]]&lt;=0,1,"")</f>
        <v>1</v>
      </c>
      <c r="D8" s="48">
        <f>IF(Tableau812[[#This Row],[STOCK REEL]]&lt;=Tableau812[[#This Row],[MINI]],1,"")</f>
        <v>1</v>
      </c>
      <c r="E8" s="49">
        <f>IF(Tableau812[[#This Row],[STOCK REEL]]&gt;=Tableau812[[#This Row],[MINI]],1,"")</f>
        <v>1</v>
      </c>
      <c r="F8" s="72" t="s">
        <v>101</v>
      </c>
      <c r="G8" s="50"/>
      <c r="H8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8" s="51"/>
      <c r="J8" s="51"/>
      <c r="K8" s="80">
        <v>0</v>
      </c>
      <c r="L8" s="74" t="s">
        <v>533</v>
      </c>
      <c r="M8" s="77">
        <f t="shared" ref="M8:M26" si="0">IFERROR(K8*H8,"")</f>
        <v>0</v>
      </c>
    </row>
    <row r="9" spans="1:13" ht="18" customHeight="1" x14ac:dyDescent="0.3">
      <c r="A9" s="137">
        <f t="shared" ref="A9:A26" si="1">IF(F9&lt;&gt;"",ROW()-7,"")</f>
        <v>2</v>
      </c>
      <c r="C9" s="48">
        <f>IF(Tableau812[[#This Row],[STOCK REEL]]&lt;=0,1,"")</f>
        <v>1</v>
      </c>
      <c r="D9" s="48">
        <f>IF(Tableau812[[#This Row],[STOCK REEL]]&lt;=Tableau812[[#This Row],[MINI]],1,"")</f>
        <v>1</v>
      </c>
      <c r="E9" s="49">
        <f>IF(Tableau812[[#This Row],[STOCK REEL]]&gt;=Tableau812[[#This Row],[MINI]],1,"")</f>
        <v>1</v>
      </c>
      <c r="F9" s="72" t="s">
        <v>102</v>
      </c>
      <c r="G9" s="50"/>
      <c r="H9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9" s="51"/>
      <c r="J9" s="51"/>
      <c r="K9" s="80">
        <v>0</v>
      </c>
      <c r="L9" s="74" t="s">
        <v>533</v>
      </c>
      <c r="M9" s="77">
        <f t="shared" si="0"/>
        <v>0</v>
      </c>
    </row>
    <row r="10" spans="1:13" ht="18" customHeight="1" x14ac:dyDescent="0.3">
      <c r="A10" s="137">
        <f t="shared" si="1"/>
        <v>3</v>
      </c>
      <c r="C10" s="48">
        <f>IF(Tableau812[[#This Row],[STOCK REEL]]&lt;=0,1,"")</f>
        <v>1</v>
      </c>
      <c r="D10" s="48">
        <f>IF(Tableau812[[#This Row],[STOCK REEL]]&lt;=Tableau812[[#This Row],[MINI]],1,"")</f>
        <v>1</v>
      </c>
      <c r="E10" s="49">
        <f>IF(Tableau812[[#This Row],[STOCK REEL]]&gt;=Tableau812[[#This Row],[MINI]],1,"")</f>
        <v>1</v>
      </c>
      <c r="F10" s="72" t="s">
        <v>103</v>
      </c>
      <c r="G10" s="50"/>
      <c r="H10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0" s="51"/>
      <c r="J10" s="51"/>
      <c r="K10" s="80">
        <v>0</v>
      </c>
      <c r="L10" s="74" t="s">
        <v>533</v>
      </c>
      <c r="M10" s="77">
        <f t="shared" si="0"/>
        <v>0</v>
      </c>
    </row>
    <row r="11" spans="1:13" ht="18" customHeight="1" x14ac:dyDescent="0.3">
      <c r="A11" s="137">
        <f t="shared" si="1"/>
        <v>4</v>
      </c>
      <c r="C11" s="48">
        <f>IF(Tableau812[[#This Row],[STOCK REEL]]&lt;=0,1,"")</f>
        <v>1</v>
      </c>
      <c r="D11" s="48">
        <f>IF(Tableau812[[#This Row],[STOCK REEL]]&lt;=Tableau812[[#This Row],[MINI]],1,"")</f>
        <v>1</v>
      </c>
      <c r="E11" s="49">
        <f>IF(Tableau812[[#This Row],[STOCK REEL]]&gt;=Tableau812[[#This Row],[MINI]],1,"")</f>
        <v>1</v>
      </c>
      <c r="F11" s="72" t="s">
        <v>104</v>
      </c>
      <c r="G11" s="50"/>
      <c r="H11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1" s="51"/>
      <c r="J11" s="51"/>
      <c r="K11" s="80">
        <v>0</v>
      </c>
      <c r="L11" s="74" t="s">
        <v>533</v>
      </c>
      <c r="M11" s="77">
        <f t="shared" si="0"/>
        <v>0</v>
      </c>
    </row>
    <row r="12" spans="1:13" ht="18" customHeight="1" x14ac:dyDescent="0.3">
      <c r="A12" s="137">
        <f t="shared" si="1"/>
        <v>5</v>
      </c>
      <c r="C12" s="48">
        <f>IF(Tableau812[[#This Row],[STOCK REEL]]&lt;=0,1,"")</f>
        <v>1</v>
      </c>
      <c r="D12" s="48">
        <f>IF(Tableau812[[#This Row],[STOCK REEL]]&lt;=Tableau812[[#This Row],[MINI]],1,"")</f>
        <v>1</v>
      </c>
      <c r="E12" s="49">
        <f>IF(Tableau812[[#This Row],[STOCK REEL]]&gt;=Tableau812[[#This Row],[MINI]],1,"")</f>
        <v>1</v>
      </c>
      <c r="F12" s="72" t="s">
        <v>105</v>
      </c>
      <c r="G12" s="50"/>
      <c r="H12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2" s="51"/>
      <c r="J12" s="51"/>
      <c r="K12" s="80">
        <v>0</v>
      </c>
      <c r="L12" s="74" t="s">
        <v>533</v>
      </c>
      <c r="M12" s="77">
        <f t="shared" si="0"/>
        <v>0</v>
      </c>
    </row>
    <row r="13" spans="1:13" ht="18" customHeight="1" x14ac:dyDescent="0.3">
      <c r="A13" s="137">
        <f t="shared" si="1"/>
        <v>6</v>
      </c>
      <c r="C13" s="48">
        <f>IF(Tableau812[[#This Row],[STOCK REEL]]&lt;=0,1,"")</f>
        <v>1</v>
      </c>
      <c r="D13" s="48">
        <f>IF(Tableau812[[#This Row],[STOCK REEL]]&lt;=Tableau812[[#This Row],[MINI]],1,"")</f>
        <v>1</v>
      </c>
      <c r="E13" s="49">
        <f>IF(Tableau812[[#This Row],[STOCK REEL]]&gt;=Tableau812[[#This Row],[MINI]],1,"")</f>
        <v>1</v>
      </c>
      <c r="F13" s="72" t="s">
        <v>106</v>
      </c>
      <c r="G13" s="50"/>
      <c r="H13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3" s="51"/>
      <c r="J13" s="51"/>
      <c r="K13" s="80">
        <v>0</v>
      </c>
      <c r="L13" s="74" t="s">
        <v>533</v>
      </c>
      <c r="M13" s="77">
        <f t="shared" si="0"/>
        <v>0</v>
      </c>
    </row>
    <row r="14" spans="1:13" ht="18" customHeight="1" x14ac:dyDescent="0.3">
      <c r="A14" s="137">
        <f t="shared" si="1"/>
        <v>7</v>
      </c>
      <c r="C14" s="48">
        <f>IF(Tableau812[[#This Row],[STOCK REEL]]&lt;=0,1,"")</f>
        <v>1</v>
      </c>
      <c r="D14" s="48">
        <f>IF(Tableau812[[#This Row],[STOCK REEL]]&lt;=Tableau812[[#This Row],[MINI]],1,"")</f>
        <v>1</v>
      </c>
      <c r="E14" s="49">
        <f>IF(Tableau812[[#This Row],[STOCK REEL]]&gt;=Tableau812[[#This Row],[MINI]],1,"")</f>
        <v>1</v>
      </c>
      <c r="F14" s="72" t="s">
        <v>107</v>
      </c>
      <c r="G14" s="50"/>
      <c r="H14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4" s="51"/>
      <c r="J14" s="51"/>
      <c r="K14" s="80">
        <v>0</v>
      </c>
      <c r="L14" s="74" t="s">
        <v>533</v>
      </c>
      <c r="M14" s="77">
        <f t="shared" si="0"/>
        <v>0</v>
      </c>
    </row>
    <row r="15" spans="1:13" ht="18" customHeight="1" x14ac:dyDescent="0.3">
      <c r="A15" s="137">
        <f t="shared" si="1"/>
        <v>8</v>
      </c>
      <c r="C15" s="48">
        <f>IF(Tableau812[[#This Row],[STOCK REEL]]&lt;=0,1,"")</f>
        <v>1</v>
      </c>
      <c r="D15" s="48">
        <f>IF(Tableau812[[#This Row],[STOCK REEL]]&lt;=Tableau812[[#This Row],[MINI]],1,"")</f>
        <v>1</v>
      </c>
      <c r="E15" s="49">
        <f>IF(Tableau812[[#This Row],[STOCK REEL]]&gt;=Tableau812[[#This Row],[MINI]],1,"")</f>
        <v>1</v>
      </c>
      <c r="F15" s="72" t="s">
        <v>108</v>
      </c>
      <c r="G15" s="50"/>
      <c r="H15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5" s="51"/>
      <c r="J15" s="51"/>
      <c r="K15" s="80">
        <v>0</v>
      </c>
      <c r="L15" s="74" t="s">
        <v>533</v>
      </c>
      <c r="M15" s="77">
        <f t="shared" si="0"/>
        <v>0</v>
      </c>
    </row>
    <row r="16" spans="1:13" ht="18" customHeight="1" x14ac:dyDescent="0.3">
      <c r="A16" s="137">
        <f t="shared" si="1"/>
        <v>9</v>
      </c>
      <c r="C16" s="48">
        <f>IF(Tableau812[[#This Row],[STOCK REEL]]&lt;=0,1,"")</f>
        <v>1</v>
      </c>
      <c r="D16" s="48">
        <f>IF(Tableau812[[#This Row],[STOCK REEL]]&lt;=Tableau812[[#This Row],[MINI]],1,"")</f>
        <v>1</v>
      </c>
      <c r="E16" s="49">
        <f>IF(Tableau812[[#This Row],[STOCK REEL]]&gt;=Tableau812[[#This Row],[MINI]],1,"")</f>
        <v>1</v>
      </c>
      <c r="F16" s="72" t="s">
        <v>109</v>
      </c>
      <c r="G16" s="50"/>
      <c r="H16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6" s="51"/>
      <c r="J16" s="51"/>
      <c r="K16" s="80">
        <v>0</v>
      </c>
      <c r="L16" s="74" t="s">
        <v>533</v>
      </c>
      <c r="M16" s="77">
        <f t="shared" si="0"/>
        <v>0</v>
      </c>
    </row>
    <row r="17" spans="1:13" ht="18" customHeight="1" x14ac:dyDescent="0.3">
      <c r="A17" s="137">
        <f t="shared" si="1"/>
        <v>10</v>
      </c>
      <c r="C17" s="48">
        <f>IF(Tableau812[[#This Row],[STOCK REEL]]&lt;=0,1,"")</f>
        <v>1</v>
      </c>
      <c r="D17" s="48">
        <f>IF(Tableau812[[#This Row],[STOCK REEL]]&lt;=Tableau812[[#This Row],[MINI]],1,"")</f>
        <v>1</v>
      </c>
      <c r="E17" s="49">
        <f>IF(Tableau812[[#This Row],[STOCK REEL]]&gt;=Tableau812[[#This Row],[MINI]],1,"")</f>
        <v>1</v>
      </c>
      <c r="F17" s="72" t="s">
        <v>110</v>
      </c>
      <c r="G17" s="50"/>
      <c r="H17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7" s="51"/>
      <c r="J17" s="51"/>
      <c r="K17" s="80">
        <v>0</v>
      </c>
      <c r="L17" s="74" t="s">
        <v>533</v>
      </c>
      <c r="M17" s="77">
        <f t="shared" si="0"/>
        <v>0</v>
      </c>
    </row>
    <row r="18" spans="1:13" ht="18" customHeight="1" x14ac:dyDescent="0.3">
      <c r="A18" s="137">
        <f t="shared" si="1"/>
        <v>11</v>
      </c>
      <c r="C18" s="48">
        <f>IF(Tableau812[[#This Row],[STOCK REEL]]&lt;=0,1,"")</f>
        <v>1</v>
      </c>
      <c r="D18" s="48">
        <f>IF(Tableau812[[#This Row],[STOCK REEL]]&lt;=Tableau812[[#This Row],[MINI]],1,"")</f>
        <v>1</v>
      </c>
      <c r="E18" s="49">
        <f>IF(Tableau812[[#This Row],[STOCK REEL]]&gt;=Tableau812[[#This Row],[MINI]],1,"")</f>
        <v>1</v>
      </c>
      <c r="F18" s="72" t="s">
        <v>111</v>
      </c>
      <c r="G18" s="50"/>
      <c r="H18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8" s="51"/>
      <c r="J18" s="51"/>
      <c r="K18" s="80">
        <v>0</v>
      </c>
      <c r="L18" s="74" t="s">
        <v>533</v>
      </c>
      <c r="M18" s="77">
        <f t="shared" si="0"/>
        <v>0</v>
      </c>
    </row>
    <row r="19" spans="1:13" ht="18" customHeight="1" x14ac:dyDescent="0.3">
      <c r="A19" s="137">
        <f t="shared" si="1"/>
        <v>12</v>
      </c>
      <c r="C19" s="48">
        <f>IF(Tableau812[[#This Row],[STOCK REEL]]&lt;=0,1,"")</f>
        <v>1</v>
      </c>
      <c r="D19" s="48">
        <f>IF(Tableau812[[#This Row],[STOCK REEL]]&lt;=Tableau812[[#This Row],[MINI]],1,"")</f>
        <v>1</v>
      </c>
      <c r="E19" s="49">
        <f>IF(Tableau812[[#This Row],[STOCK REEL]]&gt;=Tableau812[[#This Row],[MINI]],1,"")</f>
        <v>1</v>
      </c>
      <c r="F19" s="72" t="s">
        <v>112</v>
      </c>
      <c r="G19" s="50"/>
      <c r="H19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19" s="51"/>
      <c r="J19" s="51"/>
      <c r="K19" s="80">
        <v>0</v>
      </c>
      <c r="L19" s="74" t="s">
        <v>533</v>
      </c>
      <c r="M19" s="77">
        <f t="shared" si="0"/>
        <v>0</v>
      </c>
    </row>
    <row r="20" spans="1:13" ht="18" customHeight="1" x14ac:dyDescent="0.3">
      <c r="A20" s="137">
        <f t="shared" si="1"/>
        <v>13</v>
      </c>
      <c r="C20" s="48">
        <f>IF(Tableau812[[#This Row],[STOCK REEL]]&lt;=0,1,"")</f>
        <v>1</v>
      </c>
      <c r="D20" s="48">
        <f>IF(Tableau812[[#This Row],[STOCK REEL]]&lt;=Tableau812[[#This Row],[MINI]],1,"")</f>
        <v>1</v>
      </c>
      <c r="E20" s="49">
        <f>IF(Tableau812[[#This Row],[STOCK REEL]]&gt;=Tableau812[[#This Row],[MINI]],1,"")</f>
        <v>1</v>
      </c>
      <c r="F20" s="72" t="s">
        <v>113</v>
      </c>
      <c r="G20" s="50"/>
      <c r="H20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20" s="51"/>
      <c r="J20" s="51"/>
      <c r="K20" s="80">
        <v>0</v>
      </c>
      <c r="L20" s="74" t="s">
        <v>533</v>
      </c>
      <c r="M20" s="77">
        <f t="shared" si="0"/>
        <v>0</v>
      </c>
    </row>
    <row r="21" spans="1:13" ht="18" customHeight="1" x14ac:dyDescent="0.3">
      <c r="A21" s="137">
        <f t="shared" si="1"/>
        <v>14</v>
      </c>
      <c r="C21" s="48">
        <f>IF(Tableau812[[#This Row],[STOCK REEL]]&lt;=0,1,"")</f>
        <v>1</v>
      </c>
      <c r="D21" s="48">
        <f>IF(Tableau812[[#This Row],[STOCK REEL]]&lt;=Tableau812[[#This Row],[MINI]],1,"")</f>
        <v>1</v>
      </c>
      <c r="E21" s="49">
        <f>IF(Tableau812[[#This Row],[STOCK REEL]]&gt;=Tableau812[[#This Row],[MINI]],1,"")</f>
        <v>1</v>
      </c>
      <c r="F21" s="72" t="s">
        <v>114</v>
      </c>
      <c r="G21" s="50"/>
      <c r="H21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21" s="51"/>
      <c r="J21" s="51"/>
      <c r="K21" s="80">
        <v>0</v>
      </c>
      <c r="L21" s="74" t="s">
        <v>533</v>
      </c>
      <c r="M21" s="77">
        <f t="shared" si="0"/>
        <v>0</v>
      </c>
    </row>
    <row r="22" spans="1:13" ht="18" customHeight="1" x14ac:dyDescent="0.3">
      <c r="A22" s="137">
        <f t="shared" si="1"/>
        <v>15</v>
      </c>
      <c r="C22" s="48">
        <f>IF(Tableau812[[#This Row],[STOCK REEL]]&lt;=0,1,"")</f>
        <v>1</v>
      </c>
      <c r="D22" s="48">
        <f>IF(Tableau812[[#This Row],[STOCK REEL]]&lt;=Tableau812[[#This Row],[MINI]],1,"")</f>
        <v>1</v>
      </c>
      <c r="E22" s="49">
        <f>IF(Tableau812[[#This Row],[STOCK REEL]]&gt;=Tableau812[[#This Row],[MINI]],1,"")</f>
        <v>1</v>
      </c>
      <c r="F22" s="72" t="s">
        <v>115</v>
      </c>
      <c r="G22" s="50"/>
      <c r="H22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22" s="51"/>
      <c r="J22" s="51"/>
      <c r="K22" s="80">
        <v>0</v>
      </c>
      <c r="L22" s="74" t="s">
        <v>533</v>
      </c>
      <c r="M22" s="77">
        <f t="shared" si="0"/>
        <v>0</v>
      </c>
    </row>
    <row r="23" spans="1:13" ht="18" customHeight="1" x14ac:dyDescent="0.3">
      <c r="A23" s="137">
        <f t="shared" si="1"/>
        <v>16</v>
      </c>
      <c r="C23" s="48">
        <f>IF(Tableau812[[#This Row],[STOCK REEL]]&lt;=0,1,"")</f>
        <v>1</v>
      </c>
      <c r="D23" s="48">
        <f>IF(Tableau812[[#This Row],[STOCK REEL]]&lt;=Tableau812[[#This Row],[MINI]],1,"")</f>
        <v>1</v>
      </c>
      <c r="E23" s="49">
        <f>IF(Tableau812[[#This Row],[STOCK REEL]]&gt;=Tableau812[[#This Row],[MINI]],1,"")</f>
        <v>1</v>
      </c>
      <c r="F23" s="72" t="s">
        <v>116</v>
      </c>
      <c r="G23" s="50"/>
      <c r="H23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23" s="51"/>
      <c r="J23" s="51"/>
      <c r="K23" s="80">
        <v>0</v>
      </c>
      <c r="L23" s="74" t="s">
        <v>533</v>
      </c>
      <c r="M23" s="77">
        <f t="shared" si="0"/>
        <v>0</v>
      </c>
    </row>
    <row r="24" spans="1:13" ht="18" customHeight="1" x14ac:dyDescent="0.3">
      <c r="A24" s="137">
        <f t="shared" si="1"/>
        <v>17</v>
      </c>
      <c r="C24" s="48">
        <f>IF(Tableau812[[#This Row],[STOCK REEL]]&lt;=0,1,"")</f>
        <v>1</v>
      </c>
      <c r="D24" s="48">
        <f>IF(Tableau812[[#This Row],[STOCK REEL]]&lt;=Tableau812[[#This Row],[MINI]],1,"")</f>
        <v>1</v>
      </c>
      <c r="E24" s="49">
        <f>IF(Tableau812[[#This Row],[STOCK REEL]]&gt;=Tableau812[[#This Row],[MINI]],1,"")</f>
        <v>1</v>
      </c>
      <c r="F24" s="72" t="s">
        <v>117</v>
      </c>
      <c r="G24" s="50"/>
      <c r="H24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24" s="51"/>
      <c r="J24" s="51"/>
      <c r="K24" s="80">
        <v>0</v>
      </c>
      <c r="L24" s="74" t="s">
        <v>533</v>
      </c>
      <c r="M24" s="77">
        <f t="shared" si="0"/>
        <v>0</v>
      </c>
    </row>
    <row r="25" spans="1:13" ht="18" customHeight="1" x14ac:dyDescent="0.3">
      <c r="A25" s="137">
        <f t="shared" si="1"/>
        <v>18</v>
      </c>
      <c r="C25" s="48">
        <f>IF(Tableau812[[#This Row],[STOCK REEL]]&lt;=0,1,"")</f>
        <v>1</v>
      </c>
      <c r="D25" s="48">
        <f>IF(Tableau812[[#This Row],[STOCK REEL]]&lt;=Tableau812[[#This Row],[MINI]],1,"")</f>
        <v>1</v>
      </c>
      <c r="E25" s="49">
        <f>IF(Tableau812[[#This Row],[STOCK REEL]]&gt;=Tableau812[[#This Row],[MINI]],1,"")</f>
        <v>1</v>
      </c>
      <c r="F25" s="72" t="s">
        <v>118</v>
      </c>
      <c r="G25" s="50"/>
      <c r="H25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25" s="51"/>
      <c r="J25" s="51"/>
      <c r="K25" s="80">
        <v>0</v>
      </c>
      <c r="L25" s="74" t="s">
        <v>533</v>
      </c>
      <c r="M25" s="77">
        <f t="shared" si="0"/>
        <v>0</v>
      </c>
    </row>
    <row r="26" spans="1:13" ht="18" customHeight="1" x14ac:dyDescent="0.3">
      <c r="A26" s="137">
        <f t="shared" si="1"/>
        <v>19</v>
      </c>
      <c r="C26" s="48">
        <f>IF(Tableau812[[#This Row],[STOCK REEL]]&lt;=0,1,"")</f>
        <v>1</v>
      </c>
      <c r="D26" s="48">
        <f>IF(Tableau812[[#This Row],[STOCK REEL]]&lt;=Tableau812[[#This Row],[MINI]],1,"")</f>
        <v>1</v>
      </c>
      <c r="E26" s="49">
        <f>IF(Tableau812[[#This Row],[STOCK REEL]]&gt;=Tableau812[[#This Row],[MINI]],1,"")</f>
        <v>1</v>
      </c>
      <c r="F26" s="72" t="s">
        <v>119</v>
      </c>
      <c r="G26" s="50"/>
      <c r="H26" s="308">
        <f>SUMIFS(Tableau4[QUANTITE],Tableau4[REFERENCE],Tableau812[[#This Row],[REFERENCE]],Tableau4[ENTREE],"Entrée")-SUMIFS(Tableau4[QUANTITE],Tableau4[REFERENCE],Tableau812[[#This Row],[REFERENCE]],Tableau4[ENTREE],"Sortie")+SUMIFS(Tableau5[QUANTITE],Tableau5[REFERENCE],Tableau812[[#This Row],[REFERENCE]],Tableau5[ENTREE],"RETOUR")-SUMIFS(Tableau5[QUANTITE],Tableau5[REFERENCE],Tableau812[[#This Row],[REFERENCE]],Tableau5[ENTREE],"SORTIE")</f>
        <v>0</v>
      </c>
      <c r="I26" s="51"/>
      <c r="J26" s="51"/>
      <c r="K26" s="80">
        <v>0</v>
      </c>
      <c r="L26" s="74" t="s">
        <v>533</v>
      </c>
      <c r="M26" s="77">
        <f t="shared" si="0"/>
        <v>0</v>
      </c>
    </row>
    <row r="27" spans="1:13" ht="18" customHeight="1" x14ac:dyDescent="0.3">
      <c r="C27" s="48"/>
      <c r="D27" s="48"/>
      <c r="E27" s="49"/>
      <c r="F27" s="75"/>
      <c r="G27" s="50"/>
      <c r="H27" s="73"/>
      <c r="I27" s="51"/>
      <c r="J27" s="51"/>
      <c r="K27" s="80"/>
      <c r="L27" s="74"/>
    </row>
    <row r="28" spans="1:13" ht="18" customHeight="1" x14ac:dyDescent="0.3">
      <c r="C28" s="48"/>
      <c r="D28" s="48"/>
      <c r="E28" s="49"/>
      <c r="F28" s="81"/>
      <c r="G28" s="16"/>
      <c r="H28" s="82"/>
      <c r="K28" s="83"/>
      <c r="L28" s="76"/>
    </row>
    <row r="29" spans="1:13" ht="18" customHeight="1" x14ac:dyDescent="0.3">
      <c r="C29" s="48"/>
      <c r="D29" s="48"/>
      <c r="E29" s="49"/>
      <c r="F29" s="81"/>
      <c r="G29" s="16"/>
      <c r="H29" s="82"/>
      <c r="K29" s="83"/>
      <c r="L29" s="76"/>
    </row>
    <row r="30" spans="1:13" ht="18" customHeight="1" x14ac:dyDescent="0.3">
      <c r="C30" s="48"/>
      <c r="D30" s="48"/>
      <c r="E30" s="49"/>
      <c r="F30" s="81"/>
      <c r="G30" s="16"/>
      <c r="H30" s="82"/>
      <c r="K30" s="83"/>
      <c r="L30" s="76"/>
    </row>
    <row r="31" spans="1:13" ht="18" customHeight="1" x14ac:dyDescent="0.3">
      <c r="C31" s="48"/>
      <c r="D31" s="48"/>
      <c r="E31" s="49"/>
      <c r="F31" s="16"/>
      <c r="G31" s="16"/>
      <c r="K31" s="83"/>
      <c r="L31" s="76"/>
    </row>
    <row r="32" spans="1:13" ht="18" customHeight="1" x14ac:dyDescent="0.3">
      <c r="C32" s="48"/>
      <c r="D32" s="48"/>
      <c r="E32" s="49"/>
      <c r="F32" s="16"/>
      <c r="G32" s="16"/>
      <c r="K32" s="83"/>
      <c r="L32" s="76"/>
    </row>
    <row r="33" spans="3:12" ht="18" customHeight="1" x14ac:dyDescent="0.3">
      <c r="C33" s="48"/>
      <c r="D33" s="48"/>
      <c r="E33" s="49"/>
      <c r="F33" s="16"/>
      <c r="G33" s="16"/>
      <c r="K33" s="83"/>
      <c r="L33" s="76"/>
    </row>
    <row r="34" spans="3:12" ht="18" customHeight="1" x14ac:dyDescent="0.3">
      <c r="C34" s="48"/>
      <c r="D34" s="48"/>
      <c r="E34" s="49"/>
      <c r="F34" s="16"/>
      <c r="G34" s="16"/>
      <c r="K34" s="83"/>
      <c r="L34" s="76"/>
    </row>
    <row r="35" spans="3:12" ht="18" customHeight="1" x14ac:dyDescent="0.3">
      <c r="C35" s="48"/>
      <c r="D35" s="48"/>
      <c r="E35" s="49"/>
      <c r="F35" s="16"/>
      <c r="G35" s="16"/>
      <c r="K35" s="83"/>
      <c r="L35" s="76"/>
    </row>
    <row r="36" spans="3:12" ht="18" customHeight="1" x14ac:dyDescent="0.3">
      <c r="C36" s="48"/>
      <c r="D36" s="48"/>
      <c r="E36" s="49"/>
      <c r="F36" s="16"/>
      <c r="G36" s="16"/>
    </row>
  </sheetData>
  <conditionalFormatting sqref="F8:F15 F17:F27 K8:L26 H8:H27">
    <cfRule type="expression" dxfId="12" priority="10">
      <formula>$B8=1</formula>
    </cfRule>
    <cfRule type="expression" dxfId="11" priority="11">
      <formula>$P8="oui"</formula>
    </cfRule>
  </conditionalFormatting>
  <conditionalFormatting sqref="F16">
    <cfRule type="expression" dxfId="10" priority="8">
      <formula>$B16=1</formula>
    </cfRule>
    <cfRule type="expression" dxfId="9" priority="9">
      <formula>$P16="oui"</formula>
    </cfRule>
  </conditionalFormatting>
  <conditionalFormatting sqref="F28:F30 H28:H30">
    <cfRule type="expression" dxfId="8" priority="12">
      <formula>$B28=1</formula>
    </cfRule>
    <cfRule type="expression" dxfId="7" priority="13">
      <formula>$P27="oui"</formula>
    </cfRule>
  </conditionalFormatting>
  <conditionalFormatting sqref="K31:L35">
    <cfRule type="expression" dxfId="6" priority="14">
      <formula>$B31=1</formula>
    </cfRule>
    <cfRule type="expression" dxfId="5" priority="15">
      <formula>$P27="oui"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5841" r:id="rId3" name="CommandButton1">
          <controlPr defaultSize="0" autoLine="0" r:id="rId4">
            <anchor moveWithCells="1">
              <from>
                <xdr:col>5</xdr:col>
                <xdr:colOff>198120</xdr:colOff>
                <xdr:row>2</xdr:row>
                <xdr:rowOff>38100</xdr:rowOff>
              </from>
              <to>
                <xdr:col>5</xdr:col>
                <xdr:colOff>2819400</xdr:colOff>
                <xdr:row>4</xdr:row>
                <xdr:rowOff>114300</xdr:rowOff>
              </to>
            </anchor>
          </controlPr>
        </control>
      </mc:Choice>
      <mc:Fallback>
        <control shapeId="35841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1FC36CD7-885B-42F0-8CB3-DC22989FAD34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E8:E26</xm:sqref>
        </x14:conditionalFormatting>
        <x14:conditionalFormatting xmlns:xm="http://schemas.microsoft.com/office/excel/2006/main">
          <x14:cfRule type="iconSet" priority="2" id="{2BCCB85C-96AD-43CE-AF15-A82F04F410A4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D8:D26</xm:sqref>
        </x14:conditionalFormatting>
        <x14:conditionalFormatting xmlns:xm="http://schemas.microsoft.com/office/excel/2006/main">
          <x14:cfRule type="iconSet" priority="1" id="{B81596F0-F527-4529-B274-12023876897D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C8:C26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48E39-ED20-4501-857C-88C6B5D894E9}">
  <sheetPr codeName="Feuil6">
    <tabColor theme="9" tint="0.59999389629810485"/>
  </sheetPr>
  <dimension ref="A1:M417"/>
  <sheetViews>
    <sheetView showGridLines="0" showRowColHeaders="0" topLeftCell="A4" zoomScale="85" zoomScaleNormal="85" workbookViewId="0">
      <selection activeCell="I4" sqref="I4"/>
    </sheetView>
  </sheetViews>
  <sheetFormatPr baseColWidth="10" defaultRowHeight="18" customHeight="1" x14ac:dyDescent="0.3"/>
  <cols>
    <col min="1" max="1" width="4.77734375" style="137" customWidth="1"/>
    <col min="2" max="2" width="16" customWidth="1"/>
    <col min="3" max="3" width="5.88671875" customWidth="1"/>
    <col min="4" max="4" width="11.5546875" style="22" customWidth="1"/>
    <col min="5" max="5" width="5.109375" customWidth="1"/>
    <col min="6" max="6" width="60.109375" style="6" customWidth="1"/>
    <col min="7" max="7" width="21.44140625" style="22" customWidth="1"/>
    <col min="8" max="8" width="12.6640625" customWidth="1"/>
    <col min="12" max="12" width="15.21875" style="102" customWidth="1"/>
  </cols>
  <sheetData>
    <row r="1" spans="1:13" ht="3.6" customHeight="1" x14ac:dyDescent="0.3"/>
    <row r="2" spans="1:13" ht="18" customHeight="1" x14ac:dyDescent="0.3">
      <c r="E2" s="44"/>
      <c r="F2" s="44"/>
    </row>
    <row r="3" spans="1:13" ht="18" customHeight="1" x14ac:dyDescent="0.3">
      <c r="B3" s="44"/>
      <c r="C3" s="44"/>
      <c r="D3" s="53"/>
      <c r="E3" s="44"/>
      <c r="F3" s="44"/>
    </row>
    <row r="4" spans="1:13" ht="18" customHeight="1" x14ac:dyDescent="0.3">
      <c r="B4" s="44"/>
      <c r="C4" s="44"/>
      <c r="D4" s="53"/>
      <c r="E4" s="44"/>
      <c r="F4" s="44"/>
    </row>
    <row r="6" spans="1:13" ht="18" customHeight="1" thickBot="1" x14ac:dyDescent="0.35"/>
    <row r="7" spans="1:13" ht="18" customHeight="1" x14ac:dyDescent="0.3">
      <c r="B7" s="22" t="s">
        <v>5</v>
      </c>
      <c r="C7" s="12" t="s">
        <v>224</v>
      </c>
      <c r="D7" s="13" t="s">
        <v>223</v>
      </c>
      <c r="E7" s="14" t="s">
        <v>222</v>
      </c>
      <c r="F7" s="137" t="s">
        <v>0</v>
      </c>
      <c r="G7" s="15" t="s">
        <v>1</v>
      </c>
      <c r="H7" s="7" t="s">
        <v>2</v>
      </c>
      <c r="I7" s="7" t="s">
        <v>235</v>
      </c>
      <c r="J7" s="7" t="s">
        <v>221</v>
      </c>
      <c r="K7" s="7" t="s">
        <v>3</v>
      </c>
      <c r="L7" s="103" t="s">
        <v>333</v>
      </c>
      <c r="M7" s="22" t="s">
        <v>4</v>
      </c>
    </row>
    <row r="8" spans="1:13" ht="18" customHeight="1" x14ac:dyDescent="0.3">
      <c r="A8" s="137">
        <f>IF(F8&lt;&gt;"",ROW()-7,"")</f>
        <v>1</v>
      </c>
      <c r="C8" s="48">
        <f>IF(Tableau98[[#This Row],[STOCK REEL]]&lt;=0,1,"")</f>
        <v>1</v>
      </c>
      <c r="D8" s="54">
        <f>IF(Tableau98[[#This Row],[STOCK REEL]]&lt;=Tableau98[[#This Row],[MINI]],1,"")</f>
        <v>1</v>
      </c>
      <c r="E8" s="49">
        <f>IF(Tableau98[[#This Row],[STOCK REEL]]&gt;=Tableau98[[#This Row],[MINI]],1,"")</f>
        <v>1</v>
      </c>
      <c r="F8" s="55" t="s">
        <v>122</v>
      </c>
      <c r="G8" s="305" t="s">
        <v>539</v>
      </c>
      <c r="H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" s="51"/>
      <c r="J8" s="51"/>
      <c r="K8" s="57">
        <v>6.23</v>
      </c>
      <c r="L8" s="104">
        <v>100</v>
      </c>
      <c r="M8" s="58">
        <f t="shared" ref="M8:M39" si="0">IFERROR(H8*K8/L8,"")</f>
        <v>0</v>
      </c>
    </row>
    <row r="9" spans="1:13" ht="18" customHeight="1" x14ac:dyDescent="0.3">
      <c r="A9" s="137">
        <f t="shared" ref="A9:A72" si="1">IF(F9&lt;&gt;"",ROW()-7,"")</f>
        <v>2</v>
      </c>
      <c r="C9" s="48">
        <f>IF(Tableau98[[#This Row],[STOCK REEL]]&lt;=0,1,"")</f>
        <v>1</v>
      </c>
      <c r="D9" s="54">
        <f>IF(Tableau98[[#This Row],[STOCK REEL]]&lt;=Tableau98[[#This Row],[MINI]],1,"")</f>
        <v>1</v>
      </c>
      <c r="E9" s="49">
        <f>IF(Tableau98[[#This Row],[STOCK REEL]]&gt;=Tableau98[[#This Row],[MINI]],1,"")</f>
        <v>1</v>
      </c>
      <c r="F9" s="55" t="s">
        <v>123</v>
      </c>
      <c r="G9" s="56" t="s">
        <v>120</v>
      </c>
      <c r="H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" s="51"/>
      <c r="J9" s="51"/>
      <c r="K9" s="57">
        <v>6.14</v>
      </c>
      <c r="L9" s="104"/>
      <c r="M9" s="58" t="str">
        <f>IFERROR(H9*K9/L9,"")</f>
        <v/>
      </c>
    </row>
    <row r="10" spans="1:13" ht="18" customHeight="1" x14ac:dyDescent="0.3">
      <c r="A10" s="137">
        <f t="shared" si="1"/>
        <v>3</v>
      </c>
      <c r="C10" s="48">
        <f>IF(Tableau98[[#This Row],[STOCK REEL]]&lt;=0,1,"")</f>
        <v>1</v>
      </c>
      <c r="D10" s="54">
        <f>IF(Tableau98[[#This Row],[STOCK REEL]]&lt;=Tableau98[[#This Row],[MINI]],1,"")</f>
        <v>1</v>
      </c>
      <c r="E10" s="49">
        <f>IF(Tableau98[[#This Row],[STOCK REEL]]&gt;=Tableau98[[#This Row],[MINI]],1,"")</f>
        <v>1</v>
      </c>
      <c r="F10" s="55" t="s">
        <v>124</v>
      </c>
      <c r="G10" s="56" t="s">
        <v>121</v>
      </c>
      <c r="H1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" s="51"/>
      <c r="J10" s="51"/>
      <c r="K10" s="57">
        <v>14.37</v>
      </c>
      <c r="L10" s="104"/>
      <c r="M10" s="58" t="str">
        <f t="shared" si="0"/>
        <v/>
      </c>
    </row>
    <row r="11" spans="1:13" ht="18" customHeight="1" x14ac:dyDescent="0.3">
      <c r="A11" s="137">
        <f t="shared" si="1"/>
        <v>4</v>
      </c>
      <c r="C11" s="48">
        <f>IF(Tableau98[[#This Row],[STOCK REEL]]&lt;=0,1,"")</f>
        <v>1</v>
      </c>
      <c r="D11" s="54">
        <f>IF(Tableau98[[#This Row],[STOCK REEL]]&lt;=Tableau98[[#This Row],[MINI]],1,"")</f>
        <v>1</v>
      </c>
      <c r="E11" s="49">
        <f>IF(Tableau98[[#This Row],[STOCK REEL]]&gt;=Tableau98[[#This Row],[MINI]],1,"")</f>
        <v>1</v>
      </c>
      <c r="F11" s="55" t="s">
        <v>126</v>
      </c>
      <c r="G11" s="56" t="s">
        <v>127</v>
      </c>
      <c r="H1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" s="51"/>
      <c r="J11" s="51"/>
      <c r="K11" s="57">
        <v>1.99</v>
      </c>
      <c r="L11" s="104"/>
      <c r="M11" s="58" t="str">
        <f t="shared" si="0"/>
        <v/>
      </c>
    </row>
    <row r="12" spans="1:13" ht="18" customHeight="1" x14ac:dyDescent="0.3">
      <c r="A12" s="137">
        <f t="shared" si="1"/>
        <v>5</v>
      </c>
      <c r="C12" s="48">
        <f>IF(Tableau98[[#This Row],[STOCK REEL]]&lt;=0,1,"")</f>
        <v>1</v>
      </c>
      <c r="D12" s="54">
        <f>IF(Tableau98[[#This Row],[STOCK REEL]]&lt;=Tableau98[[#This Row],[MINI]],1,"")</f>
        <v>1</v>
      </c>
      <c r="E12" s="49">
        <f>IF(Tableau98[[#This Row],[STOCK REEL]]&gt;=Tableau98[[#This Row],[MINI]],1,"")</f>
        <v>1</v>
      </c>
      <c r="F12" s="55" t="s">
        <v>128</v>
      </c>
      <c r="G12" s="56" t="s">
        <v>129</v>
      </c>
      <c r="H1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" s="51"/>
      <c r="J12" s="51"/>
      <c r="K12" s="57">
        <v>4.62</v>
      </c>
      <c r="L12" s="104"/>
      <c r="M12" s="58" t="str">
        <f t="shared" si="0"/>
        <v/>
      </c>
    </row>
    <row r="13" spans="1:13" ht="18" customHeight="1" x14ac:dyDescent="0.3">
      <c r="A13" s="137">
        <f t="shared" si="1"/>
        <v>6</v>
      </c>
      <c r="C13" s="48">
        <f>IF(Tableau98[[#This Row],[STOCK REEL]]&lt;=0,1,"")</f>
        <v>1</v>
      </c>
      <c r="D13" s="54">
        <f>IF(Tableau98[[#This Row],[STOCK REEL]]&lt;=Tableau98[[#This Row],[MINI]],1,"")</f>
        <v>1</v>
      </c>
      <c r="E13" s="49">
        <f>IF(Tableau98[[#This Row],[STOCK REEL]]&gt;=Tableau98[[#This Row],[MINI]],1,"")</f>
        <v>1</v>
      </c>
      <c r="F13" s="55" t="s">
        <v>130</v>
      </c>
      <c r="G13" s="56" t="s">
        <v>132</v>
      </c>
      <c r="H1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3" s="51"/>
      <c r="J13" s="51"/>
      <c r="K13" s="57">
        <v>6.16</v>
      </c>
      <c r="L13" s="104"/>
      <c r="M13" s="58" t="str">
        <f t="shared" si="0"/>
        <v/>
      </c>
    </row>
    <row r="14" spans="1:13" ht="18" customHeight="1" x14ac:dyDescent="0.3">
      <c r="A14" s="137">
        <f t="shared" si="1"/>
        <v>7</v>
      </c>
      <c r="C14" s="48">
        <f>IF(Tableau98[[#This Row],[STOCK REEL]]&lt;=0,1,"")</f>
        <v>1</v>
      </c>
      <c r="D14" s="54">
        <f>IF(Tableau98[[#This Row],[STOCK REEL]]&lt;=Tableau98[[#This Row],[MINI]],1,"")</f>
        <v>1</v>
      </c>
      <c r="E14" s="49">
        <f>IF(Tableau98[[#This Row],[STOCK REEL]]&gt;=Tableau98[[#This Row],[MINI]],1,"")</f>
        <v>1</v>
      </c>
      <c r="F14" s="55" t="s">
        <v>131</v>
      </c>
      <c r="G14" s="56" t="s">
        <v>133</v>
      </c>
      <c r="H1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4" s="51"/>
      <c r="J14" s="51"/>
      <c r="K14" s="57">
        <v>2.46</v>
      </c>
      <c r="L14" s="104"/>
      <c r="M14" s="58" t="str">
        <f t="shared" si="0"/>
        <v/>
      </c>
    </row>
    <row r="15" spans="1:13" ht="18" customHeight="1" x14ac:dyDescent="0.3">
      <c r="A15" s="137">
        <f t="shared" si="1"/>
        <v>8</v>
      </c>
      <c r="C15" s="48">
        <f>IF(Tableau98[[#This Row],[STOCK REEL]]&lt;=0,1,"")</f>
        <v>1</v>
      </c>
      <c r="D15" s="54">
        <f>IF(Tableau98[[#This Row],[STOCK REEL]]&lt;=Tableau98[[#This Row],[MINI]],1,"")</f>
        <v>1</v>
      </c>
      <c r="E15" s="49">
        <f>IF(Tableau98[[#This Row],[STOCK REEL]]&gt;=Tableau98[[#This Row],[MINI]],1,"")</f>
        <v>1</v>
      </c>
      <c r="F15" s="55" t="s">
        <v>134</v>
      </c>
      <c r="G15" s="56" t="s">
        <v>137</v>
      </c>
      <c r="H1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5" s="51"/>
      <c r="J15" s="51"/>
      <c r="K15" s="57">
        <v>3.61</v>
      </c>
      <c r="L15" s="104"/>
      <c r="M15" s="58" t="str">
        <f t="shared" si="0"/>
        <v/>
      </c>
    </row>
    <row r="16" spans="1:13" ht="18" customHeight="1" x14ac:dyDescent="0.3">
      <c r="A16" s="137">
        <f t="shared" si="1"/>
        <v>9</v>
      </c>
      <c r="C16" s="48">
        <f>IF(Tableau98[[#This Row],[STOCK REEL]]&lt;=0,1,"")</f>
        <v>1</v>
      </c>
      <c r="D16" s="54">
        <f>IF(Tableau98[[#This Row],[STOCK REEL]]&lt;=Tableau98[[#This Row],[MINI]],1,"")</f>
        <v>1</v>
      </c>
      <c r="E16" s="49">
        <f>IF(Tableau98[[#This Row],[STOCK REEL]]&gt;=Tableau98[[#This Row],[MINI]],1,"")</f>
        <v>1</v>
      </c>
      <c r="F16" s="55" t="s">
        <v>135</v>
      </c>
      <c r="G16" s="56" t="s">
        <v>136</v>
      </c>
      <c r="H1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6" s="51"/>
      <c r="J16" s="51"/>
      <c r="K16" s="57">
        <v>4.43</v>
      </c>
      <c r="L16" s="104"/>
      <c r="M16" s="58" t="str">
        <f t="shared" si="0"/>
        <v/>
      </c>
    </row>
    <row r="17" spans="1:13" ht="18" customHeight="1" x14ac:dyDescent="0.3">
      <c r="A17" s="137">
        <f t="shared" si="1"/>
        <v>10</v>
      </c>
      <c r="C17" s="48">
        <f>IF(Tableau98[[#This Row],[STOCK REEL]]&lt;=0,1,"")</f>
        <v>1</v>
      </c>
      <c r="D17" s="54">
        <f>IF(Tableau98[[#This Row],[STOCK REEL]]&lt;=Tableau98[[#This Row],[MINI]],1,"")</f>
        <v>1</v>
      </c>
      <c r="E17" s="49">
        <f>IF(Tableau98[[#This Row],[STOCK REEL]]&gt;=Tableau98[[#This Row],[MINI]],1,"")</f>
        <v>1</v>
      </c>
      <c r="F17" s="55" t="s">
        <v>138</v>
      </c>
      <c r="G17" s="56" t="s">
        <v>139</v>
      </c>
      <c r="H1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7" s="51"/>
      <c r="J17" s="51"/>
      <c r="K17" s="57">
        <v>5.17</v>
      </c>
      <c r="L17" s="104"/>
      <c r="M17" s="58" t="str">
        <f t="shared" si="0"/>
        <v/>
      </c>
    </row>
    <row r="18" spans="1:13" ht="18" customHeight="1" x14ac:dyDescent="0.3">
      <c r="A18" s="137">
        <f t="shared" si="1"/>
        <v>11</v>
      </c>
      <c r="C18" s="48">
        <f>IF(Tableau98[[#This Row],[STOCK REEL]]&lt;=0,1,"")</f>
        <v>1</v>
      </c>
      <c r="D18" s="54">
        <f>IF(Tableau98[[#This Row],[STOCK REEL]]&lt;=Tableau98[[#This Row],[MINI]],1,"")</f>
        <v>1</v>
      </c>
      <c r="E18" s="49">
        <f>IF(Tableau98[[#This Row],[STOCK REEL]]&gt;=Tableau98[[#This Row],[MINI]],1,"")</f>
        <v>1</v>
      </c>
      <c r="F18" s="55" t="s">
        <v>125</v>
      </c>
      <c r="G18" s="56" t="s">
        <v>140</v>
      </c>
      <c r="H1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8" s="51"/>
      <c r="J18" s="51"/>
      <c r="K18" s="57">
        <v>6.03</v>
      </c>
      <c r="L18" s="104"/>
      <c r="M18" s="58" t="str">
        <f t="shared" si="0"/>
        <v/>
      </c>
    </row>
    <row r="19" spans="1:13" ht="18" customHeight="1" x14ac:dyDescent="0.3">
      <c r="A19" s="137">
        <f t="shared" si="1"/>
        <v>12</v>
      </c>
      <c r="C19" s="48">
        <f>IF(Tableau98[[#This Row],[STOCK REEL]]&lt;=0,1,"")</f>
        <v>1</v>
      </c>
      <c r="D19" s="54">
        <f>IF(Tableau98[[#This Row],[STOCK REEL]]&lt;=Tableau98[[#This Row],[MINI]],1,"")</f>
        <v>1</v>
      </c>
      <c r="E19" s="49">
        <f>IF(Tableau98[[#This Row],[STOCK REEL]]&gt;=Tableau98[[#This Row],[MINI]],1,"")</f>
        <v>1</v>
      </c>
      <c r="F19" s="55" t="s">
        <v>141</v>
      </c>
      <c r="G19" s="56" t="s">
        <v>142</v>
      </c>
      <c r="H1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9" s="51"/>
      <c r="J19" s="51"/>
      <c r="K19" s="57">
        <v>2.7</v>
      </c>
      <c r="L19" s="104"/>
      <c r="M19" s="58" t="str">
        <f t="shared" si="0"/>
        <v/>
      </c>
    </row>
    <row r="20" spans="1:13" ht="18" customHeight="1" x14ac:dyDescent="0.3">
      <c r="A20" s="137">
        <f t="shared" si="1"/>
        <v>13</v>
      </c>
      <c r="C20" s="48">
        <f>IF(Tableau98[[#This Row],[STOCK REEL]]&lt;=0,1,"")</f>
        <v>1</v>
      </c>
      <c r="D20" s="54">
        <f>IF(Tableau98[[#This Row],[STOCK REEL]]&lt;=Tableau98[[#This Row],[MINI]],1,"")</f>
        <v>1</v>
      </c>
      <c r="E20" s="49">
        <f>IF(Tableau98[[#This Row],[STOCK REEL]]&gt;=Tableau98[[#This Row],[MINI]],1,"")</f>
        <v>1</v>
      </c>
      <c r="F20" s="55" t="s">
        <v>143</v>
      </c>
      <c r="G20" s="56" t="s">
        <v>144</v>
      </c>
      <c r="H2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0" s="51"/>
      <c r="J20" s="51"/>
      <c r="K20" s="57">
        <v>4.0199999999999996</v>
      </c>
      <c r="L20" s="104"/>
      <c r="M20" s="58" t="str">
        <f t="shared" si="0"/>
        <v/>
      </c>
    </row>
    <row r="21" spans="1:13" ht="18" customHeight="1" x14ac:dyDescent="0.3">
      <c r="A21" s="137">
        <f t="shared" si="1"/>
        <v>14</v>
      </c>
      <c r="C21" s="48">
        <f>IF(Tableau98[[#This Row],[STOCK REEL]]&lt;=0,1,"")</f>
        <v>1</v>
      </c>
      <c r="D21" s="54">
        <f>IF(Tableau98[[#This Row],[STOCK REEL]]&lt;=Tableau98[[#This Row],[MINI]],1,"")</f>
        <v>1</v>
      </c>
      <c r="E21" s="49">
        <f>IF(Tableau98[[#This Row],[STOCK REEL]]&gt;=Tableau98[[#This Row],[MINI]],1,"")</f>
        <v>1</v>
      </c>
      <c r="F21" s="55" t="s">
        <v>145</v>
      </c>
      <c r="G21" s="56" t="s">
        <v>146</v>
      </c>
      <c r="H2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1" s="51"/>
      <c r="J21" s="51"/>
      <c r="K21" s="57">
        <v>4.84</v>
      </c>
      <c r="L21" s="104"/>
      <c r="M21" s="58" t="str">
        <f t="shared" si="0"/>
        <v/>
      </c>
    </row>
    <row r="22" spans="1:13" ht="18" customHeight="1" x14ac:dyDescent="0.3">
      <c r="A22" s="137">
        <f t="shared" si="1"/>
        <v>15</v>
      </c>
      <c r="C22" s="48">
        <f>IF(Tableau98[[#This Row],[STOCK REEL]]&lt;=0,1,"")</f>
        <v>1</v>
      </c>
      <c r="D22" s="54">
        <f>IF(Tableau98[[#This Row],[STOCK REEL]]&lt;=Tableau98[[#This Row],[MINI]],1,"")</f>
        <v>1</v>
      </c>
      <c r="E22" s="49">
        <f>IF(Tableau98[[#This Row],[STOCK REEL]]&gt;=Tableau98[[#This Row],[MINI]],1,"")</f>
        <v>1</v>
      </c>
      <c r="F22" s="55" t="s">
        <v>147</v>
      </c>
      <c r="G22" s="56" t="s">
        <v>148</v>
      </c>
      <c r="H2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2" s="51"/>
      <c r="J22" s="51"/>
      <c r="K22" s="57">
        <v>5.74</v>
      </c>
      <c r="L22" s="104"/>
      <c r="M22" s="58" t="str">
        <f t="shared" si="0"/>
        <v/>
      </c>
    </row>
    <row r="23" spans="1:13" ht="18" customHeight="1" x14ac:dyDescent="0.3">
      <c r="A23" s="137">
        <f t="shared" si="1"/>
        <v>16</v>
      </c>
      <c r="C23" s="48">
        <f>IF(Tableau98[[#This Row],[STOCK REEL]]&lt;=0,1,"")</f>
        <v>1</v>
      </c>
      <c r="D23" s="54">
        <f>IF(Tableau98[[#This Row],[STOCK REEL]]&lt;=Tableau98[[#This Row],[MINI]],1,"")</f>
        <v>1</v>
      </c>
      <c r="E23" s="49">
        <f>IF(Tableau98[[#This Row],[STOCK REEL]]&gt;=Tableau98[[#This Row],[MINI]],1,"")</f>
        <v>1</v>
      </c>
      <c r="F23" s="55" t="s">
        <v>149</v>
      </c>
      <c r="G23" s="56" t="s">
        <v>150</v>
      </c>
      <c r="H2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3" s="51"/>
      <c r="J23" s="51"/>
      <c r="K23" s="57">
        <v>7.04</v>
      </c>
      <c r="L23" s="104"/>
      <c r="M23" s="58" t="str">
        <f t="shared" si="0"/>
        <v/>
      </c>
    </row>
    <row r="24" spans="1:13" ht="18" customHeight="1" x14ac:dyDescent="0.3">
      <c r="A24" s="137">
        <f t="shared" si="1"/>
        <v>17</v>
      </c>
      <c r="C24" s="48">
        <f>IF(Tableau98[[#This Row],[STOCK REEL]]&lt;=0,1,"")</f>
        <v>1</v>
      </c>
      <c r="D24" s="54">
        <f>IF(Tableau98[[#This Row],[STOCK REEL]]&lt;=Tableau98[[#This Row],[MINI]],1,"")</f>
        <v>1</v>
      </c>
      <c r="E24" s="49">
        <f>IF(Tableau98[[#This Row],[STOCK REEL]]&gt;=Tableau98[[#This Row],[MINI]],1,"")</f>
        <v>1</v>
      </c>
      <c r="F24" s="55" t="s">
        <v>151</v>
      </c>
      <c r="G24" s="56" t="s">
        <v>152</v>
      </c>
      <c r="H2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4" s="51"/>
      <c r="J24" s="51"/>
      <c r="K24" s="57">
        <v>4.9800000000000004</v>
      </c>
      <c r="L24" s="104"/>
      <c r="M24" s="58" t="str">
        <f t="shared" si="0"/>
        <v/>
      </c>
    </row>
    <row r="25" spans="1:13" ht="18" customHeight="1" x14ac:dyDescent="0.3">
      <c r="A25" s="137">
        <f t="shared" si="1"/>
        <v>18</v>
      </c>
      <c r="C25" s="48">
        <f>IF(Tableau98[[#This Row],[STOCK REEL]]&lt;=0,1,"")</f>
        <v>1</v>
      </c>
      <c r="D25" s="54">
        <f>IF(Tableau98[[#This Row],[STOCK REEL]]&lt;=Tableau98[[#This Row],[MINI]],1,"")</f>
        <v>1</v>
      </c>
      <c r="E25" s="49">
        <f>IF(Tableau98[[#This Row],[STOCK REEL]]&gt;=Tableau98[[#This Row],[MINI]],1,"")</f>
        <v>1</v>
      </c>
      <c r="F25" s="55" t="s">
        <v>153</v>
      </c>
      <c r="G25" s="56" t="s">
        <v>154</v>
      </c>
      <c r="H2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5" s="51"/>
      <c r="J25" s="51"/>
      <c r="K25" s="57">
        <v>8.74</v>
      </c>
      <c r="L25" s="104"/>
      <c r="M25" s="58" t="str">
        <f t="shared" si="0"/>
        <v/>
      </c>
    </row>
    <row r="26" spans="1:13" ht="18" customHeight="1" x14ac:dyDescent="0.3">
      <c r="A26" s="137">
        <f t="shared" si="1"/>
        <v>19</v>
      </c>
      <c r="C26" s="48">
        <f>IF(Tableau98[[#This Row],[STOCK REEL]]&lt;=0,1,"")</f>
        <v>1</v>
      </c>
      <c r="D26" s="54">
        <f>IF(Tableau98[[#This Row],[STOCK REEL]]&lt;=Tableau98[[#This Row],[MINI]],1,"")</f>
        <v>1</v>
      </c>
      <c r="E26" s="49">
        <f>IF(Tableau98[[#This Row],[STOCK REEL]]&gt;=Tableau98[[#This Row],[MINI]],1,"")</f>
        <v>1</v>
      </c>
      <c r="F26" s="55" t="s">
        <v>155</v>
      </c>
      <c r="G26" s="56" t="s">
        <v>156</v>
      </c>
      <c r="H2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6" s="51"/>
      <c r="J26" s="51"/>
      <c r="K26" s="57">
        <v>9.51</v>
      </c>
      <c r="L26" s="104"/>
      <c r="M26" s="58" t="str">
        <f t="shared" si="0"/>
        <v/>
      </c>
    </row>
    <row r="27" spans="1:13" ht="18" customHeight="1" x14ac:dyDescent="0.3">
      <c r="A27" s="137">
        <f t="shared" si="1"/>
        <v>20</v>
      </c>
      <c r="C27" s="48">
        <f>IF(Tableau98[[#This Row],[STOCK REEL]]&lt;=0,1,"")</f>
        <v>1</v>
      </c>
      <c r="D27" s="54">
        <f>IF(Tableau98[[#This Row],[STOCK REEL]]&lt;=Tableau98[[#This Row],[MINI]],1,"")</f>
        <v>1</v>
      </c>
      <c r="E27" s="49">
        <f>IF(Tableau98[[#This Row],[STOCK REEL]]&gt;=Tableau98[[#This Row],[MINI]],1,"")</f>
        <v>1</v>
      </c>
      <c r="F27" s="55" t="s">
        <v>157</v>
      </c>
      <c r="G27" s="56" t="s">
        <v>158</v>
      </c>
      <c r="H2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7" s="51"/>
      <c r="J27" s="51"/>
      <c r="K27" s="57">
        <v>12.94</v>
      </c>
      <c r="L27" s="104"/>
      <c r="M27" s="58" t="str">
        <f t="shared" si="0"/>
        <v/>
      </c>
    </row>
    <row r="28" spans="1:13" ht="18" customHeight="1" x14ac:dyDescent="0.3">
      <c r="A28" s="137">
        <f t="shared" si="1"/>
        <v>21</v>
      </c>
      <c r="C28" s="48">
        <f>IF(Tableau98[[#This Row],[STOCK REEL]]&lt;=0,1,"")</f>
        <v>1</v>
      </c>
      <c r="D28" s="54">
        <f>IF(Tableau98[[#This Row],[STOCK REEL]]&lt;=Tableau98[[#This Row],[MINI]],1,"")</f>
        <v>1</v>
      </c>
      <c r="E28" s="49">
        <f>IF(Tableau98[[#This Row],[STOCK REEL]]&gt;=Tableau98[[#This Row],[MINI]],1,"")</f>
        <v>1</v>
      </c>
      <c r="F28" s="55" t="s">
        <v>209</v>
      </c>
      <c r="G28" s="56" t="s">
        <v>212</v>
      </c>
      <c r="H2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8" s="51"/>
      <c r="J28" s="51"/>
      <c r="K28" s="57">
        <v>0.48</v>
      </c>
      <c r="L28" s="104"/>
      <c r="M28" s="58" t="str">
        <f t="shared" si="0"/>
        <v/>
      </c>
    </row>
    <row r="29" spans="1:13" ht="18" customHeight="1" x14ac:dyDescent="0.3">
      <c r="A29" s="137">
        <f t="shared" si="1"/>
        <v>22</v>
      </c>
      <c r="C29" s="48">
        <f>IF(Tableau98[[#This Row],[STOCK REEL]]&lt;=0,1,"")</f>
        <v>1</v>
      </c>
      <c r="D29" s="54">
        <f>IF(Tableau98[[#This Row],[STOCK REEL]]&lt;=Tableau98[[#This Row],[MINI]],1,"")</f>
        <v>1</v>
      </c>
      <c r="E29" s="49">
        <f>IF(Tableau98[[#This Row],[STOCK REEL]]&gt;=Tableau98[[#This Row],[MINI]],1,"")</f>
        <v>1</v>
      </c>
      <c r="F29" s="55" t="s">
        <v>210</v>
      </c>
      <c r="G29" s="56" t="s">
        <v>213</v>
      </c>
      <c r="H2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29" s="51"/>
      <c r="J29" s="51"/>
      <c r="K29" s="57">
        <v>0.43</v>
      </c>
      <c r="L29" s="104"/>
      <c r="M29" s="58" t="str">
        <f t="shared" si="0"/>
        <v/>
      </c>
    </row>
    <row r="30" spans="1:13" ht="18" customHeight="1" x14ac:dyDescent="0.3">
      <c r="A30" s="137">
        <f t="shared" si="1"/>
        <v>23</v>
      </c>
      <c r="C30" s="48">
        <f>IF(Tableau98[[#This Row],[STOCK REEL]]&lt;=0,1,"")</f>
        <v>1</v>
      </c>
      <c r="D30" s="54">
        <f>IF(Tableau98[[#This Row],[STOCK REEL]]&lt;=Tableau98[[#This Row],[MINI]],1,"")</f>
        <v>1</v>
      </c>
      <c r="E30" s="49">
        <f>IF(Tableau98[[#This Row],[STOCK REEL]]&gt;=Tableau98[[#This Row],[MINI]],1,"")</f>
        <v>1</v>
      </c>
      <c r="F30" s="55" t="s">
        <v>211</v>
      </c>
      <c r="G30" s="56" t="s">
        <v>214</v>
      </c>
      <c r="H3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0" s="51"/>
      <c r="J30" s="51"/>
      <c r="K30" s="57">
        <v>0.42</v>
      </c>
      <c r="L30" s="104"/>
      <c r="M30" s="58" t="str">
        <f t="shared" si="0"/>
        <v/>
      </c>
    </row>
    <row r="31" spans="1:13" ht="18" customHeight="1" x14ac:dyDescent="0.3">
      <c r="A31" s="137">
        <f t="shared" si="1"/>
        <v>24</v>
      </c>
      <c r="C31" s="48">
        <f>IF(Tableau98[[#This Row],[STOCK REEL]]&lt;=0,1,"")</f>
        <v>1</v>
      </c>
      <c r="D31" s="54">
        <f>IF(Tableau98[[#This Row],[STOCK REEL]]&lt;=Tableau98[[#This Row],[MINI]],1,"")</f>
        <v>1</v>
      </c>
      <c r="E31" s="49">
        <f>IF(Tableau98[[#This Row],[STOCK REEL]]&gt;=Tableau98[[#This Row],[MINI]],1,"")</f>
        <v>1</v>
      </c>
      <c r="F31" s="55" t="s">
        <v>215</v>
      </c>
      <c r="G31" s="56" t="s">
        <v>216</v>
      </c>
      <c r="H3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1" s="51"/>
      <c r="J31" s="51"/>
      <c r="K31" s="57">
        <v>0.42</v>
      </c>
      <c r="L31" s="104"/>
      <c r="M31" s="58" t="str">
        <f t="shared" si="0"/>
        <v/>
      </c>
    </row>
    <row r="32" spans="1:13" ht="18" customHeight="1" x14ac:dyDescent="0.3">
      <c r="A32" s="137">
        <f t="shared" si="1"/>
        <v>25</v>
      </c>
      <c r="C32" s="48">
        <f>IF(Tableau98[[#This Row],[STOCK REEL]]&lt;=0,1,"")</f>
        <v>1</v>
      </c>
      <c r="D32" s="54">
        <f>IF(Tableau98[[#This Row],[STOCK REEL]]&lt;=Tableau98[[#This Row],[MINI]],1,"")</f>
        <v>1</v>
      </c>
      <c r="E32" s="49">
        <f>IF(Tableau98[[#This Row],[STOCK REEL]]&gt;=Tableau98[[#This Row],[MINI]],1,"")</f>
        <v>1</v>
      </c>
      <c r="F32" s="55" t="s">
        <v>159</v>
      </c>
      <c r="G32" s="56" t="s">
        <v>165</v>
      </c>
      <c r="H3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2" s="51"/>
      <c r="J32" s="51"/>
      <c r="K32" s="57">
        <v>0.64</v>
      </c>
      <c r="L32" s="104"/>
      <c r="M32" s="58" t="str">
        <f t="shared" si="0"/>
        <v/>
      </c>
    </row>
    <row r="33" spans="1:13" ht="18" customHeight="1" x14ac:dyDescent="0.3">
      <c r="A33" s="137">
        <f t="shared" si="1"/>
        <v>26</v>
      </c>
      <c r="C33" s="48">
        <f>IF(Tableau98[[#This Row],[STOCK REEL]]&lt;=0,1,"")</f>
        <v>1</v>
      </c>
      <c r="D33" s="54">
        <f>IF(Tableau98[[#This Row],[STOCK REEL]]&lt;=Tableau98[[#This Row],[MINI]],1,"")</f>
        <v>1</v>
      </c>
      <c r="E33" s="49">
        <f>IF(Tableau98[[#This Row],[STOCK REEL]]&gt;=Tableau98[[#This Row],[MINI]],1,"")</f>
        <v>1</v>
      </c>
      <c r="F33" s="55" t="s">
        <v>160</v>
      </c>
      <c r="G33" s="56" t="s">
        <v>166</v>
      </c>
      <c r="H3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3" s="51"/>
      <c r="J33" s="51"/>
      <c r="K33" s="57">
        <v>0.92</v>
      </c>
      <c r="L33" s="104"/>
      <c r="M33" s="58" t="str">
        <f t="shared" si="0"/>
        <v/>
      </c>
    </row>
    <row r="34" spans="1:13" ht="18" customHeight="1" x14ac:dyDescent="0.3">
      <c r="A34" s="137">
        <f t="shared" si="1"/>
        <v>27</v>
      </c>
      <c r="C34" s="48">
        <f>IF(Tableau98[[#This Row],[STOCK REEL]]&lt;=0,1,"")</f>
        <v>1</v>
      </c>
      <c r="D34" s="54">
        <f>IF(Tableau98[[#This Row],[STOCK REEL]]&lt;=Tableau98[[#This Row],[MINI]],1,"")</f>
        <v>1</v>
      </c>
      <c r="E34" s="49">
        <f>IF(Tableau98[[#This Row],[STOCK REEL]]&gt;=Tableau98[[#This Row],[MINI]],1,"")</f>
        <v>1</v>
      </c>
      <c r="F34" s="55" t="s">
        <v>161</v>
      </c>
      <c r="G34" s="56" t="s">
        <v>167</v>
      </c>
      <c r="H3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4" s="51"/>
      <c r="J34" s="51"/>
      <c r="K34" s="57">
        <v>1.1599999999999999</v>
      </c>
      <c r="L34" s="104"/>
      <c r="M34" s="58" t="str">
        <f t="shared" si="0"/>
        <v/>
      </c>
    </row>
    <row r="35" spans="1:13" ht="18" customHeight="1" x14ac:dyDescent="0.3">
      <c r="A35" s="137">
        <f t="shared" si="1"/>
        <v>28</v>
      </c>
      <c r="C35" s="48">
        <f>IF(Tableau98[[#This Row],[STOCK REEL]]&lt;=0,1,"")</f>
        <v>1</v>
      </c>
      <c r="D35" s="54">
        <f>IF(Tableau98[[#This Row],[STOCK REEL]]&lt;=Tableau98[[#This Row],[MINI]],1,"")</f>
        <v>1</v>
      </c>
      <c r="E35" s="49">
        <f>IF(Tableau98[[#This Row],[STOCK REEL]]&gt;=Tableau98[[#This Row],[MINI]],1,"")</f>
        <v>1</v>
      </c>
      <c r="F35" s="55" t="s">
        <v>162</v>
      </c>
      <c r="G35" s="56" t="s">
        <v>168</v>
      </c>
      <c r="H3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5" s="51"/>
      <c r="J35" s="51"/>
      <c r="K35" s="57">
        <v>1.39</v>
      </c>
      <c r="L35" s="104"/>
      <c r="M35" s="58" t="str">
        <f t="shared" si="0"/>
        <v/>
      </c>
    </row>
    <row r="36" spans="1:13" ht="18" customHeight="1" x14ac:dyDescent="0.3">
      <c r="A36" s="137">
        <f t="shared" si="1"/>
        <v>29</v>
      </c>
      <c r="C36" s="48">
        <f>IF(Tableau98[[#This Row],[STOCK REEL]]&lt;=0,1,"")</f>
        <v>1</v>
      </c>
      <c r="D36" s="54">
        <f>IF(Tableau98[[#This Row],[STOCK REEL]]&lt;=Tableau98[[#This Row],[MINI]],1,"")</f>
        <v>1</v>
      </c>
      <c r="E36" s="49">
        <f>IF(Tableau98[[#This Row],[STOCK REEL]]&gt;=Tableau98[[#This Row],[MINI]],1,"")</f>
        <v>1</v>
      </c>
      <c r="F36" s="55" t="s">
        <v>163</v>
      </c>
      <c r="G36" s="56" t="s">
        <v>169</v>
      </c>
      <c r="H3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6" s="51"/>
      <c r="J36" s="51"/>
      <c r="K36" s="57">
        <v>3.17</v>
      </c>
      <c r="L36" s="104"/>
      <c r="M36" s="58" t="str">
        <f t="shared" si="0"/>
        <v/>
      </c>
    </row>
    <row r="37" spans="1:13" ht="18" customHeight="1" x14ac:dyDescent="0.3">
      <c r="A37" s="137">
        <f t="shared" si="1"/>
        <v>30</v>
      </c>
      <c r="C37" s="48">
        <f>IF(Tableau98[[#This Row],[STOCK REEL]]&lt;=0,1,"")</f>
        <v>1</v>
      </c>
      <c r="D37" s="54">
        <f>IF(Tableau98[[#This Row],[STOCK REEL]]&lt;=Tableau98[[#This Row],[MINI]],1,"")</f>
        <v>1</v>
      </c>
      <c r="E37" s="49">
        <f>IF(Tableau98[[#This Row],[STOCK REEL]]&gt;=Tableau98[[#This Row],[MINI]],1,"")</f>
        <v>1</v>
      </c>
      <c r="F37" s="55" t="s">
        <v>164</v>
      </c>
      <c r="G37" s="56" t="s">
        <v>170</v>
      </c>
      <c r="H3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7" s="51"/>
      <c r="J37" s="51"/>
      <c r="K37" s="57">
        <v>4.5199999999999996</v>
      </c>
      <c r="L37" s="104"/>
      <c r="M37" s="58" t="str">
        <f t="shared" si="0"/>
        <v/>
      </c>
    </row>
    <row r="38" spans="1:13" ht="18" customHeight="1" x14ac:dyDescent="0.3">
      <c r="A38" s="137">
        <f t="shared" si="1"/>
        <v>31</v>
      </c>
      <c r="C38" s="48">
        <f>IF(Tableau98[[#This Row],[STOCK REEL]]&lt;=0,1,"")</f>
        <v>1</v>
      </c>
      <c r="D38" s="54">
        <f>IF(Tableau98[[#This Row],[STOCK REEL]]&lt;=Tableau98[[#This Row],[MINI]],1,"")</f>
        <v>1</v>
      </c>
      <c r="E38" s="49">
        <f>IF(Tableau98[[#This Row],[STOCK REEL]]&gt;=Tableau98[[#This Row],[MINI]],1,"")</f>
        <v>1</v>
      </c>
      <c r="F38" s="55" t="s">
        <v>171</v>
      </c>
      <c r="G38" s="56" t="s">
        <v>337</v>
      </c>
      <c r="H3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8" s="51"/>
      <c r="J38" s="51"/>
      <c r="K38" s="57">
        <v>3.61</v>
      </c>
      <c r="L38" s="104"/>
      <c r="M38" s="58" t="str">
        <f t="shared" si="0"/>
        <v/>
      </c>
    </row>
    <row r="39" spans="1:13" ht="18" customHeight="1" x14ac:dyDescent="0.3">
      <c r="A39" s="137">
        <f t="shared" si="1"/>
        <v>32</v>
      </c>
      <c r="C39" s="48">
        <f>IF(Tableau98[[#This Row],[STOCK REEL]]&lt;=0,1,"")</f>
        <v>1</v>
      </c>
      <c r="D39" s="54">
        <f>IF(Tableau98[[#This Row],[STOCK REEL]]&lt;=Tableau98[[#This Row],[MINI]],1,"")</f>
        <v>1</v>
      </c>
      <c r="E39" s="49">
        <f>IF(Tableau98[[#This Row],[STOCK REEL]]&gt;=Tableau98[[#This Row],[MINI]],1,"")</f>
        <v>1</v>
      </c>
      <c r="F39" s="55" t="s">
        <v>338</v>
      </c>
      <c r="G39" s="56" t="s">
        <v>339</v>
      </c>
      <c r="H3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39" s="51"/>
      <c r="J39" s="51"/>
      <c r="K39" s="57">
        <v>7.07</v>
      </c>
      <c r="L39" s="104"/>
      <c r="M39" s="58" t="str">
        <f t="shared" si="0"/>
        <v/>
      </c>
    </row>
    <row r="40" spans="1:13" ht="18" customHeight="1" x14ac:dyDescent="0.3">
      <c r="A40" s="137">
        <f t="shared" si="1"/>
        <v>33</v>
      </c>
      <c r="C40" s="48">
        <f>IF(Tableau98[[#This Row],[STOCK REEL]]&lt;=0,1,"")</f>
        <v>1</v>
      </c>
      <c r="D40" s="54">
        <f>IF(Tableau98[[#This Row],[STOCK REEL]]&lt;=Tableau98[[#This Row],[MINI]],1,"")</f>
        <v>1</v>
      </c>
      <c r="E40" s="49">
        <f>IF(Tableau98[[#This Row],[STOCK REEL]]&gt;=Tableau98[[#This Row],[MINI]],1,"")</f>
        <v>1</v>
      </c>
      <c r="F40" s="55" t="s">
        <v>172</v>
      </c>
      <c r="G40" s="56" t="s">
        <v>340</v>
      </c>
      <c r="H4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0" s="51"/>
      <c r="J40" s="51"/>
      <c r="K40" s="57">
        <v>3.92</v>
      </c>
      <c r="L40" s="104"/>
      <c r="M40" s="58" t="str">
        <f t="shared" ref="M40:M71" si="2">IFERROR(H40*K40/L40,"")</f>
        <v/>
      </c>
    </row>
    <row r="41" spans="1:13" ht="18" customHeight="1" x14ac:dyDescent="0.3">
      <c r="A41" s="137">
        <f t="shared" si="1"/>
        <v>34</v>
      </c>
      <c r="C41" s="48">
        <f>IF(Tableau98[[#This Row],[STOCK REEL]]&lt;=0,1,"")</f>
        <v>1</v>
      </c>
      <c r="D41" s="54">
        <f>IF(Tableau98[[#This Row],[STOCK REEL]]&lt;=Tableau98[[#This Row],[MINI]],1,"")</f>
        <v>1</v>
      </c>
      <c r="E41" s="49">
        <f>IF(Tableau98[[#This Row],[STOCK REEL]]&gt;=Tableau98[[#This Row],[MINI]],1,"")</f>
        <v>1</v>
      </c>
      <c r="F41" s="55" t="s">
        <v>173</v>
      </c>
      <c r="G41" s="56" t="s">
        <v>341</v>
      </c>
      <c r="H4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1" s="51"/>
      <c r="J41" s="51"/>
      <c r="K41" s="57">
        <v>5.52</v>
      </c>
      <c r="L41" s="104"/>
      <c r="M41" s="58" t="str">
        <f t="shared" si="2"/>
        <v/>
      </c>
    </row>
    <row r="42" spans="1:13" ht="18" customHeight="1" x14ac:dyDescent="0.3">
      <c r="A42" s="137">
        <f t="shared" si="1"/>
        <v>35</v>
      </c>
      <c r="C42" s="48">
        <f>IF(Tableau98[[#This Row],[STOCK REEL]]&lt;=0,1,"")</f>
        <v>1</v>
      </c>
      <c r="D42" s="54">
        <f>IF(Tableau98[[#This Row],[STOCK REEL]]&lt;=Tableau98[[#This Row],[MINI]],1,"")</f>
        <v>1</v>
      </c>
      <c r="E42" s="49">
        <f>IF(Tableau98[[#This Row],[STOCK REEL]]&gt;=Tableau98[[#This Row],[MINI]],1,"")</f>
        <v>1</v>
      </c>
      <c r="F42" s="55" t="s">
        <v>174</v>
      </c>
      <c r="G42" s="56" t="s">
        <v>342</v>
      </c>
      <c r="H4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2" s="51"/>
      <c r="J42" s="51"/>
      <c r="K42" s="57">
        <v>9.74</v>
      </c>
      <c r="L42" s="104"/>
      <c r="M42" s="58" t="str">
        <f t="shared" si="2"/>
        <v/>
      </c>
    </row>
    <row r="43" spans="1:13" ht="18" customHeight="1" x14ac:dyDescent="0.3">
      <c r="A43" s="137">
        <f t="shared" si="1"/>
        <v>36</v>
      </c>
      <c r="C43" s="48">
        <f>IF(Tableau98[[#This Row],[STOCK REEL]]&lt;=0,1,"")</f>
        <v>1</v>
      </c>
      <c r="D43" s="54">
        <f>IF(Tableau98[[#This Row],[STOCK REEL]]&lt;=Tableau98[[#This Row],[MINI]],1,"")</f>
        <v>1</v>
      </c>
      <c r="E43" s="49">
        <f>IF(Tableau98[[#This Row],[STOCK REEL]]&gt;=Tableau98[[#This Row],[MINI]],1,"")</f>
        <v>1</v>
      </c>
      <c r="F43" s="55" t="s">
        <v>175</v>
      </c>
      <c r="G43" s="59" t="s">
        <v>343</v>
      </c>
      <c r="H4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3" s="51"/>
      <c r="J43" s="51"/>
      <c r="K43" s="57">
        <v>2.93</v>
      </c>
      <c r="L43" s="104"/>
      <c r="M43" s="58" t="str">
        <f t="shared" si="2"/>
        <v/>
      </c>
    </row>
    <row r="44" spans="1:13" ht="18" customHeight="1" x14ac:dyDescent="0.3">
      <c r="A44" s="137">
        <f t="shared" si="1"/>
        <v>37</v>
      </c>
      <c r="C44" s="48">
        <f>IF(Tableau98[[#This Row],[STOCK REEL]]&lt;=0,1,"")</f>
        <v>1</v>
      </c>
      <c r="D44" s="54">
        <f>IF(Tableau98[[#This Row],[STOCK REEL]]&lt;=Tableau98[[#This Row],[MINI]],1,"")</f>
        <v>1</v>
      </c>
      <c r="E44" s="49">
        <f>IF(Tableau98[[#This Row],[STOCK REEL]]&gt;=Tableau98[[#This Row],[MINI]],1,"")</f>
        <v>1</v>
      </c>
      <c r="F44" s="55" t="s">
        <v>176</v>
      </c>
      <c r="G44" s="59" t="s">
        <v>344</v>
      </c>
      <c r="H4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4" s="51"/>
      <c r="J44" s="51"/>
      <c r="K44" s="57">
        <v>2.2400000000000002</v>
      </c>
      <c r="L44" s="104"/>
      <c r="M44" s="58" t="str">
        <f t="shared" si="2"/>
        <v/>
      </c>
    </row>
    <row r="45" spans="1:13" ht="18" customHeight="1" x14ac:dyDescent="0.3">
      <c r="A45" s="137">
        <f t="shared" si="1"/>
        <v>38</v>
      </c>
      <c r="C45" s="48">
        <f>IF(Tableau98[[#This Row],[STOCK REEL]]&lt;=0,1,"")</f>
        <v>1</v>
      </c>
      <c r="D45" s="54">
        <f>IF(Tableau98[[#This Row],[STOCK REEL]]&lt;=Tableau98[[#This Row],[MINI]],1,"")</f>
        <v>1</v>
      </c>
      <c r="E45" s="49">
        <f>IF(Tableau98[[#This Row],[STOCK REEL]]&gt;=Tableau98[[#This Row],[MINI]],1,"")</f>
        <v>1</v>
      </c>
      <c r="F45" s="55" t="s">
        <v>177</v>
      </c>
      <c r="G45" s="59" t="s">
        <v>345</v>
      </c>
      <c r="H4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5" s="51"/>
      <c r="J45" s="51"/>
      <c r="K45" s="57">
        <v>2.5499999999999998</v>
      </c>
      <c r="L45" s="104"/>
      <c r="M45" s="58" t="str">
        <f t="shared" si="2"/>
        <v/>
      </c>
    </row>
    <row r="46" spans="1:13" ht="18" customHeight="1" x14ac:dyDescent="0.3">
      <c r="A46" s="137">
        <f t="shared" si="1"/>
        <v>39</v>
      </c>
      <c r="C46" s="48">
        <f>IF(Tableau98[[#This Row],[STOCK REEL]]&lt;=0,1,"")</f>
        <v>1</v>
      </c>
      <c r="D46" s="54">
        <f>IF(Tableau98[[#This Row],[STOCK REEL]]&lt;=Tableau98[[#This Row],[MINI]],1,"")</f>
        <v>1</v>
      </c>
      <c r="E46" s="49">
        <f>IF(Tableau98[[#This Row],[STOCK REEL]]&gt;=Tableau98[[#This Row],[MINI]],1,"")</f>
        <v>1</v>
      </c>
      <c r="F46" s="55" t="s">
        <v>178</v>
      </c>
      <c r="G46" s="59" t="s">
        <v>346</v>
      </c>
      <c r="H4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6" s="51"/>
      <c r="J46" s="51"/>
      <c r="K46" s="57">
        <v>2.4</v>
      </c>
      <c r="L46" s="104"/>
      <c r="M46" s="58" t="str">
        <f t="shared" si="2"/>
        <v/>
      </c>
    </row>
    <row r="47" spans="1:13" ht="18" customHeight="1" x14ac:dyDescent="0.3">
      <c r="A47" s="137">
        <f t="shared" si="1"/>
        <v>40</v>
      </c>
      <c r="C47" s="48">
        <f>IF(Tableau98[[#This Row],[STOCK REEL]]&lt;=0,1,"")</f>
        <v>1</v>
      </c>
      <c r="D47" s="54">
        <f>IF(Tableau98[[#This Row],[STOCK REEL]]&lt;=Tableau98[[#This Row],[MINI]],1,"")</f>
        <v>1</v>
      </c>
      <c r="E47" s="49">
        <f>IF(Tableau98[[#This Row],[STOCK REEL]]&gt;=Tableau98[[#This Row],[MINI]],1,"")</f>
        <v>1</v>
      </c>
      <c r="F47" s="55" t="s">
        <v>179</v>
      </c>
      <c r="G47" s="59" t="s">
        <v>347</v>
      </c>
      <c r="H4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7" s="51"/>
      <c r="J47" s="51"/>
      <c r="K47" s="57">
        <v>2.56</v>
      </c>
      <c r="L47" s="104"/>
      <c r="M47" s="58" t="str">
        <f t="shared" si="2"/>
        <v/>
      </c>
    </row>
    <row r="48" spans="1:13" ht="18" customHeight="1" x14ac:dyDescent="0.3">
      <c r="A48" s="137">
        <f t="shared" si="1"/>
        <v>41</v>
      </c>
      <c r="C48" s="48">
        <f>IF(Tableau98[[#This Row],[STOCK REEL]]&lt;=0,1,"")</f>
        <v>1</v>
      </c>
      <c r="D48" s="54">
        <f>IF(Tableau98[[#This Row],[STOCK REEL]]&lt;=Tableau98[[#This Row],[MINI]],1,"")</f>
        <v>1</v>
      </c>
      <c r="E48" s="49">
        <f>IF(Tableau98[[#This Row],[STOCK REEL]]&gt;=Tableau98[[#This Row],[MINI]],1,"")</f>
        <v>1</v>
      </c>
      <c r="F48" s="55" t="s">
        <v>179</v>
      </c>
      <c r="G48" s="59" t="s">
        <v>348</v>
      </c>
      <c r="H4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8" s="51"/>
      <c r="J48" s="51"/>
      <c r="K48" s="57">
        <v>3.7</v>
      </c>
      <c r="L48" s="104"/>
      <c r="M48" s="58" t="str">
        <f t="shared" si="2"/>
        <v/>
      </c>
    </row>
    <row r="49" spans="1:13" ht="18" customHeight="1" x14ac:dyDescent="0.3">
      <c r="A49" s="137">
        <f t="shared" si="1"/>
        <v>42</v>
      </c>
      <c r="C49" s="48">
        <f>IF(Tableau98[[#This Row],[STOCK REEL]]&lt;=0,1,"")</f>
        <v>1</v>
      </c>
      <c r="D49" s="54">
        <f>IF(Tableau98[[#This Row],[STOCK REEL]]&lt;=Tableau98[[#This Row],[MINI]],1,"")</f>
        <v>1</v>
      </c>
      <c r="E49" s="49">
        <f>IF(Tableau98[[#This Row],[STOCK REEL]]&gt;=Tableau98[[#This Row],[MINI]],1,"")</f>
        <v>1</v>
      </c>
      <c r="F49" s="55" t="s">
        <v>180</v>
      </c>
      <c r="G49" s="59" t="s">
        <v>349</v>
      </c>
      <c r="H4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49" s="51"/>
      <c r="J49" s="51"/>
      <c r="K49" s="57">
        <v>4.66</v>
      </c>
      <c r="L49" s="104"/>
      <c r="M49" s="58" t="str">
        <f t="shared" si="2"/>
        <v/>
      </c>
    </row>
    <row r="50" spans="1:13" ht="18" customHeight="1" x14ac:dyDescent="0.3">
      <c r="A50" s="137">
        <f t="shared" si="1"/>
        <v>43</v>
      </c>
      <c r="C50" s="48">
        <f>IF(Tableau98[[#This Row],[STOCK REEL]]&lt;=0,1,"")</f>
        <v>1</v>
      </c>
      <c r="D50" s="54">
        <f>IF(Tableau98[[#This Row],[STOCK REEL]]&lt;=Tableau98[[#This Row],[MINI]],1,"")</f>
        <v>1</v>
      </c>
      <c r="E50" s="49">
        <f>IF(Tableau98[[#This Row],[STOCK REEL]]&gt;=Tableau98[[#This Row],[MINI]],1,"")</f>
        <v>1</v>
      </c>
      <c r="F50" s="55" t="s">
        <v>181</v>
      </c>
      <c r="G50" s="59" t="s">
        <v>350</v>
      </c>
      <c r="H5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0" s="51"/>
      <c r="J50" s="51"/>
      <c r="K50" s="57">
        <v>5.49</v>
      </c>
      <c r="L50" s="104"/>
      <c r="M50" s="58" t="str">
        <f t="shared" si="2"/>
        <v/>
      </c>
    </row>
    <row r="51" spans="1:13" ht="18" customHeight="1" x14ac:dyDescent="0.3">
      <c r="A51" s="137">
        <f t="shared" si="1"/>
        <v>44</v>
      </c>
      <c r="C51" s="48">
        <f>IF(Tableau98[[#This Row],[STOCK REEL]]&lt;=0,1,"")</f>
        <v>1</v>
      </c>
      <c r="D51" s="54">
        <f>IF(Tableau98[[#This Row],[STOCK REEL]]&lt;=Tableau98[[#This Row],[MINI]],1,"")</f>
        <v>1</v>
      </c>
      <c r="E51" s="49">
        <f>IF(Tableau98[[#This Row],[STOCK REEL]]&gt;=Tableau98[[#This Row],[MINI]],1,"")</f>
        <v>1</v>
      </c>
      <c r="F51" s="55" t="s">
        <v>351</v>
      </c>
      <c r="G51" s="59" t="s">
        <v>352</v>
      </c>
      <c r="H5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1" s="51"/>
      <c r="J51" s="51"/>
      <c r="K51" s="57">
        <v>21.42</v>
      </c>
      <c r="L51" s="104"/>
      <c r="M51" s="58" t="str">
        <f t="shared" si="2"/>
        <v/>
      </c>
    </row>
    <row r="52" spans="1:13" ht="18" customHeight="1" x14ac:dyDescent="0.3">
      <c r="A52" s="137">
        <f t="shared" si="1"/>
        <v>45</v>
      </c>
      <c r="C52" s="48">
        <f>IF(Tableau98[[#This Row],[STOCK REEL]]&lt;=0,1,"")</f>
        <v>1</v>
      </c>
      <c r="D52" s="54">
        <f>IF(Tableau98[[#This Row],[STOCK REEL]]&lt;=Tableau98[[#This Row],[MINI]],1,"")</f>
        <v>1</v>
      </c>
      <c r="E52" s="49">
        <f>IF(Tableau98[[#This Row],[STOCK REEL]]&gt;=Tableau98[[#This Row],[MINI]],1,"")</f>
        <v>1</v>
      </c>
      <c r="F52" s="55" t="s">
        <v>182</v>
      </c>
      <c r="G52" s="56" t="s">
        <v>353</v>
      </c>
      <c r="H5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2" s="51"/>
      <c r="J52" s="51"/>
      <c r="K52" s="57">
        <v>0.91</v>
      </c>
      <c r="L52" s="104"/>
      <c r="M52" s="58" t="str">
        <f t="shared" si="2"/>
        <v/>
      </c>
    </row>
    <row r="53" spans="1:13" ht="18" customHeight="1" x14ac:dyDescent="0.3">
      <c r="A53" s="137">
        <f t="shared" si="1"/>
        <v>46</v>
      </c>
      <c r="C53" s="48">
        <f>IF(Tableau98[[#This Row],[STOCK REEL]]&lt;=0,1,"")</f>
        <v>1</v>
      </c>
      <c r="D53" s="54">
        <f>IF(Tableau98[[#This Row],[STOCK REEL]]&lt;=Tableau98[[#This Row],[MINI]],1,"")</f>
        <v>1</v>
      </c>
      <c r="E53" s="49">
        <f>IF(Tableau98[[#This Row],[STOCK REEL]]&gt;=Tableau98[[#This Row],[MINI]],1,"")</f>
        <v>1</v>
      </c>
      <c r="F53" s="55" t="s">
        <v>183</v>
      </c>
      <c r="G53" s="56" t="s">
        <v>354</v>
      </c>
      <c r="H5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3" s="51"/>
      <c r="J53" s="51"/>
      <c r="K53" s="57">
        <v>1.26</v>
      </c>
      <c r="L53" s="104"/>
      <c r="M53" s="58" t="str">
        <f t="shared" si="2"/>
        <v/>
      </c>
    </row>
    <row r="54" spans="1:13" ht="18" customHeight="1" x14ac:dyDescent="0.3">
      <c r="A54" s="137">
        <f t="shared" si="1"/>
        <v>47</v>
      </c>
      <c r="C54" s="48">
        <f>IF(Tableau98[[#This Row],[STOCK REEL]]&lt;=0,1,"")</f>
        <v>1</v>
      </c>
      <c r="D54" s="54">
        <f>IF(Tableau98[[#This Row],[STOCK REEL]]&lt;=Tableau98[[#This Row],[MINI]],1,"")</f>
        <v>1</v>
      </c>
      <c r="E54" s="49">
        <f>IF(Tableau98[[#This Row],[STOCK REEL]]&gt;=Tableau98[[#This Row],[MINI]],1,"")</f>
        <v>1</v>
      </c>
      <c r="F54" s="55" t="s">
        <v>184</v>
      </c>
      <c r="G54" s="56" t="s">
        <v>355</v>
      </c>
      <c r="H5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4" s="51"/>
      <c r="J54" s="51"/>
      <c r="K54" s="57">
        <v>2.75</v>
      </c>
      <c r="L54" s="104"/>
      <c r="M54" s="58" t="str">
        <f t="shared" si="2"/>
        <v/>
      </c>
    </row>
    <row r="55" spans="1:13" ht="18" customHeight="1" x14ac:dyDescent="0.3">
      <c r="A55" s="137">
        <f t="shared" si="1"/>
        <v>48</v>
      </c>
      <c r="C55" s="48">
        <f>IF(Tableau98[[#This Row],[STOCK REEL]]&lt;=0,1,"")</f>
        <v>1</v>
      </c>
      <c r="D55" s="54">
        <f>IF(Tableau98[[#This Row],[STOCK REEL]]&lt;=Tableau98[[#This Row],[MINI]],1,"")</f>
        <v>1</v>
      </c>
      <c r="E55" s="49">
        <f>IF(Tableau98[[#This Row],[STOCK REEL]]&gt;=Tableau98[[#This Row],[MINI]],1,"")</f>
        <v>1</v>
      </c>
      <c r="F55" s="55" t="s">
        <v>185</v>
      </c>
      <c r="G55" s="56" t="s">
        <v>356</v>
      </c>
      <c r="H5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5" s="51"/>
      <c r="J55" s="51"/>
      <c r="K55" s="57">
        <v>3.12</v>
      </c>
      <c r="L55" s="104"/>
      <c r="M55" s="58" t="str">
        <f t="shared" si="2"/>
        <v/>
      </c>
    </row>
    <row r="56" spans="1:13" ht="18" customHeight="1" x14ac:dyDescent="0.3">
      <c r="A56" s="137">
        <f t="shared" si="1"/>
        <v>49</v>
      </c>
      <c r="C56" s="48">
        <f>IF(Tableau98[[#This Row],[STOCK REEL]]&lt;=0,1,"")</f>
        <v>1</v>
      </c>
      <c r="D56" s="54">
        <f>IF(Tableau98[[#This Row],[STOCK REEL]]&lt;=Tableau98[[#This Row],[MINI]],1,"")</f>
        <v>1</v>
      </c>
      <c r="E56" s="49">
        <f>IF(Tableau98[[#This Row],[STOCK REEL]]&gt;=Tableau98[[#This Row],[MINI]],1,"")</f>
        <v>1</v>
      </c>
      <c r="F56" s="55" t="s">
        <v>186</v>
      </c>
      <c r="G56" s="56" t="s">
        <v>357</v>
      </c>
      <c r="H5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6" s="51"/>
      <c r="J56" s="51"/>
      <c r="K56" s="57">
        <v>5.12</v>
      </c>
      <c r="L56" s="104"/>
      <c r="M56" s="58" t="str">
        <f t="shared" si="2"/>
        <v/>
      </c>
    </row>
    <row r="57" spans="1:13" ht="18" customHeight="1" x14ac:dyDescent="0.3">
      <c r="A57" s="137">
        <f t="shared" si="1"/>
        <v>50</v>
      </c>
      <c r="C57" s="48">
        <f>IF(Tableau98[[#This Row],[STOCK REEL]]&lt;=0,1,"")</f>
        <v>1</v>
      </c>
      <c r="D57" s="54">
        <f>IF(Tableau98[[#This Row],[STOCK REEL]]&lt;=Tableau98[[#This Row],[MINI]],1,"")</f>
        <v>1</v>
      </c>
      <c r="E57" s="49">
        <f>IF(Tableau98[[#This Row],[STOCK REEL]]&gt;=Tableau98[[#This Row],[MINI]],1,"")</f>
        <v>1</v>
      </c>
      <c r="F57" s="55" t="s">
        <v>187</v>
      </c>
      <c r="G57" s="56" t="s">
        <v>358</v>
      </c>
      <c r="H5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7" s="51"/>
      <c r="J57" s="51"/>
      <c r="K57" s="57">
        <v>66</v>
      </c>
      <c r="L57" s="104"/>
      <c r="M57" s="58" t="str">
        <f t="shared" si="2"/>
        <v/>
      </c>
    </row>
    <row r="58" spans="1:13" ht="18" customHeight="1" x14ac:dyDescent="0.3">
      <c r="A58" s="137">
        <f t="shared" si="1"/>
        <v>51</v>
      </c>
      <c r="C58" s="48">
        <f>IF(Tableau98[[#This Row],[STOCK REEL]]&lt;=0,1,"")</f>
        <v>1</v>
      </c>
      <c r="D58" s="54">
        <f>IF(Tableau98[[#This Row],[STOCK REEL]]&lt;=Tableau98[[#This Row],[MINI]],1,"")</f>
        <v>1</v>
      </c>
      <c r="E58" s="49">
        <f>IF(Tableau98[[#This Row],[STOCK REEL]]&gt;=Tableau98[[#This Row],[MINI]],1,"")</f>
        <v>1</v>
      </c>
      <c r="F58" s="55" t="s">
        <v>188</v>
      </c>
      <c r="G58" s="56" t="s">
        <v>359</v>
      </c>
      <c r="H5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8" s="51"/>
      <c r="J58" s="51"/>
      <c r="K58" s="57">
        <v>99.8</v>
      </c>
      <c r="L58" s="104"/>
      <c r="M58" s="58" t="str">
        <f t="shared" si="2"/>
        <v/>
      </c>
    </row>
    <row r="59" spans="1:13" ht="18" customHeight="1" x14ac:dyDescent="0.3">
      <c r="A59" s="137">
        <f t="shared" si="1"/>
        <v>52</v>
      </c>
      <c r="C59" s="48">
        <f>IF(Tableau98[[#This Row],[STOCK REEL]]&lt;=0,1,"")</f>
        <v>1</v>
      </c>
      <c r="D59" s="54">
        <f>IF(Tableau98[[#This Row],[STOCK REEL]]&lt;=Tableau98[[#This Row],[MINI]],1,"")</f>
        <v>1</v>
      </c>
      <c r="E59" s="49">
        <f>IF(Tableau98[[#This Row],[STOCK REEL]]&gt;=Tableau98[[#This Row],[MINI]],1,"")</f>
        <v>1</v>
      </c>
      <c r="F59" s="55" t="s">
        <v>189</v>
      </c>
      <c r="G59" s="56" t="s">
        <v>360</v>
      </c>
      <c r="H5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59" s="51"/>
      <c r="J59" s="51"/>
      <c r="K59" s="57">
        <v>139.69999999999999</v>
      </c>
      <c r="L59" s="104"/>
      <c r="M59" s="58" t="str">
        <f t="shared" si="2"/>
        <v/>
      </c>
    </row>
    <row r="60" spans="1:13" ht="18" customHeight="1" x14ac:dyDescent="0.3">
      <c r="A60" s="137">
        <f t="shared" si="1"/>
        <v>53</v>
      </c>
      <c r="C60" s="48">
        <f>IF(Tableau98[[#This Row],[STOCK REEL]]&lt;=0,1,"")</f>
        <v>1</v>
      </c>
      <c r="D60" s="54">
        <f>IF(Tableau98[[#This Row],[STOCK REEL]]&lt;=Tableau98[[#This Row],[MINI]],1,"")</f>
        <v>1</v>
      </c>
      <c r="E60" s="49">
        <f>IF(Tableau98[[#This Row],[STOCK REEL]]&gt;=Tableau98[[#This Row],[MINI]],1,"")</f>
        <v>1</v>
      </c>
      <c r="F60" s="55" t="s">
        <v>190</v>
      </c>
      <c r="G60" s="56" t="s">
        <v>361</v>
      </c>
      <c r="H6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0" s="51"/>
      <c r="J60" s="51"/>
      <c r="K60" s="57">
        <v>193.6</v>
      </c>
      <c r="L60" s="104"/>
      <c r="M60" s="58" t="str">
        <f t="shared" si="2"/>
        <v/>
      </c>
    </row>
    <row r="61" spans="1:13" ht="18" customHeight="1" x14ac:dyDescent="0.3">
      <c r="A61" s="137">
        <f t="shared" si="1"/>
        <v>54</v>
      </c>
      <c r="C61" s="48">
        <f>IF(Tableau98[[#This Row],[STOCK REEL]]&lt;=0,1,"")</f>
        <v>1</v>
      </c>
      <c r="D61" s="54">
        <f>IF(Tableau98[[#This Row],[STOCK REEL]]&lt;=Tableau98[[#This Row],[MINI]],1,"")</f>
        <v>1</v>
      </c>
      <c r="E61" s="49">
        <f>IF(Tableau98[[#This Row],[STOCK REEL]]&gt;=Tableau98[[#This Row],[MINI]],1,"")</f>
        <v>1</v>
      </c>
      <c r="F61" s="55" t="s">
        <v>191</v>
      </c>
      <c r="G61" s="56" t="s">
        <v>362</v>
      </c>
      <c r="H6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1" s="51"/>
      <c r="J61" s="51"/>
      <c r="K61" s="57">
        <v>302.60000000000002</v>
      </c>
      <c r="L61" s="104"/>
      <c r="M61" s="58" t="str">
        <f t="shared" si="2"/>
        <v/>
      </c>
    </row>
    <row r="62" spans="1:13" ht="18" customHeight="1" x14ac:dyDescent="0.3">
      <c r="A62" s="137">
        <f t="shared" si="1"/>
        <v>55</v>
      </c>
      <c r="C62" s="48">
        <f>IF(Tableau98[[#This Row],[STOCK REEL]]&lt;=0,1,"")</f>
        <v>1</v>
      </c>
      <c r="D62" s="54">
        <f>IF(Tableau98[[#This Row],[STOCK REEL]]&lt;=Tableau98[[#This Row],[MINI]],1,"")</f>
        <v>1</v>
      </c>
      <c r="E62" s="49">
        <f>IF(Tableau98[[#This Row],[STOCK REEL]]&gt;=Tableau98[[#This Row],[MINI]],1,"")</f>
        <v>1</v>
      </c>
      <c r="F62" s="55" t="s">
        <v>192</v>
      </c>
      <c r="G62" s="56" t="s">
        <v>363</v>
      </c>
      <c r="H6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2" s="51"/>
      <c r="J62" s="51"/>
      <c r="K62" s="57">
        <v>4.6900000000000004</v>
      </c>
      <c r="L62" s="104"/>
      <c r="M62" s="58" t="str">
        <f t="shared" si="2"/>
        <v/>
      </c>
    </row>
    <row r="63" spans="1:13" ht="18" customHeight="1" x14ac:dyDescent="0.3">
      <c r="A63" s="137">
        <f t="shared" si="1"/>
        <v>56</v>
      </c>
      <c r="C63" s="48">
        <f>IF(Tableau98[[#This Row],[STOCK REEL]]&lt;=0,1,"")</f>
        <v>1</v>
      </c>
      <c r="D63" s="54">
        <f>IF(Tableau98[[#This Row],[STOCK REEL]]&lt;=Tableau98[[#This Row],[MINI]],1,"")</f>
        <v>1</v>
      </c>
      <c r="E63" s="49">
        <f>IF(Tableau98[[#This Row],[STOCK REEL]]&gt;=Tableau98[[#This Row],[MINI]],1,"")</f>
        <v>1</v>
      </c>
      <c r="F63" s="55" t="s">
        <v>195</v>
      </c>
      <c r="G63" s="56" t="s">
        <v>364</v>
      </c>
      <c r="H6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3" s="51"/>
      <c r="J63" s="51"/>
      <c r="K63" s="57">
        <v>36.479999999999997</v>
      </c>
      <c r="L63" s="104"/>
      <c r="M63" s="58" t="str">
        <f t="shared" si="2"/>
        <v/>
      </c>
    </row>
    <row r="64" spans="1:13" ht="18" customHeight="1" x14ac:dyDescent="0.3">
      <c r="A64" s="137">
        <f t="shared" si="1"/>
        <v>57</v>
      </c>
      <c r="C64" s="48">
        <f>IF(Tableau98[[#This Row],[STOCK REEL]]&lt;=0,1,"")</f>
        <v>1</v>
      </c>
      <c r="D64" s="54">
        <f>IF(Tableau98[[#This Row],[STOCK REEL]]&lt;=Tableau98[[#This Row],[MINI]],1,"")</f>
        <v>1</v>
      </c>
      <c r="E64" s="49">
        <f>IF(Tableau98[[#This Row],[STOCK REEL]]&gt;=Tableau98[[#This Row],[MINI]],1,"")</f>
        <v>1</v>
      </c>
      <c r="F64" s="55" t="s">
        <v>196</v>
      </c>
      <c r="G64" s="56" t="s">
        <v>365</v>
      </c>
      <c r="H6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4" s="51"/>
      <c r="J64" s="51"/>
      <c r="K64" s="57">
        <v>45.25</v>
      </c>
      <c r="L64" s="104"/>
      <c r="M64" s="58" t="str">
        <f t="shared" si="2"/>
        <v/>
      </c>
    </row>
    <row r="65" spans="1:13" ht="18" customHeight="1" x14ac:dyDescent="0.3">
      <c r="A65" s="137">
        <f t="shared" si="1"/>
        <v>58</v>
      </c>
      <c r="C65" s="48">
        <f>IF(Tableau98[[#This Row],[STOCK REEL]]&lt;=0,1,"")</f>
        <v>1</v>
      </c>
      <c r="D65" s="54">
        <f>IF(Tableau98[[#This Row],[STOCK REEL]]&lt;=Tableau98[[#This Row],[MINI]],1,"")</f>
        <v>1</v>
      </c>
      <c r="E65" s="49">
        <f>IF(Tableau98[[#This Row],[STOCK REEL]]&gt;=Tableau98[[#This Row],[MINI]],1,"")</f>
        <v>1</v>
      </c>
      <c r="F65" s="55" t="s">
        <v>197</v>
      </c>
      <c r="G65" s="56" t="s">
        <v>366</v>
      </c>
      <c r="H6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5" s="51"/>
      <c r="J65" s="51"/>
      <c r="K65" s="57">
        <v>33.97</v>
      </c>
      <c r="L65" s="104"/>
      <c r="M65" s="58" t="str">
        <f t="shared" si="2"/>
        <v/>
      </c>
    </row>
    <row r="66" spans="1:13" ht="18" customHeight="1" x14ac:dyDescent="0.3">
      <c r="A66" s="137">
        <f t="shared" si="1"/>
        <v>59</v>
      </c>
      <c r="C66" s="48">
        <f>IF(Tableau98[[#This Row],[STOCK REEL]]&lt;=0,1,"")</f>
        <v>1</v>
      </c>
      <c r="D66" s="54">
        <f>IF(Tableau98[[#This Row],[STOCK REEL]]&lt;=Tableau98[[#This Row],[MINI]],1,"")</f>
        <v>1</v>
      </c>
      <c r="E66" s="49">
        <f>IF(Tableau98[[#This Row],[STOCK REEL]]&gt;=Tableau98[[#This Row],[MINI]],1,"")</f>
        <v>1</v>
      </c>
      <c r="F66" s="55" t="s">
        <v>198</v>
      </c>
      <c r="G66" s="56" t="s">
        <v>367</v>
      </c>
      <c r="H6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6" s="51"/>
      <c r="J66" s="51"/>
      <c r="K66" s="57">
        <v>36.200000000000003</v>
      </c>
      <c r="L66" s="104"/>
      <c r="M66" s="58" t="str">
        <f t="shared" si="2"/>
        <v/>
      </c>
    </row>
    <row r="67" spans="1:13" ht="18" customHeight="1" x14ac:dyDescent="0.3">
      <c r="A67" s="137">
        <f t="shared" si="1"/>
        <v>60</v>
      </c>
      <c r="C67" s="48">
        <f>IF(Tableau98[[#This Row],[STOCK REEL]]&lt;=0,1,"")</f>
        <v>1</v>
      </c>
      <c r="D67" s="54">
        <f>IF(Tableau98[[#This Row],[STOCK REEL]]&lt;=Tableau98[[#This Row],[MINI]],1,"")</f>
        <v>1</v>
      </c>
      <c r="E67" s="49">
        <f>IF(Tableau98[[#This Row],[STOCK REEL]]&gt;=Tableau98[[#This Row],[MINI]],1,"")</f>
        <v>1</v>
      </c>
      <c r="F67" s="55" t="s">
        <v>193</v>
      </c>
      <c r="G67" s="56" t="s">
        <v>368</v>
      </c>
      <c r="H6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7" s="51"/>
      <c r="J67" s="51"/>
      <c r="K67" s="57">
        <v>6.77</v>
      </c>
      <c r="L67" s="104"/>
      <c r="M67" s="58" t="str">
        <f t="shared" si="2"/>
        <v/>
      </c>
    </row>
    <row r="68" spans="1:13" ht="18" customHeight="1" x14ac:dyDescent="0.3">
      <c r="A68" s="137">
        <f t="shared" si="1"/>
        <v>61</v>
      </c>
      <c r="C68" s="48">
        <f>IF(Tableau98[[#This Row],[STOCK REEL]]&lt;=0,1,"")</f>
        <v>1</v>
      </c>
      <c r="D68" s="54">
        <f>IF(Tableau98[[#This Row],[STOCK REEL]]&lt;=Tableau98[[#This Row],[MINI]],1,"")</f>
        <v>1</v>
      </c>
      <c r="E68" s="49">
        <f>IF(Tableau98[[#This Row],[STOCK REEL]]&gt;=Tableau98[[#This Row],[MINI]],1,"")</f>
        <v>1</v>
      </c>
      <c r="F68" s="55" t="s">
        <v>194</v>
      </c>
      <c r="G68" s="56" t="s">
        <v>369</v>
      </c>
      <c r="H6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8" s="51"/>
      <c r="J68" s="51"/>
      <c r="K68" s="57">
        <v>8.2799999999999994</v>
      </c>
      <c r="L68" s="104"/>
      <c r="M68" s="58" t="str">
        <f t="shared" si="2"/>
        <v/>
      </c>
    </row>
    <row r="69" spans="1:13" ht="18" customHeight="1" x14ac:dyDescent="0.3">
      <c r="A69" s="137">
        <f t="shared" si="1"/>
        <v>62</v>
      </c>
      <c r="C69" s="48">
        <f>IF(Tableau98[[#This Row],[STOCK REEL]]&lt;=0,1,"")</f>
        <v>1</v>
      </c>
      <c r="D69" s="54">
        <f>IF(Tableau98[[#This Row],[STOCK REEL]]&lt;=Tableau98[[#This Row],[MINI]],1,"")</f>
        <v>1</v>
      </c>
      <c r="E69" s="49">
        <f>IF(Tableau98[[#This Row],[STOCK REEL]]&gt;=Tableau98[[#This Row],[MINI]],1,"")</f>
        <v>1</v>
      </c>
      <c r="F69" s="55" t="s">
        <v>370</v>
      </c>
      <c r="G69" s="56" t="s">
        <v>371</v>
      </c>
      <c r="H6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69" s="51"/>
      <c r="J69" s="51"/>
      <c r="K69" s="57">
        <v>1.31</v>
      </c>
      <c r="L69" s="104"/>
      <c r="M69" s="58" t="str">
        <f t="shared" si="2"/>
        <v/>
      </c>
    </row>
    <row r="70" spans="1:13" ht="18" customHeight="1" x14ac:dyDescent="0.3">
      <c r="A70" s="137">
        <f t="shared" si="1"/>
        <v>63</v>
      </c>
      <c r="C70" s="48">
        <f>IF(Tableau98[[#This Row],[STOCK REEL]]&lt;=0,1,"")</f>
        <v>1</v>
      </c>
      <c r="D70" s="54">
        <f>IF(Tableau98[[#This Row],[STOCK REEL]]&lt;=Tableau98[[#This Row],[MINI]],1,"")</f>
        <v>1</v>
      </c>
      <c r="E70" s="49">
        <f>IF(Tableau98[[#This Row],[STOCK REEL]]&gt;=Tableau98[[#This Row],[MINI]],1,"")</f>
        <v>1</v>
      </c>
      <c r="F70" s="55" t="s">
        <v>372</v>
      </c>
      <c r="G70" s="56"/>
      <c r="H7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0" s="51"/>
      <c r="J70" s="51"/>
      <c r="K70" s="57"/>
      <c r="L70" s="104"/>
      <c r="M70" s="58" t="str">
        <f t="shared" si="2"/>
        <v/>
      </c>
    </row>
    <row r="71" spans="1:13" ht="18" customHeight="1" x14ac:dyDescent="0.3">
      <c r="A71" s="137">
        <f t="shared" si="1"/>
        <v>64</v>
      </c>
      <c r="C71" s="48">
        <f>IF(Tableau98[[#This Row],[STOCK REEL]]&lt;=0,1,"")</f>
        <v>1</v>
      </c>
      <c r="D71" s="54">
        <f>IF(Tableau98[[#This Row],[STOCK REEL]]&lt;=Tableau98[[#This Row],[MINI]],1,"")</f>
        <v>1</v>
      </c>
      <c r="E71" s="49">
        <f>IF(Tableau98[[#This Row],[STOCK REEL]]&gt;=Tableau98[[#This Row],[MINI]],1,"")</f>
        <v>1</v>
      </c>
      <c r="F71" s="55" t="s">
        <v>373</v>
      </c>
      <c r="G71" s="56" t="s">
        <v>374</v>
      </c>
      <c r="H7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1" s="51"/>
      <c r="J71" s="51"/>
      <c r="K71" s="57">
        <v>1.31</v>
      </c>
      <c r="L71" s="104"/>
      <c r="M71" s="58" t="str">
        <f t="shared" si="2"/>
        <v/>
      </c>
    </row>
    <row r="72" spans="1:13" ht="18" customHeight="1" x14ac:dyDescent="0.3">
      <c r="A72" s="137">
        <f t="shared" si="1"/>
        <v>65</v>
      </c>
      <c r="C72" s="48">
        <f>IF(Tableau98[[#This Row],[STOCK REEL]]&lt;=0,1,"")</f>
        <v>1</v>
      </c>
      <c r="D72" s="54">
        <f>IF(Tableau98[[#This Row],[STOCK REEL]]&lt;=Tableau98[[#This Row],[MINI]],1,"")</f>
        <v>1</v>
      </c>
      <c r="E72" s="49">
        <f>IF(Tableau98[[#This Row],[STOCK REEL]]&gt;=Tableau98[[#This Row],[MINI]],1,"")</f>
        <v>1</v>
      </c>
      <c r="F72" s="55" t="s">
        <v>375</v>
      </c>
      <c r="G72" s="56" t="s">
        <v>376</v>
      </c>
      <c r="H7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2" s="51"/>
      <c r="J72" s="51"/>
      <c r="K72" s="57">
        <v>2.58</v>
      </c>
      <c r="L72" s="104"/>
      <c r="M72" s="58" t="str">
        <f t="shared" ref="M72:M103" si="3">IFERROR(H72*K72/L72,"")</f>
        <v/>
      </c>
    </row>
    <row r="73" spans="1:13" ht="18" customHeight="1" x14ac:dyDescent="0.3">
      <c r="A73" s="137">
        <f t="shared" ref="A73:A132" si="4">IF(F73&lt;&gt;"",ROW()-7,"")</f>
        <v>66</v>
      </c>
      <c r="C73" s="48">
        <f>IF(Tableau98[[#This Row],[STOCK REEL]]&lt;=0,1,"")</f>
        <v>1</v>
      </c>
      <c r="D73" s="54">
        <f>IF(Tableau98[[#This Row],[STOCK REEL]]&lt;=Tableau98[[#This Row],[MINI]],1,"")</f>
        <v>1</v>
      </c>
      <c r="E73" s="49">
        <f>IF(Tableau98[[#This Row],[STOCK REEL]]&gt;=Tableau98[[#This Row],[MINI]],1,"")</f>
        <v>1</v>
      </c>
      <c r="F73" s="55" t="s">
        <v>377</v>
      </c>
      <c r="G73" s="56" t="s">
        <v>378</v>
      </c>
      <c r="H7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3" s="51"/>
      <c r="J73" s="51"/>
      <c r="K73" s="57">
        <v>1.31</v>
      </c>
      <c r="L73" s="104"/>
      <c r="M73" s="58" t="str">
        <f t="shared" si="3"/>
        <v/>
      </c>
    </row>
    <row r="74" spans="1:13" ht="18" customHeight="1" x14ac:dyDescent="0.3">
      <c r="A74" s="137">
        <f t="shared" si="4"/>
        <v>67</v>
      </c>
      <c r="C74" s="48">
        <f>IF(Tableau98[[#This Row],[STOCK REEL]]&lt;=0,1,"")</f>
        <v>1</v>
      </c>
      <c r="D74" s="54">
        <f>IF(Tableau98[[#This Row],[STOCK REEL]]&lt;=Tableau98[[#This Row],[MINI]],1,"")</f>
        <v>1</v>
      </c>
      <c r="E74" s="49">
        <f>IF(Tableau98[[#This Row],[STOCK REEL]]&gt;=Tableau98[[#This Row],[MINI]],1,"")</f>
        <v>1</v>
      </c>
      <c r="F74" s="55" t="s">
        <v>379</v>
      </c>
      <c r="G74" s="56" t="s">
        <v>380</v>
      </c>
      <c r="H7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4" s="51"/>
      <c r="J74" s="51"/>
      <c r="K74" s="57">
        <v>2.7</v>
      </c>
      <c r="L74" s="104"/>
      <c r="M74" s="58" t="str">
        <f t="shared" si="3"/>
        <v/>
      </c>
    </row>
    <row r="75" spans="1:13" ht="18" customHeight="1" x14ac:dyDescent="0.3">
      <c r="A75" s="137">
        <f t="shared" si="4"/>
        <v>68</v>
      </c>
      <c r="C75" s="48">
        <f>IF(Tableau98[[#This Row],[STOCK REEL]]&lt;=0,1,"")</f>
        <v>1</v>
      </c>
      <c r="D75" s="54">
        <f>IF(Tableau98[[#This Row],[STOCK REEL]]&lt;=Tableau98[[#This Row],[MINI]],1,"")</f>
        <v>1</v>
      </c>
      <c r="E75" s="49">
        <f>IF(Tableau98[[#This Row],[STOCK REEL]]&gt;=Tableau98[[#This Row],[MINI]],1,"")</f>
        <v>1</v>
      </c>
      <c r="F75" s="55" t="s">
        <v>381</v>
      </c>
      <c r="G75" s="56" t="s">
        <v>382</v>
      </c>
      <c r="H7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5" s="51"/>
      <c r="J75" s="51"/>
      <c r="K75" s="57">
        <v>1.31</v>
      </c>
      <c r="L75" s="104"/>
      <c r="M75" s="58" t="str">
        <f t="shared" si="3"/>
        <v/>
      </c>
    </row>
    <row r="76" spans="1:13" ht="18" customHeight="1" x14ac:dyDescent="0.3">
      <c r="A76" s="137">
        <f t="shared" si="4"/>
        <v>69</v>
      </c>
      <c r="C76" s="48">
        <f>IF(Tableau98[[#This Row],[STOCK REEL]]&lt;=0,1,"")</f>
        <v>1</v>
      </c>
      <c r="D76" s="54">
        <f>IF(Tableau98[[#This Row],[STOCK REEL]]&lt;=Tableau98[[#This Row],[MINI]],1,"")</f>
        <v>1</v>
      </c>
      <c r="E76" s="49">
        <f>IF(Tableau98[[#This Row],[STOCK REEL]]&gt;=Tableau98[[#This Row],[MINI]],1,"")</f>
        <v>1</v>
      </c>
      <c r="F76" s="55" t="s">
        <v>383</v>
      </c>
      <c r="G76" s="56" t="s">
        <v>384</v>
      </c>
      <c r="H7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6" s="51"/>
      <c r="J76" s="51"/>
      <c r="K76" s="57">
        <v>2.7</v>
      </c>
      <c r="L76" s="104"/>
      <c r="M76" s="58" t="str">
        <f t="shared" si="3"/>
        <v/>
      </c>
    </row>
    <row r="77" spans="1:13" ht="18" customHeight="1" x14ac:dyDescent="0.3">
      <c r="A77" s="137">
        <f t="shared" si="4"/>
        <v>70</v>
      </c>
      <c r="C77" s="48">
        <f>IF(Tableau98[[#This Row],[STOCK REEL]]&lt;=0,1,"")</f>
        <v>1</v>
      </c>
      <c r="D77" s="54">
        <f>IF(Tableau98[[#This Row],[STOCK REEL]]&lt;=Tableau98[[#This Row],[MINI]],1,"")</f>
        <v>1</v>
      </c>
      <c r="E77" s="49">
        <f>IF(Tableau98[[#This Row],[STOCK REEL]]&gt;=Tableau98[[#This Row],[MINI]],1,"")</f>
        <v>1</v>
      </c>
      <c r="F77" s="55" t="s">
        <v>385</v>
      </c>
      <c r="G77" s="56" t="s">
        <v>386</v>
      </c>
      <c r="H7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7" s="51"/>
      <c r="J77" s="51"/>
      <c r="K77" s="57">
        <v>1.74</v>
      </c>
      <c r="L77" s="104"/>
      <c r="M77" s="58" t="str">
        <f t="shared" si="3"/>
        <v/>
      </c>
    </row>
    <row r="78" spans="1:13" ht="18" customHeight="1" x14ac:dyDescent="0.3">
      <c r="A78" s="137">
        <f t="shared" si="4"/>
        <v>71</v>
      </c>
      <c r="C78" s="48">
        <f>IF(Tableau98[[#This Row],[STOCK REEL]]&lt;=0,1,"")</f>
        <v>1</v>
      </c>
      <c r="D78" s="54">
        <f>IF(Tableau98[[#This Row],[STOCK REEL]]&lt;=Tableau98[[#This Row],[MINI]],1,"")</f>
        <v>1</v>
      </c>
      <c r="E78" s="49">
        <f>IF(Tableau98[[#This Row],[STOCK REEL]]&gt;=Tableau98[[#This Row],[MINI]],1,"")</f>
        <v>1</v>
      </c>
      <c r="F78" s="55" t="s">
        <v>387</v>
      </c>
      <c r="G78" s="56" t="s">
        <v>388</v>
      </c>
      <c r="H7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8" s="51"/>
      <c r="J78" s="51"/>
      <c r="K78" s="57">
        <v>2.96</v>
      </c>
      <c r="L78" s="104"/>
      <c r="M78" s="58" t="str">
        <f t="shared" si="3"/>
        <v/>
      </c>
    </row>
    <row r="79" spans="1:13" ht="18" customHeight="1" x14ac:dyDescent="0.3">
      <c r="A79" s="137">
        <f t="shared" si="4"/>
        <v>72</v>
      </c>
      <c r="C79" s="48">
        <f>IF(Tableau98[[#This Row],[STOCK REEL]]&lt;=0,1,"")</f>
        <v>1</v>
      </c>
      <c r="D79" s="54">
        <f>IF(Tableau98[[#This Row],[STOCK REEL]]&lt;=Tableau98[[#This Row],[MINI]],1,"")</f>
        <v>1</v>
      </c>
      <c r="E79" s="49">
        <f>IF(Tableau98[[#This Row],[STOCK REEL]]&gt;=Tableau98[[#This Row],[MINI]],1,"")</f>
        <v>1</v>
      </c>
      <c r="F79" s="55" t="s">
        <v>389</v>
      </c>
      <c r="G79" s="56" t="s">
        <v>390</v>
      </c>
      <c r="H7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79" s="51"/>
      <c r="J79" s="51"/>
      <c r="K79" s="57">
        <v>2.92</v>
      </c>
      <c r="L79" s="104"/>
      <c r="M79" s="58" t="str">
        <f t="shared" si="3"/>
        <v/>
      </c>
    </row>
    <row r="80" spans="1:13" ht="18" customHeight="1" x14ac:dyDescent="0.3">
      <c r="A80" s="137">
        <f t="shared" si="4"/>
        <v>73</v>
      </c>
      <c r="C80" s="48">
        <f>IF(Tableau98[[#This Row],[STOCK REEL]]&lt;=0,1,"")</f>
        <v>1</v>
      </c>
      <c r="D80" s="54">
        <f>IF(Tableau98[[#This Row],[STOCK REEL]]&lt;=Tableau98[[#This Row],[MINI]],1,"")</f>
        <v>1</v>
      </c>
      <c r="E80" s="49">
        <f>IF(Tableau98[[#This Row],[STOCK REEL]]&gt;=Tableau98[[#This Row],[MINI]],1,"")</f>
        <v>1</v>
      </c>
      <c r="F80" s="55" t="s">
        <v>391</v>
      </c>
      <c r="G80" s="56" t="s">
        <v>392</v>
      </c>
      <c r="H8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0" s="51"/>
      <c r="J80" s="51"/>
      <c r="K80" s="57">
        <v>7.38</v>
      </c>
      <c r="L80" s="104"/>
      <c r="M80" s="58" t="str">
        <f t="shared" si="3"/>
        <v/>
      </c>
    </row>
    <row r="81" spans="1:13" ht="18" customHeight="1" x14ac:dyDescent="0.3">
      <c r="A81" s="137">
        <f t="shared" si="4"/>
        <v>74</v>
      </c>
      <c r="C81" s="48">
        <f>IF(Tableau98[[#This Row],[STOCK REEL]]&lt;=0,1,"")</f>
        <v>1</v>
      </c>
      <c r="D81" s="54">
        <f>IF(Tableau98[[#This Row],[STOCK REEL]]&lt;=Tableau98[[#This Row],[MINI]],1,"")</f>
        <v>1</v>
      </c>
      <c r="E81" s="49">
        <f>IF(Tableau98[[#This Row],[STOCK REEL]]&gt;=Tableau98[[#This Row],[MINI]],1,"")</f>
        <v>1</v>
      </c>
      <c r="F81" s="55" t="s">
        <v>393</v>
      </c>
      <c r="G81" s="56" t="s">
        <v>392</v>
      </c>
      <c r="H8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1" s="51"/>
      <c r="J81" s="51"/>
      <c r="K81" s="57">
        <v>7.38</v>
      </c>
      <c r="L81" s="104"/>
      <c r="M81" s="58" t="str">
        <f t="shared" si="3"/>
        <v/>
      </c>
    </row>
    <row r="82" spans="1:13" ht="18" customHeight="1" x14ac:dyDescent="0.3">
      <c r="A82" s="137">
        <f t="shared" si="4"/>
        <v>75</v>
      </c>
      <c r="C82" s="48">
        <f>IF(Tableau98[[#This Row],[STOCK REEL]]&lt;=0,1,"")</f>
        <v>1</v>
      </c>
      <c r="D82" s="54">
        <f>IF(Tableau98[[#This Row],[STOCK REEL]]&lt;=Tableau98[[#This Row],[MINI]],1,"")</f>
        <v>1</v>
      </c>
      <c r="E82" s="49">
        <f>IF(Tableau98[[#This Row],[STOCK REEL]]&gt;=Tableau98[[#This Row],[MINI]],1,"")</f>
        <v>1</v>
      </c>
      <c r="F82" s="55" t="s">
        <v>394</v>
      </c>
      <c r="G82" s="56" t="s">
        <v>395</v>
      </c>
      <c r="H8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2" s="51"/>
      <c r="J82" s="51"/>
      <c r="K82" s="57">
        <v>9.5299999999999994</v>
      </c>
      <c r="L82" s="104"/>
      <c r="M82" s="58" t="str">
        <f t="shared" si="3"/>
        <v/>
      </c>
    </row>
    <row r="83" spans="1:13" ht="18" customHeight="1" x14ac:dyDescent="0.3">
      <c r="A83" s="137">
        <f t="shared" si="4"/>
        <v>76</v>
      </c>
      <c r="C83" s="48">
        <f>IF(Tableau98[[#This Row],[STOCK REEL]]&lt;=0,1,"")</f>
        <v>1</v>
      </c>
      <c r="D83" s="54">
        <f>IF(Tableau98[[#This Row],[STOCK REEL]]&lt;=Tableau98[[#This Row],[MINI]],1,"")</f>
        <v>1</v>
      </c>
      <c r="E83" s="49">
        <f>IF(Tableau98[[#This Row],[STOCK REEL]]&gt;=Tableau98[[#This Row],[MINI]],1,"")</f>
        <v>1</v>
      </c>
      <c r="F83" s="55" t="s">
        <v>396</v>
      </c>
      <c r="G83" s="56" t="s">
        <v>397</v>
      </c>
      <c r="H8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3" s="51"/>
      <c r="J83" s="51"/>
      <c r="K83" s="57">
        <v>4.83</v>
      </c>
      <c r="L83" s="104"/>
      <c r="M83" s="58" t="str">
        <f t="shared" si="3"/>
        <v/>
      </c>
    </row>
    <row r="84" spans="1:13" ht="18" customHeight="1" x14ac:dyDescent="0.3">
      <c r="A84" s="137">
        <f t="shared" si="4"/>
        <v>77</v>
      </c>
      <c r="C84" s="48">
        <f>IF(Tableau98[[#This Row],[STOCK REEL]]&lt;=0,1,"")</f>
        <v>1</v>
      </c>
      <c r="D84" s="54">
        <f>IF(Tableau98[[#This Row],[STOCK REEL]]&lt;=Tableau98[[#This Row],[MINI]],1,"")</f>
        <v>1</v>
      </c>
      <c r="E84" s="49">
        <f>IF(Tableau98[[#This Row],[STOCK REEL]]&gt;=Tableau98[[#This Row],[MINI]],1,"")</f>
        <v>1</v>
      </c>
      <c r="F84" s="55" t="s">
        <v>398</v>
      </c>
      <c r="G84" s="56" t="s">
        <v>399</v>
      </c>
      <c r="H8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4" s="51"/>
      <c r="J84" s="51"/>
      <c r="K84" s="57">
        <v>11.94</v>
      </c>
      <c r="L84" s="104"/>
      <c r="M84" s="58" t="str">
        <f t="shared" si="3"/>
        <v/>
      </c>
    </row>
    <row r="85" spans="1:13" ht="18" customHeight="1" x14ac:dyDescent="0.3">
      <c r="A85" s="137">
        <f t="shared" si="4"/>
        <v>78</v>
      </c>
      <c r="C85" s="48">
        <f>IF(Tableau98[[#This Row],[STOCK REEL]]&lt;=0,1,"")</f>
        <v>1</v>
      </c>
      <c r="D85" s="54">
        <f>IF(Tableau98[[#This Row],[STOCK REEL]]&lt;=Tableau98[[#This Row],[MINI]],1,"")</f>
        <v>1</v>
      </c>
      <c r="E85" s="49">
        <f>IF(Tableau98[[#This Row],[STOCK REEL]]&gt;=Tableau98[[#This Row],[MINI]],1,"")</f>
        <v>1</v>
      </c>
      <c r="F85" s="55" t="s">
        <v>400</v>
      </c>
      <c r="G85" s="56" t="s">
        <v>401</v>
      </c>
      <c r="H8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5" s="51"/>
      <c r="J85" s="51"/>
      <c r="K85" s="57">
        <v>6.05</v>
      </c>
      <c r="L85" s="104"/>
      <c r="M85" s="58" t="str">
        <f t="shared" si="3"/>
        <v/>
      </c>
    </row>
    <row r="86" spans="1:13" ht="18" customHeight="1" x14ac:dyDescent="0.3">
      <c r="A86" s="137">
        <f t="shared" si="4"/>
        <v>79</v>
      </c>
      <c r="C86" s="48">
        <f>IF(Tableau98[[#This Row],[STOCK REEL]]&lt;=0,1,"")</f>
        <v>1</v>
      </c>
      <c r="D86" s="54">
        <f>IF(Tableau98[[#This Row],[STOCK REEL]]&lt;=Tableau98[[#This Row],[MINI]],1,"")</f>
        <v>1</v>
      </c>
      <c r="E86" s="49">
        <f>IF(Tableau98[[#This Row],[STOCK REEL]]&gt;=Tableau98[[#This Row],[MINI]],1,"")</f>
        <v>1</v>
      </c>
      <c r="F86" s="55" t="s">
        <v>402</v>
      </c>
      <c r="G86" s="56" t="s">
        <v>403</v>
      </c>
      <c r="H8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6" s="51"/>
      <c r="J86" s="51"/>
      <c r="K86" s="57">
        <v>14.3</v>
      </c>
      <c r="L86" s="104"/>
      <c r="M86" s="58" t="str">
        <f t="shared" si="3"/>
        <v/>
      </c>
    </row>
    <row r="87" spans="1:13" ht="18" customHeight="1" x14ac:dyDescent="0.3">
      <c r="A87" s="137">
        <f t="shared" si="4"/>
        <v>80</v>
      </c>
      <c r="C87" s="48">
        <f>IF(Tableau98[[#This Row],[STOCK REEL]]&lt;=0,1,"")</f>
        <v>1</v>
      </c>
      <c r="D87" s="54">
        <f>IF(Tableau98[[#This Row],[STOCK REEL]]&lt;=Tableau98[[#This Row],[MINI]],1,"")</f>
        <v>1</v>
      </c>
      <c r="E87" s="49">
        <f>IF(Tableau98[[#This Row],[STOCK REEL]]&gt;=Tableau98[[#This Row],[MINI]],1,"")</f>
        <v>1</v>
      </c>
      <c r="F87" s="55" t="s">
        <v>404</v>
      </c>
      <c r="G87" s="56" t="s">
        <v>405</v>
      </c>
      <c r="H8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7" s="51"/>
      <c r="J87" s="51"/>
      <c r="K87" s="57">
        <v>9.48</v>
      </c>
      <c r="L87" s="104"/>
      <c r="M87" s="58" t="str">
        <f t="shared" si="3"/>
        <v/>
      </c>
    </row>
    <row r="88" spans="1:13" ht="18" customHeight="1" x14ac:dyDescent="0.3">
      <c r="A88" s="137">
        <f t="shared" si="4"/>
        <v>81</v>
      </c>
      <c r="C88" s="48">
        <f>IF(Tableau98[[#This Row],[STOCK REEL]]&lt;=0,1,"")</f>
        <v>1</v>
      </c>
      <c r="D88" s="54">
        <f>IF(Tableau98[[#This Row],[STOCK REEL]]&lt;=Tableau98[[#This Row],[MINI]],1,"")</f>
        <v>1</v>
      </c>
      <c r="E88" s="49">
        <f>IF(Tableau98[[#This Row],[STOCK REEL]]&gt;=Tableau98[[#This Row],[MINI]],1,"")</f>
        <v>1</v>
      </c>
      <c r="F88" s="55" t="s">
        <v>406</v>
      </c>
      <c r="G88" s="56" t="s">
        <v>407</v>
      </c>
      <c r="H8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8" s="51"/>
      <c r="J88" s="51"/>
      <c r="K88" s="57">
        <v>13.18</v>
      </c>
      <c r="L88" s="104"/>
      <c r="M88" s="58" t="str">
        <f t="shared" si="3"/>
        <v/>
      </c>
    </row>
    <row r="89" spans="1:13" ht="18" customHeight="1" x14ac:dyDescent="0.3">
      <c r="A89" s="137">
        <f t="shared" si="4"/>
        <v>82</v>
      </c>
      <c r="C89" s="48">
        <f>IF(Tableau98[[#This Row],[STOCK REEL]]&lt;=0,1,"")</f>
        <v>1</v>
      </c>
      <c r="D89" s="54">
        <f>IF(Tableau98[[#This Row],[STOCK REEL]]&lt;=Tableau98[[#This Row],[MINI]],1,"")</f>
        <v>1</v>
      </c>
      <c r="E89" s="49">
        <f>IF(Tableau98[[#This Row],[STOCK REEL]]&gt;=Tableau98[[#This Row],[MINI]],1,"")</f>
        <v>1</v>
      </c>
      <c r="F89" s="55" t="s">
        <v>408</v>
      </c>
      <c r="G89" s="56" t="s">
        <v>409</v>
      </c>
      <c r="H8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89" s="51"/>
      <c r="J89" s="51"/>
      <c r="K89" s="57">
        <v>26.36</v>
      </c>
      <c r="L89" s="104"/>
      <c r="M89" s="58" t="str">
        <f t="shared" si="3"/>
        <v/>
      </c>
    </row>
    <row r="90" spans="1:13" ht="18" customHeight="1" x14ac:dyDescent="0.3">
      <c r="A90" s="137">
        <f t="shared" si="4"/>
        <v>83</v>
      </c>
      <c r="C90" s="48">
        <f>IF(Tableau98[[#This Row],[STOCK REEL]]&lt;=0,1,"")</f>
        <v>1</v>
      </c>
      <c r="D90" s="54">
        <f>IF(Tableau98[[#This Row],[STOCK REEL]]&lt;=Tableau98[[#This Row],[MINI]],1,"")</f>
        <v>1</v>
      </c>
      <c r="E90" s="49">
        <f>IF(Tableau98[[#This Row],[STOCK REEL]]&gt;=Tableau98[[#This Row],[MINI]],1,"")</f>
        <v>1</v>
      </c>
      <c r="F90" s="55" t="s">
        <v>410</v>
      </c>
      <c r="G90" s="56" t="s">
        <v>411</v>
      </c>
      <c r="H9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0" s="51"/>
      <c r="J90" s="51"/>
      <c r="K90" s="57">
        <v>14.16</v>
      </c>
      <c r="L90" s="104"/>
      <c r="M90" s="58" t="str">
        <f t="shared" si="3"/>
        <v/>
      </c>
    </row>
    <row r="91" spans="1:13" ht="18" customHeight="1" x14ac:dyDescent="0.3">
      <c r="A91" s="137">
        <f t="shared" si="4"/>
        <v>84</v>
      </c>
      <c r="C91" s="48">
        <f>IF(Tableau98[[#This Row],[STOCK REEL]]&lt;=0,1,"")</f>
        <v>1</v>
      </c>
      <c r="D91" s="54">
        <f>IF(Tableau98[[#This Row],[STOCK REEL]]&lt;=Tableau98[[#This Row],[MINI]],1,"")</f>
        <v>1</v>
      </c>
      <c r="E91" s="49">
        <f>IF(Tableau98[[#This Row],[STOCK REEL]]&gt;=Tableau98[[#This Row],[MINI]],1,"")</f>
        <v>1</v>
      </c>
      <c r="F91" s="55" t="s">
        <v>412</v>
      </c>
      <c r="G91" s="56" t="s">
        <v>413</v>
      </c>
      <c r="H9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1" s="51"/>
      <c r="J91" s="51"/>
      <c r="K91" s="57">
        <v>14.23</v>
      </c>
      <c r="L91" s="104"/>
      <c r="M91" s="58" t="str">
        <f t="shared" si="3"/>
        <v/>
      </c>
    </row>
    <row r="92" spans="1:13" ht="18" customHeight="1" x14ac:dyDescent="0.3">
      <c r="A92" s="137">
        <f t="shared" si="4"/>
        <v>85</v>
      </c>
      <c r="C92" s="48">
        <f>IF(Tableau98[[#This Row],[STOCK REEL]]&lt;=0,1,"")</f>
        <v>1</v>
      </c>
      <c r="D92" s="54">
        <f>IF(Tableau98[[#This Row],[STOCK REEL]]&lt;=Tableau98[[#This Row],[MINI]],1,"")</f>
        <v>1</v>
      </c>
      <c r="E92" s="49">
        <f>IF(Tableau98[[#This Row],[STOCK REEL]]&gt;=Tableau98[[#This Row],[MINI]],1,"")</f>
        <v>1</v>
      </c>
      <c r="F92" s="55" t="s">
        <v>414</v>
      </c>
      <c r="G92" s="56" t="s">
        <v>415</v>
      </c>
      <c r="H9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2" s="51"/>
      <c r="J92" s="51"/>
      <c r="K92" s="57">
        <v>15.55</v>
      </c>
      <c r="L92" s="104"/>
      <c r="M92" s="58" t="str">
        <f t="shared" si="3"/>
        <v/>
      </c>
    </row>
    <row r="93" spans="1:13" ht="18" customHeight="1" x14ac:dyDescent="0.3">
      <c r="A93" s="137">
        <f t="shared" si="4"/>
        <v>86</v>
      </c>
      <c r="C93" s="48">
        <f>IF(Tableau98[[#This Row],[STOCK REEL]]&lt;=0,1,"")</f>
        <v>1</v>
      </c>
      <c r="D93" s="54">
        <f>IF(Tableau98[[#This Row],[STOCK REEL]]&lt;=Tableau98[[#This Row],[MINI]],1,"")</f>
        <v>1</v>
      </c>
      <c r="E93" s="49">
        <f>IF(Tableau98[[#This Row],[STOCK REEL]]&gt;=Tableau98[[#This Row],[MINI]],1,"")</f>
        <v>1</v>
      </c>
      <c r="F93" s="55" t="s">
        <v>416</v>
      </c>
      <c r="G93" s="56" t="s">
        <v>417</v>
      </c>
      <c r="H9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3" s="51"/>
      <c r="J93" s="51"/>
      <c r="K93" s="57">
        <v>17.16</v>
      </c>
      <c r="L93" s="104"/>
      <c r="M93" s="58" t="str">
        <f t="shared" si="3"/>
        <v/>
      </c>
    </row>
    <row r="94" spans="1:13" ht="18" customHeight="1" x14ac:dyDescent="0.3">
      <c r="A94" s="137">
        <f t="shared" si="4"/>
        <v>87</v>
      </c>
      <c r="C94" s="48">
        <f>IF(Tableau98[[#This Row],[STOCK REEL]]&lt;=0,1,"")</f>
        <v>1</v>
      </c>
      <c r="D94" s="54">
        <f>IF(Tableau98[[#This Row],[STOCK REEL]]&lt;=Tableau98[[#This Row],[MINI]],1,"")</f>
        <v>1</v>
      </c>
      <c r="E94" s="49">
        <f>IF(Tableau98[[#This Row],[STOCK REEL]]&gt;=Tableau98[[#This Row],[MINI]],1,"")</f>
        <v>1</v>
      </c>
      <c r="F94" s="55" t="s">
        <v>418</v>
      </c>
      <c r="G94" s="56" t="s">
        <v>419</v>
      </c>
      <c r="H9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4" s="51"/>
      <c r="J94" s="51"/>
      <c r="K94" s="57">
        <v>26.28</v>
      </c>
      <c r="L94" s="104"/>
      <c r="M94" s="58" t="str">
        <f t="shared" si="3"/>
        <v/>
      </c>
    </row>
    <row r="95" spans="1:13" ht="18" customHeight="1" x14ac:dyDescent="0.3">
      <c r="A95" s="137">
        <f t="shared" si="4"/>
        <v>88</v>
      </c>
      <c r="C95" s="48">
        <f>IF(Tableau98[[#This Row],[STOCK REEL]]&lt;=0,1,"")</f>
        <v>1</v>
      </c>
      <c r="D95" s="54">
        <f>IF(Tableau98[[#This Row],[STOCK REEL]]&lt;=Tableau98[[#This Row],[MINI]],1,"")</f>
        <v>1</v>
      </c>
      <c r="E95" s="49">
        <f>IF(Tableau98[[#This Row],[STOCK REEL]]&gt;=Tableau98[[#This Row],[MINI]],1,"")</f>
        <v>1</v>
      </c>
      <c r="F95" s="55" t="s">
        <v>420</v>
      </c>
      <c r="G95" s="56" t="s">
        <v>421</v>
      </c>
      <c r="H9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5" s="51"/>
      <c r="J95" s="51"/>
      <c r="K95" s="57">
        <v>54.1</v>
      </c>
      <c r="L95" s="104"/>
      <c r="M95" s="58" t="str">
        <f t="shared" si="3"/>
        <v/>
      </c>
    </row>
    <row r="96" spans="1:13" ht="18" customHeight="1" x14ac:dyDescent="0.3">
      <c r="A96" s="137">
        <f t="shared" si="4"/>
        <v>89</v>
      </c>
      <c r="C96" s="48">
        <f>IF(Tableau98[[#This Row],[STOCK REEL]]&lt;=0,1,"")</f>
        <v>1</v>
      </c>
      <c r="D96" s="54">
        <f>IF(Tableau98[[#This Row],[STOCK REEL]]&lt;=Tableau98[[#This Row],[MINI]],1,"")</f>
        <v>1</v>
      </c>
      <c r="E96" s="49">
        <f>IF(Tableau98[[#This Row],[STOCK REEL]]&gt;=Tableau98[[#This Row],[MINI]],1,"")</f>
        <v>1</v>
      </c>
      <c r="F96" s="55" t="s">
        <v>422</v>
      </c>
      <c r="G96" s="56"/>
      <c r="H9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6" s="51"/>
      <c r="J96" s="51"/>
      <c r="K96" s="57"/>
      <c r="L96" s="104"/>
      <c r="M96" s="58" t="str">
        <f t="shared" si="3"/>
        <v/>
      </c>
    </row>
    <row r="97" spans="1:13" ht="18" customHeight="1" x14ac:dyDescent="0.3">
      <c r="A97" s="137">
        <f t="shared" si="4"/>
        <v>90</v>
      </c>
      <c r="C97" s="48">
        <f>IF(Tableau98[[#This Row],[STOCK REEL]]&lt;=0,1,"")</f>
        <v>1</v>
      </c>
      <c r="D97" s="54">
        <f>IF(Tableau98[[#This Row],[STOCK REEL]]&lt;=Tableau98[[#This Row],[MINI]],1,"")</f>
        <v>1</v>
      </c>
      <c r="E97" s="49">
        <f>IF(Tableau98[[#This Row],[STOCK REEL]]&gt;=Tableau98[[#This Row],[MINI]],1,"")</f>
        <v>1</v>
      </c>
      <c r="F97" s="55" t="s">
        <v>423</v>
      </c>
      <c r="G97" s="56" t="s">
        <v>424</v>
      </c>
      <c r="H9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7" s="51"/>
      <c r="J97" s="51"/>
      <c r="K97" s="57">
        <v>16.93</v>
      </c>
      <c r="L97" s="104"/>
      <c r="M97" s="58" t="str">
        <f t="shared" si="3"/>
        <v/>
      </c>
    </row>
    <row r="98" spans="1:13" ht="18" customHeight="1" x14ac:dyDescent="0.3">
      <c r="A98" s="137">
        <f t="shared" si="4"/>
        <v>91</v>
      </c>
      <c r="C98" s="48">
        <f>IF(Tableau98[[#This Row],[STOCK REEL]]&lt;=0,1,"")</f>
        <v>1</v>
      </c>
      <c r="D98" s="54">
        <f>IF(Tableau98[[#This Row],[STOCK REEL]]&lt;=Tableau98[[#This Row],[MINI]],1,"")</f>
        <v>1</v>
      </c>
      <c r="E98" s="49">
        <f>IF(Tableau98[[#This Row],[STOCK REEL]]&gt;=Tableau98[[#This Row],[MINI]],1,"")</f>
        <v>1</v>
      </c>
      <c r="F98" s="55" t="s">
        <v>425</v>
      </c>
      <c r="G98" s="56" t="s">
        <v>426</v>
      </c>
      <c r="H9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8" s="51"/>
      <c r="J98" s="51"/>
      <c r="K98" s="57">
        <v>17.149999999999999</v>
      </c>
      <c r="L98" s="104"/>
      <c r="M98" s="58" t="str">
        <f t="shared" si="3"/>
        <v/>
      </c>
    </row>
    <row r="99" spans="1:13" ht="18" customHeight="1" x14ac:dyDescent="0.3">
      <c r="A99" s="137">
        <f t="shared" si="4"/>
        <v>92</v>
      </c>
      <c r="C99" s="48">
        <f>IF(Tableau98[[#This Row],[STOCK REEL]]&lt;=0,1,"")</f>
        <v>1</v>
      </c>
      <c r="D99" s="54">
        <f>IF(Tableau98[[#This Row],[STOCK REEL]]&lt;=Tableau98[[#This Row],[MINI]],1,"")</f>
        <v>1</v>
      </c>
      <c r="E99" s="49">
        <f>IF(Tableau98[[#This Row],[STOCK REEL]]&gt;=Tableau98[[#This Row],[MINI]],1,"")</f>
        <v>1</v>
      </c>
      <c r="F99" s="55" t="s">
        <v>427</v>
      </c>
      <c r="G99" s="56" t="s">
        <v>428</v>
      </c>
      <c r="H9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99" s="51"/>
      <c r="J99" s="51"/>
      <c r="K99" s="57">
        <v>17.68</v>
      </c>
      <c r="L99" s="104"/>
      <c r="M99" s="58" t="str">
        <f t="shared" si="3"/>
        <v/>
      </c>
    </row>
    <row r="100" spans="1:13" ht="18" customHeight="1" x14ac:dyDescent="0.3">
      <c r="A100" s="137">
        <f t="shared" si="4"/>
        <v>93</v>
      </c>
      <c r="C100" s="48">
        <f>IF(Tableau98[[#This Row],[STOCK REEL]]&lt;=0,1,"")</f>
        <v>1</v>
      </c>
      <c r="D100" s="54">
        <f>IF(Tableau98[[#This Row],[STOCK REEL]]&lt;=Tableau98[[#This Row],[MINI]],1,"")</f>
        <v>1</v>
      </c>
      <c r="E100" s="49">
        <f>IF(Tableau98[[#This Row],[STOCK REEL]]&gt;=Tableau98[[#This Row],[MINI]],1,"")</f>
        <v>1</v>
      </c>
      <c r="F100" s="55" t="s">
        <v>429</v>
      </c>
      <c r="G100" s="56" t="s">
        <v>430</v>
      </c>
      <c r="H10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0" s="51"/>
      <c r="J100" s="51"/>
      <c r="K100" s="57">
        <v>18.93</v>
      </c>
      <c r="L100" s="104"/>
      <c r="M100" s="58" t="str">
        <f t="shared" si="3"/>
        <v/>
      </c>
    </row>
    <row r="101" spans="1:13" ht="18" customHeight="1" x14ac:dyDescent="0.3">
      <c r="A101" s="137">
        <f t="shared" si="4"/>
        <v>94</v>
      </c>
      <c r="C101" s="48">
        <f>IF(Tableau98[[#This Row],[STOCK REEL]]&lt;=0,1,"")</f>
        <v>1</v>
      </c>
      <c r="D101" s="54">
        <f>IF(Tableau98[[#This Row],[STOCK REEL]]&lt;=Tableau98[[#This Row],[MINI]],1,"")</f>
        <v>1</v>
      </c>
      <c r="E101" s="49">
        <f>IF(Tableau98[[#This Row],[STOCK REEL]]&gt;=Tableau98[[#This Row],[MINI]],1,"")</f>
        <v>1</v>
      </c>
      <c r="F101" s="55" t="s">
        <v>431</v>
      </c>
      <c r="G101" s="56" t="s">
        <v>432</v>
      </c>
      <c r="H10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1" s="51"/>
      <c r="J101" s="51"/>
      <c r="K101" s="57">
        <v>21.58</v>
      </c>
      <c r="L101" s="104"/>
      <c r="M101" s="58" t="str">
        <f t="shared" si="3"/>
        <v/>
      </c>
    </row>
    <row r="102" spans="1:13" ht="18" customHeight="1" x14ac:dyDescent="0.3">
      <c r="A102" s="137">
        <f t="shared" si="4"/>
        <v>95</v>
      </c>
      <c r="C102" s="48">
        <f>IF(Tableau98[[#This Row],[STOCK REEL]]&lt;=0,1,"")</f>
        <v>1</v>
      </c>
      <c r="D102" s="54">
        <f>IF(Tableau98[[#This Row],[STOCK REEL]]&lt;=Tableau98[[#This Row],[MINI]],1,"")</f>
        <v>1</v>
      </c>
      <c r="E102" s="49">
        <f>IF(Tableau98[[#This Row],[STOCK REEL]]&gt;=Tableau98[[#This Row],[MINI]],1,"")</f>
        <v>1</v>
      </c>
      <c r="F102" s="55" t="s">
        <v>433</v>
      </c>
      <c r="G102" s="56" t="s">
        <v>434</v>
      </c>
      <c r="H10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2" s="51"/>
      <c r="J102" s="51"/>
      <c r="K102" s="57">
        <v>22.97</v>
      </c>
      <c r="L102" s="104"/>
      <c r="M102" s="58" t="str">
        <f t="shared" si="3"/>
        <v/>
      </c>
    </row>
    <row r="103" spans="1:13" ht="18" customHeight="1" x14ac:dyDescent="0.3">
      <c r="A103" s="137">
        <f t="shared" si="4"/>
        <v>96</v>
      </c>
      <c r="C103" s="48">
        <f>IF(Tableau98[[#This Row],[STOCK REEL]]&lt;=0,1,"")</f>
        <v>1</v>
      </c>
      <c r="D103" s="54">
        <f>IF(Tableau98[[#This Row],[STOCK REEL]]&lt;=Tableau98[[#This Row],[MINI]],1,"")</f>
        <v>1</v>
      </c>
      <c r="E103" s="49">
        <f>IF(Tableau98[[#This Row],[STOCK REEL]]&gt;=Tableau98[[#This Row],[MINI]],1,"")</f>
        <v>1</v>
      </c>
      <c r="F103" s="55" t="s">
        <v>435</v>
      </c>
      <c r="G103" s="56" t="s">
        <v>436</v>
      </c>
      <c r="H10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3" s="51"/>
      <c r="J103" s="51"/>
      <c r="K103" s="57">
        <v>27.24</v>
      </c>
      <c r="L103" s="104"/>
      <c r="M103" s="58" t="str">
        <f t="shared" si="3"/>
        <v/>
      </c>
    </row>
    <row r="104" spans="1:13" ht="18" customHeight="1" x14ac:dyDescent="0.3">
      <c r="A104" s="137">
        <f t="shared" si="4"/>
        <v>97</v>
      </c>
      <c r="C104" s="48">
        <f>IF(Tableau98[[#This Row],[STOCK REEL]]&lt;=0,1,"")</f>
        <v>1</v>
      </c>
      <c r="D104" s="54">
        <f>IF(Tableau98[[#This Row],[STOCK REEL]]&lt;=Tableau98[[#This Row],[MINI]],1,"")</f>
        <v>1</v>
      </c>
      <c r="E104" s="49">
        <f>IF(Tableau98[[#This Row],[STOCK REEL]]&gt;=Tableau98[[#This Row],[MINI]],1,"")</f>
        <v>1</v>
      </c>
      <c r="F104" s="55" t="s">
        <v>437</v>
      </c>
      <c r="G104" s="56" t="s">
        <v>438</v>
      </c>
      <c r="H10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4" s="51"/>
      <c r="J104" s="51"/>
      <c r="K104" s="57">
        <v>27.79</v>
      </c>
      <c r="L104" s="104"/>
      <c r="M104" s="58" t="str">
        <f t="shared" ref="M104:M132" si="5">IFERROR(H104*K104/L104,"")</f>
        <v/>
      </c>
    </row>
    <row r="105" spans="1:13" ht="18" customHeight="1" x14ac:dyDescent="0.3">
      <c r="A105" s="137">
        <f t="shared" si="4"/>
        <v>98</v>
      </c>
      <c r="C105" s="48">
        <f>IF(Tableau98[[#This Row],[STOCK REEL]]&lt;=0,1,"")</f>
        <v>1</v>
      </c>
      <c r="D105" s="54">
        <f>IF(Tableau98[[#This Row],[STOCK REEL]]&lt;=Tableau98[[#This Row],[MINI]],1,"")</f>
        <v>1</v>
      </c>
      <c r="E105" s="49">
        <f>IF(Tableau98[[#This Row],[STOCK REEL]]&gt;=Tableau98[[#This Row],[MINI]],1,"")</f>
        <v>1</v>
      </c>
      <c r="F105" s="55" t="s">
        <v>439</v>
      </c>
      <c r="G105" s="56" t="s">
        <v>440</v>
      </c>
      <c r="H10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5" s="51"/>
      <c r="J105" s="51"/>
      <c r="K105" s="57">
        <v>28.6</v>
      </c>
      <c r="L105" s="104"/>
      <c r="M105" s="58" t="str">
        <f t="shared" si="5"/>
        <v/>
      </c>
    </row>
    <row r="106" spans="1:13" ht="18" customHeight="1" x14ac:dyDescent="0.3">
      <c r="A106" s="137">
        <f t="shared" si="4"/>
        <v>99</v>
      </c>
      <c r="C106" s="48">
        <f>IF(Tableau98[[#This Row],[STOCK REEL]]&lt;=0,1,"")</f>
        <v>1</v>
      </c>
      <c r="D106" s="54">
        <f>IF(Tableau98[[#This Row],[STOCK REEL]]&lt;=Tableau98[[#This Row],[MINI]],1,"")</f>
        <v>1</v>
      </c>
      <c r="E106" s="49">
        <f>IF(Tableau98[[#This Row],[STOCK REEL]]&gt;=Tableau98[[#This Row],[MINI]],1,"")</f>
        <v>1</v>
      </c>
      <c r="F106" s="55" t="s">
        <v>441</v>
      </c>
      <c r="G106" s="56" t="s">
        <v>442</v>
      </c>
      <c r="H10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6" s="51"/>
      <c r="J106" s="51"/>
      <c r="K106" s="57">
        <v>10.84</v>
      </c>
      <c r="L106" s="104"/>
      <c r="M106" s="58" t="str">
        <f t="shared" si="5"/>
        <v/>
      </c>
    </row>
    <row r="107" spans="1:13" ht="18" customHeight="1" x14ac:dyDescent="0.3">
      <c r="A107" s="137">
        <f t="shared" si="4"/>
        <v>100</v>
      </c>
      <c r="C107" s="48">
        <f>IF(Tableau98[[#This Row],[STOCK REEL]]&lt;=0,1,"")</f>
        <v>1</v>
      </c>
      <c r="D107" s="54">
        <f>IF(Tableau98[[#This Row],[STOCK REEL]]&lt;=Tableau98[[#This Row],[MINI]],1,"")</f>
        <v>1</v>
      </c>
      <c r="E107" s="49">
        <f>IF(Tableau98[[#This Row],[STOCK REEL]]&gt;=Tableau98[[#This Row],[MINI]],1,"")</f>
        <v>1</v>
      </c>
      <c r="F107" s="55" t="s">
        <v>443</v>
      </c>
      <c r="G107" s="56"/>
      <c r="H10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7" s="51"/>
      <c r="J107" s="51"/>
      <c r="K107" s="57"/>
      <c r="L107" s="104"/>
      <c r="M107" s="58" t="str">
        <f t="shared" si="5"/>
        <v/>
      </c>
    </row>
    <row r="108" spans="1:13" ht="18" customHeight="1" x14ac:dyDescent="0.3">
      <c r="A108" s="137">
        <f t="shared" si="4"/>
        <v>101</v>
      </c>
      <c r="C108" s="48">
        <f>IF(Tableau98[[#This Row],[STOCK REEL]]&lt;=0,1,"")</f>
        <v>1</v>
      </c>
      <c r="D108" s="54">
        <f>IF(Tableau98[[#This Row],[STOCK REEL]]&lt;=Tableau98[[#This Row],[MINI]],1,"")</f>
        <v>1</v>
      </c>
      <c r="E108" s="49">
        <f>IF(Tableau98[[#This Row],[STOCK REEL]]&gt;=Tableau98[[#This Row],[MINI]],1,"")</f>
        <v>1</v>
      </c>
      <c r="F108" s="55" t="s">
        <v>444</v>
      </c>
      <c r="G108" s="56" t="s">
        <v>445</v>
      </c>
      <c r="H10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8" s="51"/>
      <c r="J108" s="51"/>
      <c r="K108" s="57">
        <v>44.8</v>
      </c>
      <c r="L108" s="104"/>
      <c r="M108" s="58" t="str">
        <f t="shared" si="5"/>
        <v/>
      </c>
    </row>
    <row r="109" spans="1:13" ht="18" customHeight="1" x14ac:dyDescent="0.3">
      <c r="A109" s="137">
        <f t="shared" si="4"/>
        <v>102</v>
      </c>
      <c r="C109" s="48">
        <f>IF(Tableau98[[#This Row],[STOCK REEL]]&lt;=0,1,"")</f>
        <v>1</v>
      </c>
      <c r="D109" s="54">
        <f>IF(Tableau98[[#This Row],[STOCK REEL]]&lt;=Tableau98[[#This Row],[MINI]],1,"")</f>
        <v>1</v>
      </c>
      <c r="E109" s="49">
        <f>IF(Tableau98[[#This Row],[STOCK REEL]]&gt;=Tableau98[[#This Row],[MINI]],1,"")</f>
        <v>1</v>
      </c>
      <c r="F109" s="55" t="s">
        <v>446</v>
      </c>
      <c r="G109" s="56" t="s">
        <v>447</v>
      </c>
      <c r="H10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09" s="51"/>
      <c r="J109" s="51"/>
      <c r="K109" s="57">
        <v>47.8</v>
      </c>
      <c r="L109" s="104"/>
      <c r="M109" s="58" t="str">
        <f t="shared" si="5"/>
        <v/>
      </c>
    </row>
    <row r="110" spans="1:13" ht="18" customHeight="1" x14ac:dyDescent="0.3">
      <c r="A110" s="137">
        <f t="shared" si="4"/>
        <v>103</v>
      </c>
      <c r="C110" s="48">
        <f>IF(Tableau98[[#This Row],[STOCK REEL]]&lt;=0,1,"")</f>
        <v>1</v>
      </c>
      <c r="D110" s="54">
        <f>IF(Tableau98[[#This Row],[STOCK REEL]]&lt;=Tableau98[[#This Row],[MINI]],1,"")</f>
        <v>1</v>
      </c>
      <c r="E110" s="49">
        <f>IF(Tableau98[[#This Row],[STOCK REEL]]&gt;=Tableau98[[#This Row],[MINI]],1,"")</f>
        <v>1</v>
      </c>
      <c r="F110" s="55" t="s">
        <v>448</v>
      </c>
      <c r="G110" s="56" t="s">
        <v>449</v>
      </c>
      <c r="H11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0" s="51"/>
      <c r="J110" s="51"/>
      <c r="K110" s="57">
        <v>54.2</v>
      </c>
      <c r="L110" s="104"/>
      <c r="M110" s="58" t="str">
        <f t="shared" si="5"/>
        <v/>
      </c>
    </row>
    <row r="111" spans="1:13" ht="18" customHeight="1" x14ac:dyDescent="0.3">
      <c r="A111" s="137">
        <f t="shared" si="4"/>
        <v>104</v>
      </c>
      <c r="C111" s="48">
        <f>IF(Tableau98[[#This Row],[STOCK REEL]]&lt;=0,1,"")</f>
        <v>1</v>
      </c>
      <c r="D111" s="54">
        <f>IF(Tableau98[[#This Row],[STOCK REEL]]&lt;=Tableau98[[#This Row],[MINI]],1,"")</f>
        <v>1</v>
      </c>
      <c r="E111" s="49">
        <f>IF(Tableau98[[#This Row],[STOCK REEL]]&gt;=Tableau98[[#This Row],[MINI]],1,"")</f>
        <v>1</v>
      </c>
      <c r="F111" s="55" t="s">
        <v>450</v>
      </c>
      <c r="G111" s="56" t="s">
        <v>451</v>
      </c>
      <c r="H11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1" s="51"/>
      <c r="J111" s="51"/>
      <c r="K111" s="57">
        <v>74.2</v>
      </c>
      <c r="L111" s="104"/>
      <c r="M111" s="58" t="str">
        <f t="shared" si="5"/>
        <v/>
      </c>
    </row>
    <row r="112" spans="1:13" ht="18" customHeight="1" x14ac:dyDescent="0.3">
      <c r="A112" s="137">
        <f t="shared" si="4"/>
        <v>105</v>
      </c>
      <c r="C112" s="48">
        <f>IF(Tableau98[[#This Row],[STOCK REEL]]&lt;=0,1,"")</f>
        <v>1</v>
      </c>
      <c r="D112" s="54">
        <f>IF(Tableau98[[#This Row],[STOCK REEL]]&lt;=Tableau98[[#This Row],[MINI]],1,"")</f>
        <v>1</v>
      </c>
      <c r="E112" s="49">
        <f>IF(Tableau98[[#This Row],[STOCK REEL]]&gt;=Tableau98[[#This Row],[MINI]],1,"")</f>
        <v>1</v>
      </c>
      <c r="F112" s="55" t="s">
        <v>452</v>
      </c>
      <c r="G112" s="56" t="s">
        <v>453</v>
      </c>
      <c r="H11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2" s="51"/>
      <c r="J112" s="51"/>
      <c r="K112" s="57">
        <v>101.3</v>
      </c>
      <c r="L112" s="104"/>
      <c r="M112" s="58" t="str">
        <f t="shared" si="5"/>
        <v/>
      </c>
    </row>
    <row r="113" spans="1:13" ht="18" customHeight="1" x14ac:dyDescent="0.3">
      <c r="A113" s="137">
        <f t="shared" si="4"/>
        <v>106</v>
      </c>
      <c r="C113" s="48">
        <f>IF(Tableau98[[#This Row],[STOCK REEL]]&lt;=0,1,"")</f>
        <v>1</v>
      </c>
      <c r="D113" s="54">
        <f>IF(Tableau98[[#This Row],[STOCK REEL]]&lt;=Tableau98[[#This Row],[MINI]],1,"")</f>
        <v>1</v>
      </c>
      <c r="E113" s="49">
        <f>IF(Tableau98[[#This Row],[STOCK REEL]]&gt;=Tableau98[[#This Row],[MINI]],1,"")</f>
        <v>1</v>
      </c>
      <c r="F113" s="55" t="s">
        <v>199</v>
      </c>
      <c r="G113" s="56" t="s">
        <v>454</v>
      </c>
      <c r="H11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3" s="51"/>
      <c r="J113" s="51"/>
      <c r="K113" s="57">
        <v>3.39</v>
      </c>
      <c r="L113" s="104"/>
      <c r="M113" s="58" t="str">
        <f t="shared" si="5"/>
        <v/>
      </c>
    </row>
    <row r="114" spans="1:13" ht="18" customHeight="1" x14ac:dyDescent="0.3">
      <c r="A114" s="137">
        <f t="shared" si="4"/>
        <v>107</v>
      </c>
      <c r="C114" s="48">
        <f>IF(Tableau98[[#This Row],[STOCK REEL]]&lt;=0,1,"")</f>
        <v>1</v>
      </c>
      <c r="D114" s="54">
        <f>IF(Tableau98[[#This Row],[STOCK REEL]]&lt;=Tableau98[[#This Row],[MINI]],1,"")</f>
        <v>1</v>
      </c>
      <c r="E114" s="49">
        <f>IF(Tableau98[[#This Row],[STOCK REEL]]&gt;=Tableau98[[#This Row],[MINI]],1,"")</f>
        <v>1</v>
      </c>
      <c r="F114" s="55" t="s">
        <v>200</v>
      </c>
      <c r="G114" s="56" t="s">
        <v>455</v>
      </c>
      <c r="H11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4" s="51"/>
      <c r="J114" s="51"/>
      <c r="K114" s="57">
        <v>4.6500000000000004</v>
      </c>
      <c r="L114" s="104"/>
      <c r="M114" s="58" t="str">
        <f t="shared" si="5"/>
        <v/>
      </c>
    </row>
    <row r="115" spans="1:13" ht="18" customHeight="1" x14ac:dyDescent="0.3">
      <c r="A115" s="137">
        <f t="shared" si="4"/>
        <v>108</v>
      </c>
      <c r="C115" s="48">
        <f>IF(Tableau98[[#This Row],[STOCK REEL]]&lt;=0,1,"")</f>
        <v>1</v>
      </c>
      <c r="D115" s="54">
        <f>IF(Tableau98[[#This Row],[STOCK REEL]]&lt;=Tableau98[[#This Row],[MINI]],1,"")</f>
        <v>1</v>
      </c>
      <c r="E115" s="49">
        <f>IF(Tableau98[[#This Row],[STOCK REEL]]&gt;=Tableau98[[#This Row],[MINI]],1,"")</f>
        <v>1</v>
      </c>
      <c r="F115" s="55" t="s">
        <v>201</v>
      </c>
      <c r="G115" s="56" t="s">
        <v>456</v>
      </c>
      <c r="H11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5" s="51"/>
      <c r="J115" s="51"/>
      <c r="K115" s="57">
        <v>5.84</v>
      </c>
      <c r="L115" s="104"/>
      <c r="M115" s="58" t="str">
        <f t="shared" si="5"/>
        <v/>
      </c>
    </row>
    <row r="116" spans="1:13" ht="18" customHeight="1" x14ac:dyDescent="0.3">
      <c r="A116" s="137">
        <f t="shared" si="4"/>
        <v>109</v>
      </c>
      <c r="C116" s="48">
        <f>IF(Tableau98[[#This Row],[STOCK REEL]]&lt;=0,1,"")</f>
        <v>1</v>
      </c>
      <c r="D116" s="54">
        <f>IF(Tableau98[[#This Row],[STOCK REEL]]&lt;=Tableau98[[#This Row],[MINI]],1,"")</f>
        <v>1</v>
      </c>
      <c r="E116" s="49">
        <f>IF(Tableau98[[#This Row],[STOCK REEL]]&gt;=Tableau98[[#This Row],[MINI]],1,"")</f>
        <v>1</v>
      </c>
      <c r="F116" s="55" t="s">
        <v>202</v>
      </c>
      <c r="G116" s="56" t="s">
        <v>457</v>
      </c>
      <c r="H11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6" s="51"/>
      <c r="J116" s="51"/>
      <c r="K116" s="57">
        <v>6.35</v>
      </c>
      <c r="L116" s="104"/>
      <c r="M116" s="58" t="str">
        <f t="shared" si="5"/>
        <v/>
      </c>
    </row>
    <row r="117" spans="1:13" ht="18" customHeight="1" x14ac:dyDescent="0.3">
      <c r="A117" s="137">
        <f t="shared" si="4"/>
        <v>110</v>
      </c>
      <c r="C117" s="48">
        <f>IF(Tableau98[[#This Row],[STOCK REEL]]&lt;=0,1,"")</f>
        <v>1</v>
      </c>
      <c r="D117" s="54">
        <f>IF(Tableau98[[#This Row],[STOCK REEL]]&lt;=Tableau98[[#This Row],[MINI]],1,"")</f>
        <v>1</v>
      </c>
      <c r="E117" s="49">
        <f>IF(Tableau98[[#This Row],[STOCK REEL]]&gt;=Tableau98[[#This Row],[MINI]],1,"")</f>
        <v>1</v>
      </c>
      <c r="F117" s="55" t="s">
        <v>203</v>
      </c>
      <c r="G117" s="56" t="s">
        <v>458</v>
      </c>
      <c r="H11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7" s="51"/>
      <c r="J117" s="51"/>
      <c r="K117" s="57">
        <v>7.33</v>
      </c>
      <c r="L117" s="104"/>
      <c r="M117" s="58" t="str">
        <f t="shared" si="5"/>
        <v/>
      </c>
    </row>
    <row r="118" spans="1:13" ht="18" customHeight="1" x14ac:dyDescent="0.3">
      <c r="A118" s="137">
        <f t="shared" si="4"/>
        <v>111</v>
      </c>
      <c r="C118" s="48">
        <f>IF(Tableau98[[#This Row],[STOCK REEL]]&lt;=0,1,"")</f>
        <v>1</v>
      </c>
      <c r="D118" s="54">
        <f>IF(Tableau98[[#This Row],[STOCK REEL]]&lt;=Tableau98[[#This Row],[MINI]],1,"")</f>
        <v>1</v>
      </c>
      <c r="E118" s="49">
        <f>IF(Tableau98[[#This Row],[STOCK REEL]]&gt;=Tableau98[[#This Row],[MINI]],1,"")</f>
        <v>1</v>
      </c>
      <c r="F118" s="55" t="s">
        <v>204</v>
      </c>
      <c r="G118" s="56" t="s">
        <v>459</v>
      </c>
      <c r="H11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8" s="51"/>
      <c r="J118" s="51"/>
      <c r="K118" s="57">
        <v>9.6300000000000008</v>
      </c>
      <c r="L118" s="104"/>
      <c r="M118" s="58" t="str">
        <f t="shared" si="5"/>
        <v/>
      </c>
    </row>
    <row r="119" spans="1:13" ht="18" customHeight="1" x14ac:dyDescent="0.3">
      <c r="A119" s="137">
        <f t="shared" si="4"/>
        <v>112</v>
      </c>
      <c r="C119" s="48">
        <f>IF(Tableau98[[#This Row],[STOCK REEL]]&lt;=0,1,"")</f>
        <v>1</v>
      </c>
      <c r="D119" s="54">
        <f>IF(Tableau98[[#This Row],[STOCK REEL]]&lt;=Tableau98[[#This Row],[MINI]],1,"")</f>
        <v>1</v>
      </c>
      <c r="E119" s="49">
        <f>IF(Tableau98[[#This Row],[STOCK REEL]]&gt;=Tableau98[[#This Row],[MINI]],1,"")</f>
        <v>1</v>
      </c>
      <c r="F119" s="55" t="s">
        <v>205</v>
      </c>
      <c r="G119" s="56" t="s">
        <v>460</v>
      </c>
      <c r="H11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19" s="51"/>
      <c r="J119" s="51"/>
      <c r="K119" s="57">
        <v>18.34</v>
      </c>
      <c r="L119" s="104"/>
      <c r="M119" s="58" t="str">
        <f t="shared" si="5"/>
        <v/>
      </c>
    </row>
    <row r="120" spans="1:13" ht="18" customHeight="1" x14ac:dyDescent="0.3">
      <c r="A120" s="137">
        <f t="shared" si="4"/>
        <v>113</v>
      </c>
      <c r="C120" s="48">
        <f>IF(Tableau98[[#This Row],[STOCK REEL]]&lt;=0,1,"")</f>
        <v>1</v>
      </c>
      <c r="D120" s="54">
        <f>IF(Tableau98[[#This Row],[STOCK REEL]]&lt;=Tableau98[[#This Row],[MINI]],1,"")</f>
        <v>1</v>
      </c>
      <c r="E120" s="49">
        <f>IF(Tableau98[[#This Row],[STOCK REEL]]&gt;=Tableau98[[#This Row],[MINI]],1,"")</f>
        <v>1</v>
      </c>
      <c r="F120" s="55" t="s">
        <v>461</v>
      </c>
      <c r="G120" s="56" t="s">
        <v>206</v>
      </c>
      <c r="H12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0" s="51"/>
      <c r="J120" s="51"/>
      <c r="K120" s="57">
        <v>13.09</v>
      </c>
      <c r="L120" s="104"/>
      <c r="M120" s="58" t="str">
        <f t="shared" si="5"/>
        <v/>
      </c>
    </row>
    <row r="121" spans="1:13" ht="18" customHeight="1" x14ac:dyDescent="0.3">
      <c r="A121" s="137">
        <f t="shared" si="4"/>
        <v>114</v>
      </c>
      <c r="C121" s="48">
        <f>IF(Tableau98[[#This Row],[STOCK REEL]]&lt;=0,1,"")</f>
        <v>1</v>
      </c>
      <c r="D121" s="54">
        <f>IF(Tableau98[[#This Row],[STOCK REEL]]&lt;=Tableau98[[#This Row],[MINI]],1,"")</f>
        <v>1</v>
      </c>
      <c r="E121" s="49">
        <f>IF(Tableau98[[#This Row],[STOCK REEL]]&gt;=Tableau98[[#This Row],[MINI]],1,"")</f>
        <v>1</v>
      </c>
      <c r="F121" s="55" t="s">
        <v>207</v>
      </c>
      <c r="G121" s="56" t="s">
        <v>208</v>
      </c>
      <c r="H12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1" s="51"/>
      <c r="J121" s="51"/>
      <c r="K121" s="57">
        <v>10.68</v>
      </c>
      <c r="L121" s="104"/>
      <c r="M121" s="58" t="str">
        <f t="shared" si="5"/>
        <v/>
      </c>
    </row>
    <row r="122" spans="1:13" ht="18" customHeight="1" x14ac:dyDescent="0.3">
      <c r="A122" s="137">
        <f t="shared" si="4"/>
        <v>115</v>
      </c>
      <c r="C122" s="48">
        <f>IF(Tableau98[[#This Row],[STOCK REEL]]&lt;=0,1,"")</f>
        <v>1</v>
      </c>
      <c r="D122" s="54">
        <f>IF(Tableau98[[#This Row],[STOCK REEL]]&lt;=Tableau98[[#This Row],[MINI]],1,"")</f>
        <v>1</v>
      </c>
      <c r="E122" s="49">
        <f>IF(Tableau98[[#This Row],[STOCK REEL]]&gt;=Tableau98[[#This Row],[MINI]],1,"")</f>
        <v>1</v>
      </c>
      <c r="F122" s="55" t="s">
        <v>218</v>
      </c>
      <c r="G122" s="56" t="s">
        <v>217</v>
      </c>
      <c r="H12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2" s="51"/>
      <c r="J122" s="51"/>
      <c r="K122" s="57">
        <v>10.86</v>
      </c>
      <c r="L122" s="104"/>
      <c r="M122" s="58" t="str">
        <f t="shared" si="5"/>
        <v/>
      </c>
    </row>
    <row r="123" spans="1:13" ht="18" customHeight="1" x14ac:dyDescent="0.3">
      <c r="A123" s="137">
        <f t="shared" si="4"/>
        <v>116</v>
      </c>
      <c r="C123" s="48">
        <f>IF(Tableau98[[#This Row],[STOCK REEL]]&lt;=0,1,"")</f>
        <v>1</v>
      </c>
      <c r="D123" s="54">
        <f>IF(Tableau98[[#This Row],[STOCK REEL]]&lt;=Tableau98[[#This Row],[MINI]],1,"")</f>
        <v>1</v>
      </c>
      <c r="E123" s="49">
        <f>IF(Tableau98[[#This Row],[STOCK REEL]]&gt;=Tableau98[[#This Row],[MINI]],1,"")</f>
        <v>1</v>
      </c>
      <c r="F123" s="55" t="s">
        <v>219</v>
      </c>
      <c r="G123" s="56" t="s">
        <v>220</v>
      </c>
      <c r="H12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3" s="51"/>
      <c r="J123" s="51"/>
      <c r="K123" s="57">
        <v>9.1999999999999993</v>
      </c>
      <c r="L123" s="104"/>
      <c r="M123" s="58" t="str">
        <f t="shared" si="5"/>
        <v/>
      </c>
    </row>
    <row r="124" spans="1:13" ht="18" customHeight="1" x14ac:dyDescent="0.3">
      <c r="A124" s="137">
        <f t="shared" si="4"/>
        <v>117</v>
      </c>
      <c r="C124" s="48">
        <f>IF(Tableau98[[#This Row],[STOCK REEL]]&lt;=0,1,"")</f>
        <v>1</v>
      </c>
      <c r="D124" s="54">
        <f>IF(Tableau98[[#This Row],[STOCK REEL]]&lt;=Tableau98[[#This Row],[MINI]],1,"")</f>
        <v>1</v>
      </c>
      <c r="E124" s="49">
        <f>IF(Tableau98[[#This Row],[STOCK REEL]]&gt;=Tableau98[[#This Row],[MINI]],1,"")</f>
        <v>1</v>
      </c>
      <c r="F124" s="55" t="s">
        <v>462</v>
      </c>
      <c r="G124" s="56" t="s">
        <v>463</v>
      </c>
      <c r="H12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4" s="51"/>
      <c r="J124" s="51"/>
      <c r="K124" s="57">
        <v>48.36</v>
      </c>
      <c r="L124" s="104"/>
      <c r="M124" s="58" t="str">
        <f t="shared" si="5"/>
        <v/>
      </c>
    </row>
    <row r="125" spans="1:13" ht="18" customHeight="1" x14ac:dyDescent="0.3">
      <c r="A125" s="137">
        <f t="shared" si="4"/>
        <v>118</v>
      </c>
      <c r="C125" s="48">
        <f>IF(Tableau98[[#This Row],[STOCK REEL]]&lt;=0,1,"")</f>
        <v>1</v>
      </c>
      <c r="D125" s="54">
        <f>IF(Tableau98[[#This Row],[STOCK REEL]]&lt;=Tableau98[[#This Row],[MINI]],1,"")</f>
        <v>1</v>
      </c>
      <c r="E125" s="49">
        <f>IF(Tableau98[[#This Row],[STOCK REEL]]&gt;=Tableau98[[#This Row],[MINI]],1,"")</f>
        <v>1</v>
      </c>
      <c r="F125" s="55" t="s">
        <v>464</v>
      </c>
      <c r="G125" s="56" t="s">
        <v>465</v>
      </c>
      <c r="H12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5" s="51"/>
      <c r="J125" s="51"/>
      <c r="K125" s="57">
        <v>6.57</v>
      </c>
      <c r="L125" s="104"/>
      <c r="M125" s="58" t="str">
        <f t="shared" si="5"/>
        <v/>
      </c>
    </row>
    <row r="126" spans="1:13" ht="18" customHeight="1" x14ac:dyDescent="0.3">
      <c r="A126" s="137">
        <f t="shared" si="4"/>
        <v>119</v>
      </c>
      <c r="C126" s="48">
        <f>IF(Tableau98[[#This Row],[STOCK REEL]]&lt;=0,1,"")</f>
        <v>1</v>
      </c>
      <c r="D126" s="54">
        <f>IF(Tableau98[[#This Row],[STOCK REEL]]&lt;=Tableau98[[#This Row],[MINI]],1,"")</f>
        <v>1</v>
      </c>
      <c r="E126" s="49">
        <f>IF(Tableau98[[#This Row],[STOCK REEL]]&gt;=Tableau98[[#This Row],[MINI]],1,"")</f>
        <v>1</v>
      </c>
      <c r="F126" s="55" t="s">
        <v>466</v>
      </c>
      <c r="G126" s="56" t="s">
        <v>467</v>
      </c>
      <c r="H126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6" s="51"/>
      <c r="J126" s="51"/>
      <c r="K126" s="57">
        <v>3.76</v>
      </c>
      <c r="L126" s="104"/>
      <c r="M126" s="58" t="str">
        <f t="shared" si="5"/>
        <v/>
      </c>
    </row>
    <row r="127" spans="1:13" ht="18" customHeight="1" x14ac:dyDescent="0.3">
      <c r="A127" s="137">
        <f t="shared" si="4"/>
        <v>120</v>
      </c>
      <c r="C127" s="48">
        <f>IF(Tableau98[[#This Row],[STOCK REEL]]&lt;=0,1,"")</f>
        <v>1</v>
      </c>
      <c r="D127" s="54">
        <f>IF(Tableau98[[#This Row],[STOCK REEL]]&lt;=Tableau98[[#This Row],[MINI]],1,"")</f>
        <v>1</v>
      </c>
      <c r="E127" s="49">
        <f>IF(Tableau98[[#This Row],[STOCK REEL]]&gt;=Tableau98[[#This Row],[MINI]],1,"")</f>
        <v>1</v>
      </c>
      <c r="F127" s="55" t="s">
        <v>468</v>
      </c>
      <c r="G127" s="56" t="s">
        <v>469</v>
      </c>
      <c r="H127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7" s="51"/>
      <c r="J127" s="51"/>
      <c r="K127" s="57">
        <v>2.1800000000000002</v>
      </c>
      <c r="L127" s="104"/>
      <c r="M127" s="58" t="str">
        <f t="shared" si="5"/>
        <v/>
      </c>
    </row>
    <row r="128" spans="1:13" ht="18" customHeight="1" x14ac:dyDescent="0.3">
      <c r="A128" s="137">
        <f t="shared" si="4"/>
        <v>121</v>
      </c>
      <c r="C128" s="48">
        <f>IF(Tableau98[[#This Row],[STOCK REEL]]&lt;=0,1,"")</f>
        <v>1</v>
      </c>
      <c r="D128" s="54">
        <f>IF(Tableau98[[#This Row],[STOCK REEL]]&lt;=Tableau98[[#This Row],[MINI]],1,"")</f>
        <v>1</v>
      </c>
      <c r="E128" s="49">
        <f>IF(Tableau98[[#This Row],[STOCK REEL]]&gt;=Tableau98[[#This Row],[MINI]],1,"")</f>
        <v>1</v>
      </c>
      <c r="F128" s="55" t="s">
        <v>470</v>
      </c>
      <c r="G128" s="56" t="s">
        <v>471</v>
      </c>
      <c r="H128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8" s="51"/>
      <c r="J128" s="51"/>
      <c r="K128" s="57">
        <v>1.72</v>
      </c>
      <c r="L128" s="104"/>
      <c r="M128" s="58" t="str">
        <f t="shared" si="5"/>
        <v/>
      </c>
    </row>
    <row r="129" spans="1:13" ht="18" customHeight="1" x14ac:dyDescent="0.3">
      <c r="A129" s="137">
        <f t="shared" si="4"/>
        <v>122</v>
      </c>
      <c r="C129" s="48">
        <f>IF(Tableau98[[#This Row],[STOCK REEL]]&lt;=0,1,"")</f>
        <v>1</v>
      </c>
      <c r="D129" s="54">
        <f>IF(Tableau98[[#This Row],[STOCK REEL]]&lt;=Tableau98[[#This Row],[MINI]],1,"")</f>
        <v>1</v>
      </c>
      <c r="E129" s="49">
        <f>IF(Tableau98[[#This Row],[STOCK REEL]]&gt;=Tableau98[[#This Row],[MINI]],1,"")</f>
        <v>1</v>
      </c>
      <c r="F129" s="55" t="s">
        <v>468</v>
      </c>
      <c r="G129" s="56" t="s">
        <v>472</v>
      </c>
      <c r="H129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29" s="51"/>
      <c r="J129" s="51"/>
      <c r="K129" s="57">
        <v>1.46</v>
      </c>
      <c r="L129" s="104"/>
      <c r="M129" s="58" t="str">
        <f t="shared" si="5"/>
        <v/>
      </c>
    </row>
    <row r="130" spans="1:13" ht="18" customHeight="1" x14ac:dyDescent="0.3">
      <c r="A130" s="137">
        <f t="shared" si="4"/>
        <v>123</v>
      </c>
      <c r="C130" s="48">
        <f>IF(Tableau98[[#This Row],[STOCK REEL]]&lt;=0,1,"")</f>
        <v>1</v>
      </c>
      <c r="D130" s="54">
        <f>IF(Tableau98[[#This Row],[STOCK REEL]]&lt;=Tableau98[[#This Row],[MINI]],1,"")</f>
        <v>1</v>
      </c>
      <c r="E130" s="49">
        <f>IF(Tableau98[[#This Row],[STOCK REEL]]&gt;=Tableau98[[#This Row],[MINI]],1,"")</f>
        <v>1</v>
      </c>
      <c r="F130" s="55" t="s">
        <v>473</v>
      </c>
      <c r="G130" s="56" t="s">
        <v>474</v>
      </c>
      <c r="H130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30" s="51"/>
      <c r="J130" s="51"/>
      <c r="K130" s="57">
        <v>19.38</v>
      </c>
      <c r="L130" s="104"/>
      <c r="M130" s="58" t="str">
        <f t="shared" si="5"/>
        <v/>
      </c>
    </row>
    <row r="131" spans="1:13" ht="18" customHeight="1" x14ac:dyDescent="0.3">
      <c r="A131" s="137">
        <f t="shared" si="4"/>
        <v>124</v>
      </c>
      <c r="C131" s="48">
        <f>IF(Tableau98[[#This Row],[STOCK REEL]]&lt;=0,1,"")</f>
        <v>1</v>
      </c>
      <c r="D131" s="54">
        <f>IF(Tableau98[[#This Row],[STOCK REEL]]&lt;=Tableau98[[#This Row],[MINI]],1,"")</f>
        <v>1</v>
      </c>
      <c r="E131" s="49">
        <f>IF(Tableau98[[#This Row],[STOCK REEL]]&gt;=Tableau98[[#This Row],[MINI]],1,"")</f>
        <v>1</v>
      </c>
      <c r="F131" s="55" t="s">
        <v>475</v>
      </c>
      <c r="G131" s="56" t="s">
        <v>476</v>
      </c>
      <c r="H131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31" s="51"/>
      <c r="J131" s="51"/>
      <c r="K131" s="57">
        <v>28.9</v>
      </c>
      <c r="L131" s="104"/>
      <c r="M131" s="58" t="str">
        <f t="shared" si="5"/>
        <v/>
      </c>
    </row>
    <row r="132" spans="1:13" ht="18" customHeight="1" x14ac:dyDescent="0.3">
      <c r="A132" s="137">
        <f t="shared" si="4"/>
        <v>125</v>
      </c>
      <c r="C132" s="48">
        <f>IF(Tableau98[[#This Row],[STOCK REEL]]&lt;=0,1,"")</f>
        <v>1</v>
      </c>
      <c r="D132" s="54">
        <f>IF(Tableau98[[#This Row],[STOCK REEL]]&lt;=Tableau98[[#This Row],[MINI]],1,"")</f>
        <v>1</v>
      </c>
      <c r="E132" s="49">
        <f>IF(Tableau98[[#This Row],[STOCK REEL]]&gt;=Tableau98[[#This Row],[MINI]],1,"")</f>
        <v>1</v>
      </c>
      <c r="F132" s="55" t="s">
        <v>477</v>
      </c>
      <c r="G132" s="56" t="s">
        <v>478</v>
      </c>
      <c r="H132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32" s="51"/>
      <c r="J132" s="51"/>
      <c r="K132" s="57">
        <v>34.9</v>
      </c>
      <c r="L132" s="104"/>
      <c r="M132" s="58" t="str">
        <f t="shared" si="5"/>
        <v/>
      </c>
    </row>
    <row r="133" spans="1:13" ht="18" customHeight="1" x14ac:dyDescent="0.3">
      <c r="C133" s="108">
        <f>IF(Tableau98[[#This Row],[STOCK REEL]]&lt;=0,1,"")</f>
        <v>1</v>
      </c>
      <c r="D133" s="310">
        <f>IF(Tableau98[[#This Row],[STOCK REEL]]&lt;=Tableau98[[#This Row],[MINI]],1,"")</f>
        <v>1</v>
      </c>
      <c r="E133" s="109">
        <f>IF(Tableau98[[#This Row],[STOCK REEL]]&gt;=Tableau98[[#This Row],[MINI]],1,"")</f>
        <v>1</v>
      </c>
      <c r="F133" s="55" t="s">
        <v>578</v>
      </c>
      <c r="G133" s="56" t="s">
        <v>578</v>
      </c>
      <c r="H133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33" s="51"/>
      <c r="J133" s="51"/>
      <c r="K133" s="57"/>
      <c r="L133" s="104"/>
      <c r="M133" s="58" t="str">
        <f>IFERROR(H133*K133/L133,"")</f>
        <v/>
      </c>
    </row>
    <row r="134" spans="1:13" ht="18" customHeight="1" x14ac:dyDescent="0.3">
      <c r="C134" s="108">
        <f>IF(Tableau98[[#This Row],[STOCK REEL]]&lt;=0,1,"")</f>
        <v>1</v>
      </c>
      <c r="D134" s="310">
        <f>IF(Tableau98[[#This Row],[STOCK REEL]]&lt;=Tableau98[[#This Row],[MINI]],1,"")</f>
        <v>1</v>
      </c>
      <c r="E134" s="109">
        <f>IF(Tableau98[[#This Row],[STOCK REEL]]&gt;=Tableau98[[#This Row],[MINI]],1,"")</f>
        <v>1</v>
      </c>
      <c r="F134" s="55" t="s">
        <v>579</v>
      </c>
      <c r="G134" s="56" t="s">
        <v>579</v>
      </c>
      <c r="H134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34" s="51"/>
      <c r="J134" s="51"/>
      <c r="K134" s="57"/>
      <c r="L134" s="104"/>
      <c r="M134" s="58" t="str">
        <f>IFERROR(H134*K134/L134,"")</f>
        <v/>
      </c>
    </row>
    <row r="135" spans="1:13" ht="18" customHeight="1" x14ac:dyDescent="0.3">
      <c r="C135" s="108">
        <f>IF(Tableau98[[#This Row],[STOCK REEL]]&lt;=0,1,"")</f>
        <v>1</v>
      </c>
      <c r="D135" s="310">
        <f>IF(Tableau98[[#This Row],[STOCK REEL]]&lt;=Tableau98[[#This Row],[MINI]],1,"")</f>
        <v>1</v>
      </c>
      <c r="E135" s="109" t="str">
        <f>IF(Tableau98[[#This Row],[STOCK REEL]]&gt;=Tableau98[[#This Row],[MINI]],1,"")</f>
        <v/>
      </c>
      <c r="F135" s="55" t="s">
        <v>580</v>
      </c>
      <c r="G135" s="56" t="s">
        <v>580</v>
      </c>
      <c r="H135" s="309">
        <f>SUMIFS(Tableau4[QUANTITE],Tableau4[REFERENCE],Tableau98[[#This Row],[REFERENCE]],Tableau4[ENTREE],"Entrée")-SUMIFS(Tableau4[QUANTITE],Tableau4[REFERENCE],Tableau98[[#This Row],[REFERENCE]],Tableau4[ENTREE],"Sortie")+SUMIFS(Tableau5[QUANTITE],Tableau5[REFERENCE],Tableau98[[#This Row],[REFERENCE]],Tableau5[ENTREE],"RETOUR")-SUMIFS(Tableau5[QUANTITE],Tableau5[REFERENCE],Tableau98[[#This Row],[REFERENCE]],Tableau5[ENTREE],"SORTIE")</f>
        <v>0</v>
      </c>
      <c r="I135" s="51" t="s">
        <v>580</v>
      </c>
      <c r="J135" s="51" t="s">
        <v>580</v>
      </c>
      <c r="K135" s="57" t="s">
        <v>580</v>
      </c>
      <c r="L135" s="104"/>
      <c r="M135" s="58" t="str">
        <f>IFERROR(H135*K135/L135,"")</f>
        <v/>
      </c>
    </row>
    <row r="136" spans="1:13" ht="18" customHeight="1" x14ac:dyDescent="0.3">
      <c r="C136" s="48"/>
      <c r="D136" s="54"/>
      <c r="E136" s="49"/>
      <c r="G136" s="59"/>
    </row>
    <row r="137" spans="1:13" ht="18" customHeight="1" x14ac:dyDescent="0.3">
      <c r="C137" s="48"/>
      <c r="D137" s="54"/>
      <c r="E137" s="49"/>
      <c r="G137" s="59"/>
    </row>
    <row r="138" spans="1:13" ht="18" customHeight="1" x14ac:dyDescent="0.3">
      <c r="C138" s="48"/>
      <c r="D138" s="54"/>
      <c r="E138" s="49"/>
      <c r="G138" s="59"/>
    </row>
    <row r="139" spans="1:13" ht="18" customHeight="1" x14ac:dyDescent="0.3">
      <c r="C139" s="48"/>
      <c r="D139" s="54"/>
      <c r="E139" s="49"/>
      <c r="G139" s="59"/>
    </row>
    <row r="140" spans="1:13" ht="18" customHeight="1" x14ac:dyDescent="0.3">
      <c r="C140" s="48"/>
      <c r="D140" s="54"/>
      <c r="E140" s="49"/>
      <c r="G140" s="59"/>
    </row>
    <row r="141" spans="1:13" ht="18" customHeight="1" x14ac:dyDescent="0.3">
      <c r="C141" s="48"/>
      <c r="D141" s="54"/>
      <c r="E141" s="49"/>
      <c r="G141" s="59"/>
    </row>
    <row r="142" spans="1:13" ht="18" customHeight="1" x14ac:dyDescent="0.3">
      <c r="C142" s="48"/>
      <c r="D142" s="54"/>
      <c r="E142" s="49"/>
      <c r="G142" s="59"/>
    </row>
    <row r="143" spans="1:13" ht="18" customHeight="1" x14ac:dyDescent="0.3">
      <c r="C143" s="48"/>
      <c r="D143" s="54"/>
      <c r="E143" s="49"/>
      <c r="G143" s="59"/>
    </row>
    <row r="144" spans="1:13" ht="18" customHeight="1" x14ac:dyDescent="0.3">
      <c r="C144" s="48"/>
      <c r="D144" s="54"/>
      <c r="E144" s="49"/>
      <c r="G144" s="59"/>
    </row>
    <row r="145" spans="3:7" ht="18" customHeight="1" x14ac:dyDescent="0.3">
      <c r="C145" s="48"/>
      <c r="D145" s="54"/>
      <c r="E145" s="49"/>
      <c r="G145" s="59"/>
    </row>
    <row r="146" spans="3:7" ht="18" customHeight="1" x14ac:dyDescent="0.3">
      <c r="C146" s="48"/>
      <c r="D146" s="54"/>
      <c r="E146" s="49"/>
      <c r="G146" s="59"/>
    </row>
    <row r="147" spans="3:7" ht="18" customHeight="1" x14ac:dyDescent="0.3">
      <c r="C147" s="48"/>
      <c r="D147" s="54"/>
      <c r="E147" s="49"/>
      <c r="G147" s="59"/>
    </row>
    <row r="148" spans="3:7" ht="18" customHeight="1" x14ac:dyDescent="0.3">
      <c r="C148" s="48"/>
      <c r="D148" s="54"/>
      <c r="E148" s="49"/>
      <c r="G148" s="59"/>
    </row>
    <row r="149" spans="3:7" ht="18" customHeight="1" x14ac:dyDescent="0.3">
      <c r="C149" s="48"/>
      <c r="D149" s="54"/>
      <c r="E149" s="49"/>
      <c r="G149" s="59"/>
    </row>
    <row r="150" spans="3:7" ht="18" customHeight="1" x14ac:dyDescent="0.3">
      <c r="C150" s="48"/>
      <c r="D150" s="54"/>
      <c r="E150" s="49"/>
      <c r="G150" s="59"/>
    </row>
    <row r="151" spans="3:7" ht="18" customHeight="1" x14ac:dyDescent="0.3">
      <c r="C151" s="48"/>
      <c r="D151" s="54"/>
      <c r="E151" s="49"/>
      <c r="G151" s="59"/>
    </row>
    <row r="152" spans="3:7" ht="18" customHeight="1" x14ac:dyDescent="0.3">
      <c r="C152" s="48"/>
      <c r="D152" s="54"/>
      <c r="E152" s="49"/>
      <c r="G152" s="59"/>
    </row>
    <row r="153" spans="3:7" ht="18" customHeight="1" x14ac:dyDescent="0.3">
      <c r="C153" s="48"/>
      <c r="D153" s="54"/>
      <c r="E153" s="49"/>
      <c r="G153" s="59"/>
    </row>
    <row r="154" spans="3:7" ht="18" customHeight="1" x14ac:dyDescent="0.3">
      <c r="C154" s="48"/>
      <c r="D154" s="54"/>
      <c r="E154" s="49"/>
      <c r="G154" s="59"/>
    </row>
    <row r="155" spans="3:7" ht="18" customHeight="1" x14ac:dyDescent="0.3">
      <c r="C155" s="48"/>
      <c r="D155" s="54"/>
      <c r="E155" s="49"/>
      <c r="G155" s="59"/>
    </row>
    <row r="156" spans="3:7" ht="18" customHeight="1" x14ac:dyDescent="0.3">
      <c r="C156" s="48"/>
      <c r="D156" s="54"/>
      <c r="E156" s="49"/>
      <c r="G156" s="59"/>
    </row>
    <row r="157" spans="3:7" ht="18" customHeight="1" x14ac:dyDescent="0.3">
      <c r="C157" s="48"/>
      <c r="D157" s="54"/>
      <c r="E157" s="49"/>
      <c r="G157" s="59"/>
    </row>
    <row r="158" spans="3:7" ht="18" customHeight="1" x14ac:dyDescent="0.3">
      <c r="C158" s="48"/>
      <c r="D158" s="54"/>
      <c r="E158" s="49"/>
      <c r="G158" s="59"/>
    </row>
    <row r="159" spans="3:7" ht="18" customHeight="1" x14ac:dyDescent="0.3">
      <c r="C159" s="48"/>
      <c r="D159" s="54"/>
      <c r="E159" s="49"/>
      <c r="G159" s="59"/>
    </row>
    <row r="160" spans="3:7" ht="18" customHeight="1" x14ac:dyDescent="0.3">
      <c r="C160" s="48"/>
      <c r="D160" s="54"/>
      <c r="E160" s="49"/>
      <c r="G160" s="59"/>
    </row>
    <row r="161" spans="3:7" ht="18" customHeight="1" x14ac:dyDescent="0.3">
      <c r="C161" s="48"/>
      <c r="D161" s="54"/>
      <c r="E161" s="49"/>
      <c r="G161" s="59"/>
    </row>
    <row r="162" spans="3:7" ht="18" customHeight="1" x14ac:dyDescent="0.3">
      <c r="C162" s="48"/>
      <c r="D162" s="54"/>
      <c r="E162" s="49"/>
      <c r="G162" s="59"/>
    </row>
    <row r="163" spans="3:7" ht="18" customHeight="1" x14ac:dyDescent="0.3">
      <c r="C163" s="48"/>
      <c r="D163" s="54"/>
      <c r="E163" s="49"/>
      <c r="G163" s="59"/>
    </row>
    <row r="164" spans="3:7" ht="18" customHeight="1" x14ac:dyDescent="0.3">
      <c r="C164" s="48"/>
      <c r="D164" s="54"/>
      <c r="E164" s="49"/>
      <c r="G164" s="59"/>
    </row>
    <row r="165" spans="3:7" ht="18" customHeight="1" x14ac:dyDescent="0.3">
      <c r="C165" s="48"/>
      <c r="D165" s="54"/>
      <c r="E165" s="49"/>
      <c r="G165" s="59"/>
    </row>
    <row r="166" spans="3:7" ht="18" customHeight="1" x14ac:dyDescent="0.3">
      <c r="C166" s="48"/>
      <c r="D166" s="54"/>
      <c r="E166" s="49"/>
      <c r="G166" s="59"/>
    </row>
    <row r="167" spans="3:7" ht="18" customHeight="1" x14ac:dyDescent="0.3">
      <c r="C167" s="48"/>
      <c r="D167" s="54"/>
      <c r="E167" s="49"/>
      <c r="G167" s="59"/>
    </row>
    <row r="168" spans="3:7" ht="18" customHeight="1" x14ac:dyDescent="0.3">
      <c r="C168" s="48"/>
      <c r="D168" s="54"/>
      <c r="E168" s="49"/>
      <c r="G168" s="59"/>
    </row>
    <row r="169" spans="3:7" ht="18" customHeight="1" x14ac:dyDescent="0.3">
      <c r="C169" s="48"/>
      <c r="D169" s="54"/>
      <c r="E169" s="49"/>
      <c r="G169" s="59"/>
    </row>
    <row r="170" spans="3:7" ht="18" customHeight="1" x14ac:dyDescent="0.3">
      <c r="C170" s="48"/>
      <c r="D170" s="54"/>
      <c r="E170" s="49"/>
      <c r="G170" s="59"/>
    </row>
    <row r="171" spans="3:7" ht="18" customHeight="1" x14ac:dyDescent="0.3">
      <c r="C171" s="48"/>
      <c r="D171" s="54"/>
      <c r="E171" s="49"/>
      <c r="G171" s="59"/>
    </row>
    <row r="172" spans="3:7" ht="18" customHeight="1" x14ac:dyDescent="0.3">
      <c r="C172" s="48"/>
      <c r="D172" s="54"/>
      <c r="E172" s="49"/>
      <c r="G172" s="59"/>
    </row>
    <row r="173" spans="3:7" ht="18" customHeight="1" x14ac:dyDescent="0.3">
      <c r="C173" s="48"/>
      <c r="D173" s="54"/>
      <c r="E173" s="49"/>
      <c r="G173" s="59"/>
    </row>
    <row r="174" spans="3:7" ht="18" customHeight="1" x14ac:dyDescent="0.3">
      <c r="C174" s="48"/>
      <c r="D174" s="54"/>
      <c r="E174" s="49"/>
      <c r="G174" s="59"/>
    </row>
    <row r="175" spans="3:7" ht="18" customHeight="1" x14ac:dyDescent="0.3">
      <c r="C175" s="48"/>
      <c r="D175" s="54"/>
      <c r="E175" s="49"/>
      <c r="G175" s="59"/>
    </row>
    <row r="176" spans="3:7" ht="18" customHeight="1" x14ac:dyDescent="0.3">
      <c r="C176" s="48"/>
      <c r="D176" s="54"/>
      <c r="E176" s="49"/>
      <c r="G176" s="59"/>
    </row>
    <row r="177" spans="3:7" ht="18" customHeight="1" x14ac:dyDescent="0.3">
      <c r="C177" s="48"/>
      <c r="D177" s="54"/>
      <c r="E177" s="49"/>
      <c r="G177" s="59"/>
    </row>
    <row r="178" spans="3:7" ht="18" customHeight="1" x14ac:dyDescent="0.3">
      <c r="C178" s="48"/>
      <c r="D178" s="54"/>
      <c r="E178" s="49"/>
      <c r="G178" s="59"/>
    </row>
    <row r="179" spans="3:7" ht="18" customHeight="1" x14ac:dyDescent="0.3">
      <c r="C179" s="48"/>
      <c r="D179" s="54"/>
      <c r="E179" s="49"/>
      <c r="G179" s="59"/>
    </row>
    <row r="180" spans="3:7" ht="18" customHeight="1" x14ac:dyDescent="0.3">
      <c r="C180" s="48"/>
      <c r="D180" s="54"/>
      <c r="E180" s="49"/>
      <c r="G180" s="59"/>
    </row>
    <row r="181" spans="3:7" ht="18" customHeight="1" x14ac:dyDescent="0.3">
      <c r="C181" s="48"/>
      <c r="D181" s="54"/>
      <c r="E181" s="49"/>
      <c r="G181" s="59"/>
    </row>
    <row r="182" spans="3:7" ht="18" customHeight="1" x14ac:dyDescent="0.3">
      <c r="C182" s="48"/>
      <c r="D182" s="54"/>
      <c r="E182" s="49"/>
      <c r="G182" s="59"/>
    </row>
    <row r="183" spans="3:7" ht="18" customHeight="1" x14ac:dyDescent="0.3">
      <c r="C183" s="48"/>
      <c r="D183" s="54"/>
      <c r="E183" s="49"/>
      <c r="G183" s="59"/>
    </row>
    <row r="184" spans="3:7" ht="18" customHeight="1" x14ac:dyDescent="0.3">
      <c r="C184" s="48"/>
      <c r="D184" s="54"/>
      <c r="E184" s="49"/>
      <c r="G184" s="59"/>
    </row>
    <row r="185" spans="3:7" ht="18" customHeight="1" x14ac:dyDescent="0.3">
      <c r="C185" s="48"/>
      <c r="D185" s="54"/>
      <c r="E185" s="49"/>
      <c r="G185" s="59"/>
    </row>
    <row r="186" spans="3:7" ht="18" customHeight="1" x14ac:dyDescent="0.3">
      <c r="C186" s="48"/>
      <c r="D186" s="54"/>
      <c r="E186" s="49"/>
      <c r="G186" s="59"/>
    </row>
    <row r="187" spans="3:7" ht="18" customHeight="1" x14ac:dyDescent="0.3">
      <c r="C187" s="48"/>
      <c r="D187" s="54"/>
      <c r="E187" s="49"/>
      <c r="G187" s="59"/>
    </row>
    <row r="188" spans="3:7" ht="18" customHeight="1" x14ac:dyDescent="0.3">
      <c r="C188" s="48"/>
      <c r="D188" s="54"/>
      <c r="E188" s="49"/>
      <c r="G188" s="59"/>
    </row>
    <row r="189" spans="3:7" ht="18" customHeight="1" x14ac:dyDescent="0.3">
      <c r="C189" s="48"/>
      <c r="D189" s="54"/>
      <c r="E189" s="49"/>
      <c r="G189" s="59"/>
    </row>
    <row r="190" spans="3:7" ht="18" customHeight="1" x14ac:dyDescent="0.3">
      <c r="C190" s="48"/>
      <c r="D190" s="54"/>
      <c r="E190" s="49"/>
      <c r="G190" s="59"/>
    </row>
    <row r="191" spans="3:7" ht="18" customHeight="1" x14ac:dyDescent="0.3">
      <c r="C191" s="48"/>
      <c r="D191" s="54"/>
      <c r="E191" s="49"/>
      <c r="G191" s="59"/>
    </row>
    <row r="192" spans="3:7" ht="18" customHeight="1" x14ac:dyDescent="0.3">
      <c r="C192" s="48"/>
      <c r="D192" s="54"/>
      <c r="E192" s="49"/>
      <c r="G192" s="59"/>
    </row>
    <row r="193" spans="3:7" ht="18" customHeight="1" x14ac:dyDescent="0.3">
      <c r="C193" s="48"/>
      <c r="D193" s="54"/>
      <c r="E193" s="49"/>
      <c r="G193" s="59"/>
    </row>
    <row r="194" spans="3:7" ht="18" customHeight="1" x14ac:dyDescent="0.3">
      <c r="C194" s="48"/>
      <c r="D194" s="54"/>
      <c r="E194" s="49"/>
      <c r="G194" s="59"/>
    </row>
    <row r="195" spans="3:7" ht="18" customHeight="1" x14ac:dyDescent="0.3">
      <c r="C195" s="48"/>
      <c r="D195" s="54"/>
      <c r="E195" s="49"/>
      <c r="G195" s="59"/>
    </row>
    <row r="196" spans="3:7" ht="18" customHeight="1" x14ac:dyDescent="0.3">
      <c r="C196" s="48"/>
      <c r="D196" s="54"/>
      <c r="E196" s="49"/>
      <c r="G196" s="59"/>
    </row>
    <row r="197" spans="3:7" ht="18" customHeight="1" x14ac:dyDescent="0.3">
      <c r="C197" s="48"/>
      <c r="D197" s="54"/>
      <c r="E197" s="49"/>
      <c r="G197" s="59"/>
    </row>
    <row r="198" spans="3:7" ht="18" customHeight="1" x14ac:dyDescent="0.3">
      <c r="C198" s="48"/>
      <c r="D198" s="54"/>
      <c r="E198" s="49"/>
      <c r="G198" s="59"/>
    </row>
    <row r="199" spans="3:7" ht="18" customHeight="1" x14ac:dyDescent="0.3">
      <c r="C199" s="48"/>
      <c r="D199" s="54"/>
      <c r="E199" s="49"/>
      <c r="G199" s="59"/>
    </row>
    <row r="200" spans="3:7" ht="18" customHeight="1" x14ac:dyDescent="0.3">
      <c r="C200" s="48"/>
      <c r="D200" s="54"/>
      <c r="E200" s="49"/>
      <c r="G200" s="59"/>
    </row>
    <row r="201" spans="3:7" ht="18" customHeight="1" x14ac:dyDescent="0.3">
      <c r="C201" s="48"/>
      <c r="D201" s="54"/>
      <c r="E201" s="49"/>
      <c r="G201" s="59"/>
    </row>
    <row r="202" spans="3:7" ht="18" customHeight="1" x14ac:dyDescent="0.3">
      <c r="C202" s="48"/>
      <c r="D202" s="54"/>
      <c r="E202" s="49"/>
      <c r="G202" s="59"/>
    </row>
    <row r="203" spans="3:7" ht="18" customHeight="1" x14ac:dyDescent="0.3">
      <c r="C203" s="48"/>
      <c r="D203" s="54"/>
      <c r="E203" s="49"/>
      <c r="G203" s="59"/>
    </row>
    <row r="204" spans="3:7" ht="18" customHeight="1" x14ac:dyDescent="0.3">
      <c r="C204" s="48"/>
      <c r="D204" s="54"/>
      <c r="E204" s="49"/>
      <c r="G204" s="59"/>
    </row>
    <row r="205" spans="3:7" ht="18" customHeight="1" x14ac:dyDescent="0.3">
      <c r="C205" s="48"/>
      <c r="D205" s="54"/>
      <c r="E205" s="49"/>
      <c r="G205" s="59"/>
    </row>
    <row r="206" spans="3:7" ht="18" customHeight="1" x14ac:dyDescent="0.3">
      <c r="C206" s="48"/>
      <c r="D206" s="54"/>
      <c r="E206" s="49"/>
      <c r="G206" s="59"/>
    </row>
    <row r="207" spans="3:7" ht="18" customHeight="1" x14ac:dyDescent="0.3">
      <c r="C207" s="48"/>
      <c r="D207" s="54"/>
      <c r="E207" s="49"/>
      <c r="G207" s="59"/>
    </row>
    <row r="208" spans="3:7" ht="18" customHeight="1" x14ac:dyDescent="0.3">
      <c r="C208" s="48"/>
      <c r="D208" s="54"/>
      <c r="E208" s="49"/>
      <c r="G208" s="59"/>
    </row>
    <row r="209" spans="3:7" ht="18" customHeight="1" x14ac:dyDescent="0.3">
      <c r="C209" s="48"/>
      <c r="D209" s="54"/>
      <c r="E209" s="49"/>
      <c r="G209" s="59"/>
    </row>
    <row r="210" spans="3:7" ht="18" customHeight="1" x14ac:dyDescent="0.3">
      <c r="C210" s="48"/>
      <c r="D210" s="54"/>
      <c r="E210" s="49"/>
      <c r="G210" s="59"/>
    </row>
    <row r="211" spans="3:7" ht="18" customHeight="1" x14ac:dyDescent="0.3">
      <c r="C211" s="48"/>
      <c r="D211" s="54"/>
      <c r="E211" s="49"/>
      <c r="G211" s="59"/>
    </row>
    <row r="212" spans="3:7" ht="18" customHeight="1" x14ac:dyDescent="0.3">
      <c r="C212" s="48"/>
      <c r="D212" s="54"/>
      <c r="E212" s="49"/>
      <c r="G212" s="59"/>
    </row>
    <row r="213" spans="3:7" ht="18" customHeight="1" x14ac:dyDescent="0.3">
      <c r="C213" s="48"/>
      <c r="D213" s="54"/>
      <c r="E213" s="49"/>
      <c r="G213" s="59"/>
    </row>
    <row r="214" spans="3:7" ht="18" customHeight="1" x14ac:dyDescent="0.3">
      <c r="C214" s="48"/>
      <c r="D214" s="54"/>
      <c r="E214" s="49"/>
      <c r="G214" s="59"/>
    </row>
    <row r="215" spans="3:7" ht="18" customHeight="1" x14ac:dyDescent="0.3">
      <c r="C215" s="48"/>
      <c r="D215" s="54"/>
      <c r="E215" s="49"/>
      <c r="G215" s="59"/>
    </row>
    <row r="216" spans="3:7" ht="18" customHeight="1" x14ac:dyDescent="0.3">
      <c r="C216" s="48"/>
      <c r="D216" s="54"/>
      <c r="E216" s="49"/>
      <c r="G216" s="59"/>
    </row>
    <row r="217" spans="3:7" ht="18" customHeight="1" x14ac:dyDescent="0.3">
      <c r="C217" s="48"/>
      <c r="D217" s="54"/>
      <c r="E217" s="49"/>
      <c r="G217" s="59"/>
    </row>
    <row r="218" spans="3:7" ht="18" customHeight="1" x14ac:dyDescent="0.3">
      <c r="C218" s="48"/>
      <c r="D218" s="54"/>
      <c r="E218" s="49"/>
      <c r="G218" s="59"/>
    </row>
    <row r="219" spans="3:7" ht="18" customHeight="1" x14ac:dyDescent="0.3">
      <c r="C219" s="48"/>
      <c r="D219" s="54"/>
      <c r="E219" s="49"/>
      <c r="G219" s="59"/>
    </row>
    <row r="220" spans="3:7" ht="18" customHeight="1" x14ac:dyDescent="0.3">
      <c r="C220" s="48"/>
      <c r="D220" s="54"/>
      <c r="E220" s="49"/>
      <c r="G220" s="59"/>
    </row>
    <row r="221" spans="3:7" ht="18" customHeight="1" x14ac:dyDescent="0.3">
      <c r="C221" s="48"/>
      <c r="D221" s="54"/>
      <c r="E221" s="49"/>
      <c r="G221" s="59"/>
    </row>
    <row r="222" spans="3:7" ht="18" customHeight="1" x14ac:dyDescent="0.3">
      <c r="C222" s="48"/>
      <c r="D222" s="54"/>
      <c r="E222" s="49"/>
      <c r="G222" s="59"/>
    </row>
    <row r="223" spans="3:7" ht="18" customHeight="1" x14ac:dyDescent="0.3">
      <c r="C223" s="48"/>
      <c r="D223" s="54"/>
      <c r="E223" s="49"/>
      <c r="G223" s="59"/>
    </row>
    <row r="224" spans="3:7" ht="18" customHeight="1" x14ac:dyDescent="0.3">
      <c r="C224" s="48"/>
      <c r="D224" s="54"/>
      <c r="E224" s="49"/>
      <c r="G224" s="59"/>
    </row>
    <row r="225" spans="3:7" ht="18" customHeight="1" x14ac:dyDescent="0.3">
      <c r="C225" s="48"/>
      <c r="D225" s="54"/>
      <c r="E225" s="49"/>
      <c r="G225" s="59"/>
    </row>
    <row r="226" spans="3:7" ht="18" customHeight="1" x14ac:dyDescent="0.3">
      <c r="C226" s="48"/>
      <c r="D226" s="54"/>
      <c r="E226" s="49"/>
      <c r="G226" s="59"/>
    </row>
    <row r="227" spans="3:7" ht="18" customHeight="1" x14ac:dyDescent="0.3">
      <c r="C227" s="48"/>
      <c r="D227" s="54"/>
      <c r="E227" s="49"/>
      <c r="G227" s="59"/>
    </row>
    <row r="228" spans="3:7" ht="18" customHeight="1" x14ac:dyDescent="0.3">
      <c r="C228" s="48"/>
      <c r="D228" s="54"/>
      <c r="E228" s="49"/>
      <c r="G228" s="59"/>
    </row>
    <row r="229" spans="3:7" ht="18" customHeight="1" x14ac:dyDescent="0.3">
      <c r="C229" s="48"/>
      <c r="D229" s="54"/>
      <c r="E229" s="49"/>
      <c r="G229" s="59"/>
    </row>
    <row r="230" spans="3:7" ht="18" customHeight="1" x14ac:dyDescent="0.3">
      <c r="C230" s="48"/>
      <c r="D230" s="54"/>
      <c r="E230" s="49"/>
      <c r="G230" s="59"/>
    </row>
    <row r="231" spans="3:7" ht="18" customHeight="1" x14ac:dyDescent="0.3">
      <c r="C231" s="48"/>
      <c r="D231" s="54"/>
      <c r="E231" s="49"/>
      <c r="G231" s="59"/>
    </row>
    <row r="232" spans="3:7" ht="18" customHeight="1" x14ac:dyDescent="0.3">
      <c r="C232" s="48"/>
      <c r="D232" s="54"/>
      <c r="E232" s="49"/>
      <c r="G232" s="59"/>
    </row>
    <row r="233" spans="3:7" ht="18" customHeight="1" x14ac:dyDescent="0.3">
      <c r="C233" s="48"/>
      <c r="D233" s="54"/>
      <c r="E233" s="49"/>
      <c r="G233" s="59"/>
    </row>
    <row r="234" spans="3:7" ht="18" customHeight="1" x14ac:dyDescent="0.3">
      <c r="C234" s="48"/>
      <c r="D234" s="54"/>
      <c r="E234" s="49"/>
      <c r="G234" s="59"/>
    </row>
    <row r="235" spans="3:7" ht="18" customHeight="1" x14ac:dyDescent="0.3">
      <c r="C235" s="48"/>
      <c r="D235" s="54"/>
      <c r="E235" s="49"/>
      <c r="G235" s="59"/>
    </row>
    <row r="236" spans="3:7" ht="18" customHeight="1" x14ac:dyDescent="0.3">
      <c r="C236" s="48"/>
      <c r="D236" s="54"/>
      <c r="E236" s="49"/>
      <c r="G236" s="59"/>
    </row>
    <row r="237" spans="3:7" ht="18" customHeight="1" x14ac:dyDescent="0.3">
      <c r="C237" s="48"/>
      <c r="D237" s="54"/>
      <c r="E237" s="49"/>
      <c r="G237" s="59"/>
    </row>
    <row r="238" spans="3:7" ht="18" customHeight="1" x14ac:dyDescent="0.3">
      <c r="C238" s="48"/>
      <c r="D238" s="54"/>
      <c r="E238" s="49"/>
      <c r="G238" s="59"/>
    </row>
    <row r="239" spans="3:7" ht="18" customHeight="1" x14ac:dyDescent="0.3">
      <c r="C239" s="48"/>
      <c r="D239" s="54"/>
      <c r="E239" s="49"/>
      <c r="G239" s="59"/>
    </row>
    <row r="240" spans="3:7" ht="18" customHeight="1" x14ac:dyDescent="0.3">
      <c r="C240" s="48"/>
      <c r="D240" s="54"/>
      <c r="E240" s="49"/>
      <c r="G240" s="59"/>
    </row>
    <row r="241" spans="3:7" ht="18" customHeight="1" x14ac:dyDescent="0.3">
      <c r="C241" s="48"/>
      <c r="D241" s="54"/>
      <c r="E241" s="49"/>
      <c r="G241" s="59"/>
    </row>
    <row r="242" spans="3:7" ht="18" customHeight="1" x14ac:dyDescent="0.3">
      <c r="C242" s="48"/>
      <c r="D242" s="54"/>
      <c r="E242" s="49"/>
      <c r="G242" s="59"/>
    </row>
    <row r="243" spans="3:7" ht="18" customHeight="1" x14ac:dyDescent="0.3">
      <c r="C243" s="48"/>
      <c r="D243" s="54"/>
      <c r="E243" s="49"/>
      <c r="G243" s="59"/>
    </row>
    <row r="244" spans="3:7" ht="18" customHeight="1" x14ac:dyDescent="0.3">
      <c r="C244" s="48"/>
      <c r="D244" s="54"/>
      <c r="E244" s="49"/>
      <c r="G244" s="59"/>
    </row>
    <row r="245" spans="3:7" ht="18" customHeight="1" x14ac:dyDescent="0.3">
      <c r="C245" s="48"/>
      <c r="D245" s="54"/>
      <c r="E245" s="49"/>
      <c r="G245" s="59"/>
    </row>
    <row r="246" spans="3:7" ht="18" customHeight="1" x14ac:dyDescent="0.3">
      <c r="C246" s="48"/>
      <c r="D246" s="54"/>
      <c r="E246" s="49"/>
      <c r="G246" s="59"/>
    </row>
    <row r="247" spans="3:7" ht="18" customHeight="1" x14ac:dyDescent="0.3">
      <c r="C247" s="48"/>
      <c r="D247" s="54"/>
      <c r="E247" s="49"/>
      <c r="G247" s="59"/>
    </row>
    <row r="248" spans="3:7" ht="18" customHeight="1" x14ac:dyDescent="0.3">
      <c r="C248" s="48"/>
      <c r="D248" s="54"/>
      <c r="E248" s="49"/>
      <c r="G248" s="59"/>
    </row>
    <row r="249" spans="3:7" ht="18" customHeight="1" x14ac:dyDescent="0.3">
      <c r="C249" s="48"/>
      <c r="D249" s="54"/>
      <c r="E249" s="49"/>
      <c r="G249" s="59"/>
    </row>
    <row r="250" spans="3:7" ht="18" customHeight="1" x14ac:dyDescent="0.3">
      <c r="C250" s="48"/>
      <c r="D250" s="54"/>
      <c r="E250" s="49"/>
      <c r="G250" s="59"/>
    </row>
    <row r="251" spans="3:7" ht="18" customHeight="1" x14ac:dyDescent="0.3">
      <c r="C251" s="48"/>
      <c r="D251" s="54"/>
      <c r="E251" s="49"/>
      <c r="G251" s="59"/>
    </row>
    <row r="252" spans="3:7" ht="18" customHeight="1" x14ac:dyDescent="0.3">
      <c r="C252" s="48"/>
      <c r="D252" s="54"/>
      <c r="E252" s="49"/>
      <c r="G252" s="59"/>
    </row>
    <row r="253" spans="3:7" ht="18" customHeight="1" x14ac:dyDescent="0.3">
      <c r="C253" s="48"/>
      <c r="D253" s="54"/>
      <c r="E253" s="49"/>
      <c r="G253" s="59"/>
    </row>
    <row r="254" spans="3:7" ht="18" customHeight="1" x14ac:dyDescent="0.3">
      <c r="C254" s="48"/>
      <c r="D254" s="54"/>
      <c r="E254" s="49"/>
      <c r="G254" s="59"/>
    </row>
    <row r="255" spans="3:7" ht="18" customHeight="1" x14ac:dyDescent="0.3">
      <c r="C255" s="48"/>
      <c r="D255" s="54"/>
      <c r="E255" s="49"/>
      <c r="G255" s="59"/>
    </row>
    <row r="256" spans="3:7" ht="18" customHeight="1" x14ac:dyDescent="0.3">
      <c r="C256" s="48"/>
      <c r="D256" s="54"/>
      <c r="E256" s="49"/>
      <c r="G256" s="59"/>
    </row>
    <row r="257" spans="3:7" ht="18" customHeight="1" x14ac:dyDescent="0.3">
      <c r="C257" s="48"/>
      <c r="D257" s="54"/>
      <c r="E257" s="49"/>
      <c r="G257" s="59"/>
    </row>
    <row r="258" spans="3:7" ht="18" customHeight="1" x14ac:dyDescent="0.3">
      <c r="C258" s="48"/>
      <c r="D258" s="54"/>
      <c r="E258" s="49"/>
      <c r="G258" s="59"/>
    </row>
    <row r="259" spans="3:7" ht="18" customHeight="1" x14ac:dyDescent="0.3">
      <c r="C259" s="48"/>
      <c r="D259" s="54"/>
      <c r="E259" s="49"/>
      <c r="G259" s="59"/>
    </row>
    <row r="260" spans="3:7" ht="18" customHeight="1" x14ac:dyDescent="0.3">
      <c r="C260" s="48"/>
      <c r="D260" s="54"/>
      <c r="E260" s="49"/>
      <c r="G260" s="59"/>
    </row>
    <row r="261" spans="3:7" ht="18" customHeight="1" x14ac:dyDescent="0.3">
      <c r="C261" s="48"/>
      <c r="D261" s="54"/>
      <c r="E261" s="49"/>
      <c r="G261" s="59"/>
    </row>
    <row r="262" spans="3:7" ht="18" customHeight="1" x14ac:dyDescent="0.3">
      <c r="C262" s="48"/>
      <c r="D262" s="54"/>
      <c r="E262" s="49"/>
      <c r="G262" s="59"/>
    </row>
    <row r="263" spans="3:7" ht="18" customHeight="1" x14ac:dyDescent="0.3">
      <c r="C263" s="48"/>
      <c r="D263" s="54"/>
      <c r="E263" s="49"/>
      <c r="G263" s="59"/>
    </row>
    <row r="264" spans="3:7" ht="18" customHeight="1" x14ac:dyDescent="0.3">
      <c r="C264" s="48"/>
      <c r="D264" s="54"/>
      <c r="E264" s="49"/>
      <c r="G264" s="59"/>
    </row>
    <row r="265" spans="3:7" ht="18" customHeight="1" x14ac:dyDescent="0.3">
      <c r="C265" s="48"/>
      <c r="D265" s="54"/>
      <c r="E265" s="49"/>
      <c r="G265" s="59"/>
    </row>
    <row r="266" spans="3:7" ht="18" customHeight="1" x14ac:dyDescent="0.3">
      <c r="C266" s="48"/>
      <c r="D266" s="54"/>
      <c r="E266" s="49"/>
      <c r="G266" s="59"/>
    </row>
    <row r="267" spans="3:7" ht="18" customHeight="1" x14ac:dyDescent="0.3">
      <c r="C267" s="48"/>
      <c r="D267" s="54"/>
      <c r="E267" s="49"/>
      <c r="G267" s="59"/>
    </row>
    <row r="268" spans="3:7" ht="18" customHeight="1" x14ac:dyDescent="0.3">
      <c r="C268" s="48"/>
      <c r="D268" s="54"/>
      <c r="E268" s="49"/>
      <c r="G268" s="59"/>
    </row>
    <row r="269" spans="3:7" ht="18" customHeight="1" x14ac:dyDescent="0.3">
      <c r="C269" s="48"/>
      <c r="D269" s="54"/>
      <c r="E269" s="49"/>
      <c r="G269" s="59"/>
    </row>
    <row r="270" spans="3:7" ht="18" customHeight="1" x14ac:dyDescent="0.3">
      <c r="C270" s="48"/>
      <c r="D270" s="54"/>
      <c r="E270" s="49"/>
      <c r="G270" s="59"/>
    </row>
    <row r="271" spans="3:7" ht="18" customHeight="1" x14ac:dyDescent="0.3">
      <c r="C271" s="48"/>
      <c r="D271" s="54"/>
      <c r="E271" s="49"/>
      <c r="G271" s="59"/>
    </row>
    <row r="272" spans="3:7" ht="18" customHeight="1" x14ac:dyDescent="0.3">
      <c r="C272" s="48"/>
      <c r="D272" s="54"/>
      <c r="E272" s="49"/>
      <c r="G272" s="59"/>
    </row>
    <row r="273" spans="3:7" ht="18" customHeight="1" x14ac:dyDescent="0.3">
      <c r="C273" s="48"/>
      <c r="D273" s="54"/>
      <c r="E273" s="49"/>
      <c r="G273" s="59"/>
    </row>
    <row r="274" spans="3:7" ht="18" customHeight="1" x14ac:dyDescent="0.3">
      <c r="C274" s="48"/>
      <c r="D274" s="54"/>
      <c r="E274" s="49"/>
      <c r="G274" s="59"/>
    </row>
    <row r="275" spans="3:7" ht="18" customHeight="1" x14ac:dyDescent="0.3">
      <c r="C275" s="48"/>
      <c r="D275" s="54"/>
      <c r="E275" s="49"/>
      <c r="G275" s="59"/>
    </row>
    <row r="276" spans="3:7" ht="18" customHeight="1" x14ac:dyDescent="0.3">
      <c r="C276" s="48"/>
      <c r="D276" s="54"/>
      <c r="E276" s="49"/>
      <c r="G276" s="59"/>
    </row>
    <row r="277" spans="3:7" ht="18" customHeight="1" x14ac:dyDescent="0.3">
      <c r="C277" s="48"/>
      <c r="D277" s="54"/>
      <c r="E277" s="49"/>
      <c r="G277" s="59"/>
    </row>
    <row r="278" spans="3:7" ht="18" customHeight="1" x14ac:dyDescent="0.3">
      <c r="C278" s="48"/>
      <c r="D278" s="54"/>
      <c r="E278" s="49"/>
      <c r="G278" s="59"/>
    </row>
    <row r="279" spans="3:7" ht="18" customHeight="1" x14ac:dyDescent="0.3">
      <c r="C279" s="48"/>
      <c r="D279" s="54"/>
      <c r="E279" s="49"/>
      <c r="G279" s="59"/>
    </row>
    <row r="280" spans="3:7" ht="18" customHeight="1" x14ac:dyDescent="0.3">
      <c r="C280" s="48"/>
      <c r="D280" s="54"/>
      <c r="E280" s="49"/>
      <c r="G280" s="59"/>
    </row>
    <row r="281" spans="3:7" ht="18" customHeight="1" x14ac:dyDescent="0.3">
      <c r="C281" s="48"/>
      <c r="D281" s="54"/>
      <c r="E281" s="49"/>
      <c r="G281" s="59"/>
    </row>
    <row r="282" spans="3:7" ht="18" customHeight="1" x14ac:dyDescent="0.3">
      <c r="C282" s="48"/>
      <c r="D282" s="54"/>
      <c r="E282" s="49"/>
      <c r="G282" s="59"/>
    </row>
    <row r="283" spans="3:7" ht="18" customHeight="1" x14ac:dyDescent="0.3">
      <c r="C283" s="48"/>
      <c r="D283" s="54"/>
      <c r="E283" s="49"/>
      <c r="G283" s="59"/>
    </row>
    <row r="284" spans="3:7" ht="18" customHeight="1" x14ac:dyDescent="0.3">
      <c r="C284" s="48"/>
      <c r="D284" s="54"/>
      <c r="E284" s="49"/>
      <c r="G284" s="59"/>
    </row>
    <row r="285" spans="3:7" ht="18" customHeight="1" x14ac:dyDescent="0.3">
      <c r="C285" s="48"/>
      <c r="D285" s="54"/>
      <c r="E285" s="49"/>
      <c r="G285" s="59"/>
    </row>
    <row r="286" spans="3:7" ht="18" customHeight="1" x14ac:dyDescent="0.3">
      <c r="C286" s="48"/>
      <c r="D286" s="54"/>
      <c r="E286" s="49"/>
      <c r="G286" s="59"/>
    </row>
    <row r="287" spans="3:7" ht="18" customHeight="1" x14ac:dyDescent="0.3">
      <c r="C287" s="48"/>
      <c r="D287" s="54"/>
      <c r="E287" s="49"/>
      <c r="G287" s="59"/>
    </row>
    <row r="288" spans="3:7" ht="18" customHeight="1" x14ac:dyDescent="0.3">
      <c r="C288" s="48"/>
      <c r="D288" s="54"/>
      <c r="E288" s="49"/>
      <c r="G288" s="59"/>
    </row>
    <row r="289" spans="3:7" ht="18" customHeight="1" x14ac:dyDescent="0.3">
      <c r="C289" s="48"/>
      <c r="D289" s="54"/>
      <c r="E289" s="49"/>
      <c r="G289" s="59"/>
    </row>
    <row r="290" spans="3:7" ht="18" customHeight="1" x14ac:dyDescent="0.3">
      <c r="C290" s="48"/>
      <c r="D290" s="54"/>
      <c r="E290" s="49"/>
      <c r="G290" s="59"/>
    </row>
    <row r="291" spans="3:7" ht="18" customHeight="1" x14ac:dyDescent="0.3">
      <c r="C291" s="48"/>
      <c r="D291" s="54"/>
      <c r="E291" s="49"/>
      <c r="G291" s="59"/>
    </row>
    <row r="292" spans="3:7" ht="18" customHeight="1" x14ac:dyDescent="0.3">
      <c r="C292" s="48"/>
      <c r="D292" s="54"/>
      <c r="E292" s="49"/>
      <c r="G292" s="59"/>
    </row>
    <row r="293" spans="3:7" ht="18" customHeight="1" x14ac:dyDescent="0.3">
      <c r="C293" s="48"/>
      <c r="D293" s="54"/>
      <c r="E293" s="49"/>
      <c r="G293" s="59"/>
    </row>
    <row r="294" spans="3:7" ht="18" customHeight="1" x14ac:dyDescent="0.3">
      <c r="C294" s="48"/>
      <c r="D294" s="54"/>
      <c r="E294" s="49"/>
      <c r="G294" s="59"/>
    </row>
    <row r="295" spans="3:7" ht="18" customHeight="1" x14ac:dyDescent="0.3">
      <c r="C295" s="48"/>
      <c r="D295" s="54"/>
      <c r="E295" s="49"/>
      <c r="G295" s="59"/>
    </row>
    <row r="296" spans="3:7" ht="18" customHeight="1" x14ac:dyDescent="0.3">
      <c r="C296" s="48"/>
      <c r="D296" s="54"/>
      <c r="E296" s="49"/>
      <c r="G296" s="59"/>
    </row>
    <row r="297" spans="3:7" ht="18" customHeight="1" x14ac:dyDescent="0.3">
      <c r="C297" s="48"/>
      <c r="D297" s="54"/>
      <c r="E297" s="49"/>
      <c r="G297" s="59"/>
    </row>
    <row r="298" spans="3:7" ht="18" customHeight="1" x14ac:dyDescent="0.3">
      <c r="C298" s="48"/>
      <c r="D298" s="54"/>
      <c r="E298" s="49"/>
      <c r="G298" s="59"/>
    </row>
    <row r="299" spans="3:7" ht="18" customHeight="1" x14ac:dyDescent="0.3">
      <c r="C299" s="48"/>
      <c r="D299" s="54"/>
      <c r="E299" s="49"/>
      <c r="G299" s="59"/>
    </row>
    <row r="300" spans="3:7" ht="18" customHeight="1" x14ac:dyDescent="0.3">
      <c r="C300" s="48"/>
      <c r="D300" s="54"/>
      <c r="E300" s="49"/>
      <c r="G300" s="59"/>
    </row>
    <row r="301" spans="3:7" ht="18" customHeight="1" x14ac:dyDescent="0.3">
      <c r="C301" s="48"/>
      <c r="D301" s="54"/>
      <c r="E301" s="49"/>
      <c r="G301" s="59"/>
    </row>
    <row r="302" spans="3:7" ht="18" customHeight="1" x14ac:dyDescent="0.3">
      <c r="C302" s="48"/>
      <c r="D302" s="54"/>
      <c r="E302" s="49"/>
      <c r="G302" s="59"/>
    </row>
    <row r="303" spans="3:7" ht="18" customHeight="1" x14ac:dyDescent="0.3">
      <c r="C303" s="48"/>
      <c r="D303" s="54"/>
      <c r="E303" s="49"/>
      <c r="G303" s="59"/>
    </row>
    <row r="304" spans="3:7" ht="18" customHeight="1" x14ac:dyDescent="0.3">
      <c r="C304" s="48"/>
      <c r="D304" s="54"/>
      <c r="E304" s="49"/>
      <c r="G304" s="59"/>
    </row>
    <row r="305" spans="3:7" ht="18" customHeight="1" x14ac:dyDescent="0.3">
      <c r="C305" s="48"/>
      <c r="D305" s="54"/>
      <c r="E305" s="49"/>
      <c r="G305" s="59"/>
    </row>
    <row r="306" spans="3:7" ht="18" customHeight="1" x14ac:dyDescent="0.3">
      <c r="C306" s="48"/>
      <c r="D306" s="54"/>
      <c r="E306" s="49"/>
      <c r="G306" s="59"/>
    </row>
    <row r="307" spans="3:7" ht="18" customHeight="1" x14ac:dyDescent="0.3">
      <c r="C307" s="48"/>
      <c r="D307" s="54"/>
      <c r="E307" s="49"/>
      <c r="G307" s="59"/>
    </row>
    <row r="308" spans="3:7" ht="18" customHeight="1" x14ac:dyDescent="0.3">
      <c r="C308" s="48"/>
      <c r="D308" s="54"/>
      <c r="E308" s="49"/>
      <c r="G308" s="59"/>
    </row>
    <row r="309" spans="3:7" ht="18" customHeight="1" x14ac:dyDescent="0.3">
      <c r="C309" s="48"/>
      <c r="D309" s="54"/>
      <c r="E309" s="49"/>
      <c r="G309" s="59"/>
    </row>
    <row r="310" spans="3:7" ht="18" customHeight="1" x14ac:dyDescent="0.3">
      <c r="C310" s="48"/>
      <c r="D310" s="54"/>
      <c r="E310" s="49"/>
      <c r="G310" s="59"/>
    </row>
    <row r="311" spans="3:7" ht="18" customHeight="1" x14ac:dyDescent="0.3">
      <c r="C311" s="48"/>
      <c r="D311" s="54"/>
      <c r="E311" s="49"/>
      <c r="G311" s="59"/>
    </row>
    <row r="312" spans="3:7" ht="18" customHeight="1" x14ac:dyDescent="0.3">
      <c r="C312" s="48"/>
      <c r="D312" s="54"/>
      <c r="E312" s="49"/>
      <c r="G312" s="59"/>
    </row>
    <row r="313" spans="3:7" ht="18" customHeight="1" x14ac:dyDescent="0.3">
      <c r="C313" s="48"/>
      <c r="D313" s="54"/>
      <c r="E313" s="49"/>
      <c r="G313" s="59"/>
    </row>
    <row r="314" spans="3:7" ht="18" customHeight="1" x14ac:dyDescent="0.3">
      <c r="C314" s="48"/>
      <c r="D314" s="54"/>
      <c r="E314" s="49"/>
      <c r="G314" s="59"/>
    </row>
    <row r="315" spans="3:7" ht="18" customHeight="1" x14ac:dyDescent="0.3">
      <c r="C315" s="48"/>
      <c r="D315" s="54"/>
      <c r="E315" s="49"/>
      <c r="G315" s="59"/>
    </row>
    <row r="316" spans="3:7" ht="18" customHeight="1" x14ac:dyDescent="0.3">
      <c r="C316" s="48"/>
      <c r="D316" s="54"/>
      <c r="E316" s="49"/>
      <c r="G316" s="59"/>
    </row>
    <row r="317" spans="3:7" ht="18" customHeight="1" x14ac:dyDescent="0.3">
      <c r="C317" s="48"/>
      <c r="D317" s="54"/>
      <c r="E317" s="49"/>
      <c r="G317" s="59"/>
    </row>
    <row r="318" spans="3:7" ht="18" customHeight="1" x14ac:dyDescent="0.3">
      <c r="C318" s="48"/>
      <c r="D318" s="54"/>
      <c r="E318" s="49"/>
      <c r="G318" s="59"/>
    </row>
    <row r="319" spans="3:7" ht="18" customHeight="1" x14ac:dyDescent="0.3">
      <c r="C319" s="48"/>
      <c r="D319" s="54"/>
      <c r="E319" s="49"/>
      <c r="G319" s="59"/>
    </row>
    <row r="320" spans="3:7" ht="18" customHeight="1" x14ac:dyDescent="0.3">
      <c r="C320" s="48"/>
      <c r="D320" s="54"/>
      <c r="E320" s="49"/>
      <c r="G320" s="59"/>
    </row>
    <row r="321" spans="3:7" ht="18" customHeight="1" x14ac:dyDescent="0.3">
      <c r="C321" s="48"/>
      <c r="D321" s="54"/>
      <c r="E321" s="49"/>
      <c r="G321" s="59"/>
    </row>
    <row r="322" spans="3:7" ht="18" customHeight="1" x14ac:dyDescent="0.3">
      <c r="C322" s="48"/>
      <c r="D322" s="54"/>
      <c r="E322" s="49"/>
      <c r="G322" s="59"/>
    </row>
    <row r="323" spans="3:7" ht="18" customHeight="1" x14ac:dyDescent="0.3">
      <c r="C323" s="48"/>
      <c r="D323" s="54"/>
      <c r="E323" s="49"/>
      <c r="G323" s="59"/>
    </row>
    <row r="324" spans="3:7" ht="18" customHeight="1" x14ac:dyDescent="0.3">
      <c r="C324" s="48"/>
      <c r="D324" s="54"/>
      <c r="E324" s="49"/>
      <c r="G324" s="59"/>
    </row>
    <row r="325" spans="3:7" ht="18" customHeight="1" x14ac:dyDescent="0.3">
      <c r="C325" s="48"/>
      <c r="D325" s="54"/>
      <c r="E325" s="49"/>
      <c r="G325" s="59"/>
    </row>
    <row r="326" spans="3:7" ht="18" customHeight="1" x14ac:dyDescent="0.3">
      <c r="C326" s="48"/>
      <c r="D326" s="54"/>
      <c r="E326" s="49"/>
      <c r="G326" s="59"/>
    </row>
    <row r="327" spans="3:7" ht="18" customHeight="1" x14ac:dyDescent="0.3">
      <c r="C327" s="48"/>
      <c r="D327" s="54"/>
      <c r="E327" s="49"/>
      <c r="G327" s="59"/>
    </row>
    <row r="328" spans="3:7" ht="18" customHeight="1" x14ac:dyDescent="0.3">
      <c r="C328" s="48"/>
      <c r="D328" s="54"/>
      <c r="E328" s="49"/>
      <c r="G328" s="59"/>
    </row>
    <row r="329" spans="3:7" ht="18" customHeight="1" x14ac:dyDescent="0.3">
      <c r="C329" s="48"/>
      <c r="D329" s="54"/>
      <c r="E329" s="49"/>
      <c r="G329" s="59"/>
    </row>
    <row r="330" spans="3:7" ht="18" customHeight="1" x14ac:dyDescent="0.3">
      <c r="C330" s="48"/>
      <c r="D330" s="54"/>
      <c r="E330" s="49"/>
      <c r="G330" s="59"/>
    </row>
    <row r="331" spans="3:7" ht="18" customHeight="1" x14ac:dyDescent="0.3">
      <c r="C331" s="48"/>
      <c r="D331" s="54"/>
      <c r="E331" s="49"/>
      <c r="G331" s="59"/>
    </row>
    <row r="332" spans="3:7" ht="18" customHeight="1" x14ac:dyDescent="0.3">
      <c r="C332" s="48"/>
      <c r="D332" s="54"/>
      <c r="E332" s="49"/>
      <c r="G332" s="59"/>
    </row>
    <row r="333" spans="3:7" ht="18" customHeight="1" x14ac:dyDescent="0.3">
      <c r="C333" s="48"/>
      <c r="D333" s="54"/>
      <c r="E333" s="49"/>
      <c r="G333" s="59"/>
    </row>
    <row r="334" spans="3:7" ht="18" customHeight="1" x14ac:dyDescent="0.3">
      <c r="C334" s="48"/>
      <c r="D334" s="54"/>
      <c r="E334" s="49"/>
      <c r="G334" s="59"/>
    </row>
    <row r="335" spans="3:7" ht="18" customHeight="1" x14ac:dyDescent="0.3">
      <c r="C335" s="48"/>
      <c r="D335" s="54"/>
      <c r="E335" s="49"/>
      <c r="G335" s="59"/>
    </row>
    <row r="336" spans="3:7" ht="18" customHeight="1" x14ac:dyDescent="0.3">
      <c r="C336" s="48"/>
      <c r="D336" s="54"/>
      <c r="E336" s="49"/>
      <c r="G336" s="59"/>
    </row>
    <row r="337" spans="3:7" ht="18" customHeight="1" x14ac:dyDescent="0.3">
      <c r="C337" s="48"/>
      <c r="D337" s="54"/>
      <c r="E337" s="49"/>
      <c r="G337" s="59"/>
    </row>
    <row r="338" spans="3:7" ht="18" customHeight="1" x14ac:dyDescent="0.3">
      <c r="C338" s="48"/>
      <c r="D338" s="54"/>
      <c r="E338" s="49"/>
      <c r="G338" s="59"/>
    </row>
    <row r="339" spans="3:7" ht="18" customHeight="1" x14ac:dyDescent="0.3">
      <c r="C339" s="48"/>
      <c r="D339" s="54"/>
      <c r="E339" s="49"/>
      <c r="G339" s="59"/>
    </row>
    <row r="340" spans="3:7" ht="18" customHeight="1" x14ac:dyDescent="0.3">
      <c r="C340" s="48"/>
      <c r="D340" s="54"/>
      <c r="E340" s="49"/>
      <c r="G340" s="59"/>
    </row>
    <row r="341" spans="3:7" ht="18" customHeight="1" x14ac:dyDescent="0.3">
      <c r="C341" s="48"/>
      <c r="D341" s="54"/>
      <c r="E341" s="49"/>
      <c r="G341" s="59"/>
    </row>
    <row r="342" spans="3:7" ht="18" customHeight="1" x14ac:dyDescent="0.3">
      <c r="C342" s="48"/>
      <c r="D342" s="54"/>
      <c r="E342" s="49"/>
      <c r="G342" s="59"/>
    </row>
    <row r="343" spans="3:7" ht="18" customHeight="1" x14ac:dyDescent="0.3">
      <c r="C343" s="48"/>
      <c r="D343" s="54"/>
      <c r="E343" s="49"/>
      <c r="G343" s="59"/>
    </row>
    <row r="344" spans="3:7" ht="18" customHeight="1" x14ac:dyDescent="0.3">
      <c r="C344" s="48"/>
      <c r="D344" s="54"/>
      <c r="E344" s="49"/>
      <c r="G344" s="59"/>
    </row>
    <row r="345" spans="3:7" ht="18" customHeight="1" x14ac:dyDescent="0.3">
      <c r="C345" s="48"/>
      <c r="D345" s="54"/>
      <c r="E345" s="49"/>
      <c r="G345" s="59"/>
    </row>
    <row r="346" spans="3:7" ht="18" customHeight="1" x14ac:dyDescent="0.3">
      <c r="C346" s="48"/>
      <c r="D346" s="54"/>
      <c r="E346" s="49"/>
      <c r="G346" s="59"/>
    </row>
    <row r="347" spans="3:7" ht="18" customHeight="1" x14ac:dyDescent="0.3">
      <c r="C347" s="48"/>
      <c r="D347" s="54"/>
      <c r="E347" s="49"/>
      <c r="G347" s="59"/>
    </row>
    <row r="348" spans="3:7" ht="18" customHeight="1" x14ac:dyDescent="0.3">
      <c r="C348" s="48"/>
      <c r="D348" s="54"/>
      <c r="E348" s="49"/>
      <c r="G348" s="59"/>
    </row>
    <row r="349" spans="3:7" ht="18" customHeight="1" x14ac:dyDescent="0.3">
      <c r="C349" s="48"/>
      <c r="D349" s="54"/>
      <c r="E349" s="49"/>
      <c r="G349" s="59"/>
    </row>
    <row r="350" spans="3:7" ht="18" customHeight="1" x14ac:dyDescent="0.3">
      <c r="C350" s="48"/>
      <c r="D350" s="54"/>
      <c r="E350" s="49"/>
      <c r="G350" s="59"/>
    </row>
    <row r="351" spans="3:7" ht="18" customHeight="1" x14ac:dyDescent="0.3">
      <c r="C351" s="48"/>
      <c r="D351" s="54"/>
      <c r="E351" s="49"/>
      <c r="G351" s="59"/>
    </row>
    <row r="352" spans="3:7" ht="18" customHeight="1" x14ac:dyDescent="0.3">
      <c r="C352" s="48"/>
      <c r="D352" s="54"/>
      <c r="E352" s="49"/>
      <c r="G352" s="59"/>
    </row>
    <row r="353" spans="3:7" ht="18" customHeight="1" x14ac:dyDescent="0.3">
      <c r="C353" s="48"/>
      <c r="D353" s="54"/>
      <c r="E353" s="49"/>
      <c r="G353" s="59"/>
    </row>
    <row r="354" spans="3:7" ht="18" customHeight="1" x14ac:dyDescent="0.3">
      <c r="C354" s="48"/>
      <c r="D354" s="54"/>
      <c r="E354" s="49"/>
      <c r="G354" s="59"/>
    </row>
    <row r="355" spans="3:7" ht="18" customHeight="1" x14ac:dyDescent="0.3">
      <c r="C355" s="48"/>
      <c r="D355" s="54"/>
      <c r="E355" s="49"/>
      <c r="G355" s="59"/>
    </row>
    <row r="356" spans="3:7" ht="18" customHeight="1" x14ac:dyDescent="0.3">
      <c r="C356" s="48"/>
      <c r="D356" s="54"/>
      <c r="E356" s="49"/>
      <c r="G356" s="59"/>
    </row>
    <row r="357" spans="3:7" ht="18" customHeight="1" x14ac:dyDescent="0.3">
      <c r="C357" s="48"/>
      <c r="D357" s="54"/>
      <c r="E357" s="49"/>
      <c r="G357" s="59"/>
    </row>
    <row r="358" spans="3:7" ht="18" customHeight="1" x14ac:dyDescent="0.3">
      <c r="C358" s="48"/>
      <c r="D358" s="54"/>
      <c r="E358" s="49"/>
      <c r="G358" s="59"/>
    </row>
    <row r="359" spans="3:7" ht="18" customHeight="1" x14ac:dyDescent="0.3">
      <c r="C359" s="48"/>
      <c r="D359" s="54"/>
      <c r="E359" s="49"/>
      <c r="G359" s="59"/>
    </row>
    <row r="360" spans="3:7" ht="18" customHeight="1" x14ac:dyDescent="0.3">
      <c r="C360" s="48"/>
      <c r="D360" s="54"/>
      <c r="E360" s="49"/>
      <c r="G360" s="59"/>
    </row>
    <row r="361" spans="3:7" ht="18" customHeight="1" x14ac:dyDescent="0.3">
      <c r="C361" s="48"/>
      <c r="D361" s="54"/>
      <c r="E361" s="49"/>
      <c r="G361" s="59"/>
    </row>
    <row r="362" spans="3:7" ht="18" customHeight="1" x14ac:dyDescent="0.3">
      <c r="C362" s="48"/>
      <c r="D362" s="54"/>
      <c r="E362" s="49"/>
      <c r="G362" s="59"/>
    </row>
    <row r="363" spans="3:7" ht="18" customHeight="1" x14ac:dyDescent="0.3">
      <c r="C363" s="48"/>
      <c r="D363" s="54"/>
      <c r="E363" s="49"/>
      <c r="G363" s="59"/>
    </row>
    <row r="364" spans="3:7" ht="18" customHeight="1" x14ac:dyDescent="0.3">
      <c r="C364" s="48"/>
      <c r="D364" s="54"/>
      <c r="E364" s="49"/>
      <c r="G364" s="59"/>
    </row>
    <row r="365" spans="3:7" ht="18" customHeight="1" x14ac:dyDescent="0.3">
      <c r="C365" s="48"/>
      <c r="D365" s="54"/>
      <c r="E365" s="49"/>
      <c r="G365" s="59"/>
    </row>
    <row r="366" spans="3:7" ht="18" customHeight="1" x14ac:dyDescent="0.3">
      <c r="C366" s="48"/>
      <c r="D366" s="54"/>
      <c r="E366" s="49"/>
      <c r="G366" s="59"/>
    </row>
    <row r="367" spans="3:7" ht="18" customHeight="1" x14ac:dyDescent="0.3">
      <c r="C367" s="48"/>
      <c r="D367" s="54"/>
      <c r="E367" s="49"/>
      <c r="G367" s="59"/>
    </row>
    <row r="368" spans="3:7" ht="18" customHeight="1" x14ac:dyDescent="0.3">
      <c r="C368" s="48"/>
      <c r="D368" s="54"/>
      <c r="E368" s="49"/>
      <c r="G368" s="59"/>
    </row>
    <row r="369" spans="3:7" ht="18" customHeight="1" x14ac:dyDescent="0.3">
      <c r="C369" s="48"/>
      <c r="D369" s="54"/>
      <c r="E369" s="49"/>
      <c r="G369" s="59"/>
    </row>
    <row r="370" spans="3:7" ht="18" customHeight="1" x14ac:dyDescent="0.3">
      <c r="C370" s="48"/>
      <c r="D370" s="54"/>
      <c r="E370" s="49"/>
      <c r="G370" s="59"/>
    </row>
    <row r="371" spans="3:7" ht="18" customHeight="1" x14ac:dyDescent="0.3">
      <c r="C371" s="48"/>
      <c r="D371" s="54"/>
      <c r="E371" s="49"/>
      <c r="G371" s="59"/>
    </row>
    <row r="372" spans="3:7" ht="18" customHeight="1" x14ac:dyDescent="0.3">
      <c r="C372" s="48"/>
      <c r="D372" s="54"/>
      <c r="E372" s="49"/>
      <c r="G372" s="59"/>
    </row>
    <row r="373" spans="3:7" ht="18" customHeight="1" x14ac:dyDescent="0.3">
      <c r="C373" s="48"/>
      <c r="D373" s="54"/>
      <c r="E373" s="49"/>
      <c r="G373" s="59"/>
    </row>
    <row r="374" spans="3:7" ht="18" customHeight="1" x14ac:dyDescent="0.3">
      <c r="C374" s="48"/>
      <c r="D374" s="54"/>
      <c r="E374" s="49"/>
      <c r="G374" s="59"/>
    </row>
    <row r="375" spans="3:7" ht="18" customHeight="1" x14ac:dyDescent="0.3">
      <c r="C375" s="48"/>
      <c r="D375" s="54"/>
      <c r="E375" s="49"/>
      <c r="G375" s="59"/>
    </row>
    <row r="376" spans="3:7" ht="18" customHeight="1" x14ac:dyDescent="0.3">
      <c r="C376" s="48"/>
      <c r="D376" s="54"/>
      <c r="E376" s="49"/>
      <c r="G376" s="59"/>
    </row>
    <row r="377" spans="3:7" ht="18" customHeight="1" x14ac:dyDescent="0.3">
      <c r="C377" s="48"/>
      <c r="D377" s="54"/>
      <c r="E377" s="49"/>
      <c r="G377" s="59"/>
    </row>
    <row r="378" spans="3:7" ht="18" customHeight="1" x14ac:dyDescent="0.3">
      <c r="C378" s="48"/>
      <c r="D378" s="54"/>
      <c r="E378" s="49"/>
      <c r="G378" s="59"/>
    </row>
    <row r="379" spans="3:7" ht="18" customHeight="1" x14ac:dyDescent="0.3">
      <c r="C379" s="48"/>
      <c r="D379" s="54"/>
      <c r="E379" s="49"/>
      <c r="G379" s="59"/>
    </row>
    <row r="380" spans="3:7" ht="18" customHeight="1" x14ac:dyDescent="0.3">
      <c r="C380" s="48"/>
      <c r="D380" s="54"/>
      <c r="E380" s="49"/>
      <c r="G380" s="59"/>
    </row>
    <row r="381" spans="3:7" ht="18" customHeight="1" x14ac:dyDescent="0.3">
      <c r="C381" s="48"/>
      <c r="D381" s="54"/>
      <c r="E381" s="49"/>
      <c r="G381" s="59"/>
    </row>
    <row r="382" spans="3:7" ht="18" customHeight="1" x14ac:dyDescent="0.3">
      <c r="C382" s="48"/>
      <c r="D382" s="54"/>
      <c r="E382" s="49"/>
      <c r="G382" s="59"/>
    </row>
    <row r="383" spans="3:7" ht="18" customHeight="1" x14ac:dyDescent="0.3">
      <c r="C383" s="48"/>
      <c r="D383" s="54"/>
      <c r="E383" s="49"/>
      <c r="G383" s="59"/>
    </row>
    <row r="384" spans="3:7" ht="18" customHeight="1" x14ac:dyDescent="0.3">
      <c r="C384" s="48"/>
      <c r="D384" s="54"/>
      <c r="E384" s="49"/>
      <c r="G384" s="59"/>
    </row>
    <row r="385" spans="3:7" ht="18" customHeight="1" x14ac:dyDescent="0.3">
      <c r="C385" s="48"/>
      <c r="D385" s="54"/>
      <c r="E385" s="49"/>
      <c r="G385" s="59"/>
    </row>
    <row r="386" spans="3:7" ht="18" customHeight="1" x14ac:dyDescent="0.3">
      <c r="C386" s="48"/>
      <c r="D386" s="54"/>
      <c r="E386" s="49"/>
      <c r="G386" s="59"/>
    </row>
    <row r="387" spans="3:7" ht="18" customHeight="1" x14ac:dyDescent="0.3">
      <c r="C387" s="48"/>
      <c r="D387" s="54"/>
      <c r="E387" s="49"/>
      <c r="G387" s="59"/>
    </row>
    <row r="388" spans="3:7" ht="18" customHeight="1" x14ac:dyDescent="0.3">
      <c r="C388" s="48"/>
      <c r="D388" s="54"/>
      <c r="E388" s="49"/>
      <c r="G388" s="59"/>
    </row>
    <row r="389" spans="3:7" ht="18" customHeight="1" x14ac:dyDescent="0.3">
      <c r="C389" s="48"/>
      <c r="D389" s="54"/>
      <c r="E389" s="49"/>
      <c r="G389" s="59"/>
    </row>
    <row r="390" spans="3:7" ht="18" customHeight="1" x14ac:dyDescent="0.3">
      <c r="C390" s="48"/>
      <c r="D390" s="54"/>
      <c r="E390" s="49"/>
      <c r="G390" s="59"/>
    </row>
    <row r="391" spans="3:7" ht="18" customHeight="1" x14ac:dyDescent="0.3">
      <c r="C391" s="48"/>
      <c r="D391" s="54"/>
      <c r="E391" s="49"/>
      <c r="G391" s="59"/>
    </row>
    <row r="392" spans="3:7" ht="18" customHeight="1" x14ac:dyDescent="0.3">
      <c r="C392" s="48"/>
      <c r="D392" s="54"/>
      <c r="E392" s="49"/>
      <c r="G392" s="59"/>
    </row>
    <row r="393" spans="3:7" ht="18" customHeight="1" x14ac:dyDescent="0.3">
      <c r="C393" s="48"/>
      <c r="D393" s="54"/>
      <c r="E393" s="49"/>
      <c r="G393" s="59"/>
    </row>
    <row r="394" spans="3:7" ht="18" customHeight="1" x14ac:dyDescent="0.3">
      <c r="C394" s="48"/>
      <c r="D394" s="54"/>
      <c r="E394" s="49"/>
      <c r="G394" s="59"/>
    </row>
    <row r="395" spans="3:7" ht="18" customHeight="1" x14ac:dyDescent="0.3">
      <c r="C395" s="48"/>
      <c r="D395" s="54"/>
      <c r="E395" s="49"/>
      <c r="G395" s="59"/>
    </row>
    <row r="396" spans="3:7" ht="18" customHeight="1" x14ac:dyDescent="0.3">
      <c r="C396" s="48"/>
      <c r="D396" s="54"/>
      <c r="E396" s="49"/>
      <c r="G396" s="59"/>
    </row>
    <row r="397" spans="3:7" ht="18" customHeight="1" x14ac:dyDescent="0.3">
      <c r="C397" s="48"/>
      <c r="D397" s="54"/>
      <c r="E397" s="49"/>
      <c r="G397" s="59"/>
    </row>
    <row r="398" spans="3:7" ht="18" customHeight="1" x14ac:dyDescent="0.3">
      <c r="C398" s="48"/>
      <c r="D398" s="54"/>
      <c r="E398" s="49"/>
      <c r="G398" s="59"/>
    </row>
    <row r="399" spans="3:7" ht="18" customHeight="1" x14ac:dyDescent="0.3">
      <c r="C399" s="48"/>
      <c r="D399" s="54"/>
      <c r="E399" s="49"/>
      <c r="G399" s="59"/>
    </row>
    <row r="400" spans="3:7" ht="18" customHeight="1" x14ac:dyDescent="0.3">
      <c r="C400" s="48"/>
      <c r="D400" s="54"/>
      <c r="E400" s="49"/>
      <c r="G400" s="59"/>
    </row>
    <row r="401" spans="3:7" ht="18" customHeight="1" x14ac:dyDescent="0.3">
      <c r="C401" s="48"/>
      <c r="D401" s="54"/>
      <c r="E401" s="49"/>
      <c r="G401" s="59"/>
    </row>
    <row r="402" spans="3:7" ht="18" customHeight="1" x14ac:dyDescent="0.3">
      <c r="C402" s="48"/>
      <c r="D402" s="54"/>
      <c r="E402" s="49"/>
      <c r="G402" s="59"/>
    </row>
    <row r="403" spans="3:7" ht="18" customHeight="1" x14ac:dyDescent="0.3">
      <c r="C403" s="48"/>
      <c r="D403" s="54"/>
      <c r="E403" s="49"/>
      <c r="G403" s="59"/>
    </row>
    <row r="404" spans="3:7" ht="18" customHeight="1" x14ac:dyDescent="0.3">
      <c r="C404" s="48"/>
      <c r="D404" s="54"/>
      <c r="E404" s="49"/>
      <c r="G404" s="59"/>
    </row>
    <row r="405" spans="3:7" ht="18" customHeight="1" x14ac:dyDescent="0.3">
      <c r="C405" s="48"/>
      <c r="D405" s="54"/>
      <c r="E405" s="49"/>
      <c r="G405" s="59"/>
    </row>
    <row r="406" spans="3:7" ht="18" customHeight="1" x14ac:dyDescent="0.3">
      <c r="C406" s="48"/>
      <c r="D406" s="54"/>
      <c r="E406" s="49"/>
      <c r="G406" s="59"/>
    </row>
    <row r="407" spans="3:7" ht="18" customHeight="1" x14ac:dyDescent="0.3">
      <c r="C407" s="48"/>
      <c r="D407" s="54"/>
      <c r="E407" s="49"/>
      <c r="G407" s="59"/>
    </row>
    <row r="408" spans="3:7" ht="18" customHeight="1" x14ac:dyDescent="0.3">
      <c r="C408" s="48"/>
      <c r="D408" s="54"/>
      <c r="E408" s="49"/>
      <c r="G408" s="59"/>
    </row>
    <row r="409" spans="3:7" ht="18" customHeight="1" x14ac:dyDescent="0.3">
      <c r="C409" s="48"/>
      <c r="D409" s="54"/>
      <c r="E409" s="49"/>
      <c r="G409" s="59"/>
    </row>
    <row r="410" spans="3:7" ht="18" customHeight="1" x14ac:dyDescent="0.3">
      <c r="C410" s="48"/>
      <c r="D410" s="54"/>
      <c r="E410" s="49"/>
      <c r="G410" s="59"/>
    </row>
    <row r="411" spans="3:7" ht="18" customHeight="1" x14ac:dyDescent="0.3">
      <c r="C411" s="48"/>
      <c r="D411" s="54"/>
      <c r="E411" s="49"/>
      <c r="G411" s="59"/>
    </row>
    <row r="412" spans="3:7" ht="18" customHeight="1" x14ac:dyDescent="0.3">
      <c r="C412" s="48"/>
      <c r="D412" s="54"/>
      <c r="E412" s="49"/>
      <c r="G412" s="59"/>
    </row>
    <row r="413" spans="3:7" ht="18" customHeight="1" x14ac:dyDescent="0.3">
      <c r="C413" s="48"/>
      <c r="D413" s="54"/>
      <c r="E413" s="49"/>
      <c r="G413" s="59"/>
    </row>
    <row r="414" spans="3:7" ht="18" customHeight="1" x14ac:dyDescent="0.3">
      <c r="C414" s="48"/>
      <c r="D414" s="54"/>
      <c r="E414" s="49"/>
      <c r="G414" s="59"/>
    </row>
    <row r="415" spans="3:7" ht="18" customHeight="1" x14ac:dyDescent="0.3">
      <c r="C415" s="48"/>
      <c r="D415" s="54"/>
      <c r="E415" s="49"/>
      <c r="G415" s="59"/>
    </row>
    <row r="416" spans="3:7" ht="18" customHeight="1" x14ac:dyDescent="0.3">
      <c r="C416" s="48"/>
      <c r="D416" s="54"/>
      <c r="E416" s="49"/>
      <c r="G416" s="59"/>
    </row>
    <row r="417" spans="3:7" ht="18" customHeight="1" x14ac:dyDescent="0.3">
      <c r="C417" s="48"/>
      <c r="D417" s="54"/>
      <c r="E417" s="49"/>
      <c r="G417" s="59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32769" r:id="rId4" name="CommandButton1">
          <controlPr defaultSize="0" autoLine="0" r:id="rId5">
            <anchor moveWithCells="1">
              <from>
                <xdr:col>5</xdr:col>
                <xdr:colOff>1280160</xdr:colOff>
                <xdr:row>2</xdr:row>
                <xdr:rowOff>38100</xdr:rowOff>
              </from>
              <to>
                <xdr:col>5</xdr:col>
                <xdr:colOff>3710940</xdr:colOff>
                <xdr:row>4</xdr:row>
                <xdr:rowOff>114300</xdr:rowOff>
              </to>
            </anchor>
          </controlPr>
        </control>
      </mc:Choice>
      <mc:Fallback>
        <control shapeId="32769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FBAE8C6-B695-4883-B9A1-E6B65C8AE234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E8:E135</xm:sqref>
        </x14:conditionalFormatting>
        <x14:conditionalFormatting xmlns:xm="http://schemas.microsoft.com/office/excel/2006/main">
          <x14:cfRule type="iconSet" priority="2" id="{F7F2495F-89CE-47FB-90BB-A8E1862B55ED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D8:D135</xm:sqref>
        </x14:conditionalFormatting>
        <x14:conditionalFormatting xmlns:xm="http://schemas.microsoft.com/office/excel/2006/main">
          <x14:cfRule type="iconSet" priority="3" id="{A72A39D4-BA6E-4DB2-8DF3-4AA724664DED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C8:C135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7815D-61B1-45E9-A7DE-BE5300AF3B91}">
  <sheetPr codeName="Feuil7">
    <tabColor theme="9" tint="0.59999389629810485"/>
  </sheetPr>
  <dimension ref="A1:M36"/>
  <sheetViews>
    <sheetView showGridLines="0" showRowColHeaders="0" zoomScale="85" zoomScaleNormal="85" workbookViewId="0">
      <selection activeCell="H8" sqref="H8:H9"/>
    </sheetView>
  </sheetViews>
  <sheetFormatPr baseColWidth="10" defaultRowHeight="18" customHeight="1" x14ac:dyDescent="0.3"/>
  <cols>
    <col min="1" max="1" width="4.77734375" style="137" customWidth="1"/>
    <col min="2" max="2" width="16" customWidth="1"/>
    <col min="3" max="3" width="5.44140625" customWidth="1"/>
    <col min="4" max="4" width="11.33203125" customWidth="1"/>
    <col min="5" max="5" width="4.88671875" customWidth="1"/>
    <col min="6" max="6" width="61.77734375" customWidth="1"/>
    <col min="7" max="7" width="26.88671875" customWidth="1"/>
    <col min="8" max="8" width="12.6640625" customWidth="1"/>
    <col min="12" max="12" width="14.21875" bestFit="1" customWidth="1"/>
  </cols>
  <sheetData>
    <row r="1" spans="1:13" ht="4.2" customHeight="1" x14ac:dyDescent="0.3"/>
    <row r="2" spans="1:13" ht="18" customHeight="1" x14ac:dyDescent="0.3">
      <c r="E2" s="44"/>
      <c r="F2" s="44"/>
    </row>
    <row r="3" spans="1:13" ht="18" customHeight="1" x14ac:dyDescent="0.3">
      <c r="B3" s="44"/>
      <c r="C3" s="44"/>
      <c r="D3" s="44"/>
      <c r="E3" s="44"/>
      <c r="F3" s="44"/>
    </row>
    <row r="4" spans="1:13" ht="18" customHeight="1" x14ac:dyDescent="0.3">
      <c r="B4" s="44"/>
      <c r="C4" s="44"/>
      <c r="D4" s="44"/>
      <c r="E4" s="44"/>
      <c r="F4" s="44"/>
    </row>
    <row r="6" spans="1:13" ht="18" customHeight="1" thickBot="1" x14ac:dyDescent="0.35"/>
    <row r="7" spans="1:13" ht="18" customHeight="1" x14ac:dyDescent="0.3">
      <c r="B7" s="22" t="s">
        <v>5</v>
      </c>
      <c r="C7" s="12" t="s">
        <v>224</v>
      </c>
      <c r="D7" s="13" t="s">
        <v>223</v>
      </c>
      <c r="E7" s="14" t="s">
        <v>222</v>
      </c>
      <c r="F7" s="45" t="s">
        <v>0</v>
      </c>
      <c r="G7" s="46" t="s">
        <v>1</v>
      </c>
      <c r="H7" s="47" t="s">
        <v>2</v>
      </c>
      <c r="I7" s="47" t="s">
        <v>235</v>
      </c>
      <c r="J7" s="47" t="s">
        <v>221</v>
      </c>
      <c r="K7" s="47" t="s">
        <v>3</v>
      </c>
      <c r="L7" s="45" t="s">
        <v>333</v>
      </c>
      <c r="M7" s="22" t="s">
        <v>4</v>
      </c>
    </row>
    <row r="8" spans="1:13" ht="18" customHeight="1" x14ac:dyDescent="0.3">
      <c r="A8" s="137">
        <f>IF(F8&lt;&gt;"",ROW()-7,"")</f>
        <v>1</v>
      </c>
      <c r="C8" s="48">
        <f>IF(Tableau10[[#This Row],[STOCK REEL]]&lt;=0,1,"")</f>
        <v>1</v>
      </c>
      <c r="D8" s="48">
        <f>IF(Tableau10[[#This Row],[STOCK REEL]]&lt;=Tableau10[[#This Row],[MINI]],1,"")</f>
        <v>1</v>
      </c>
      <c r="E8" s="49">
        <f>IF(Tableau10[[#This Row],[STOCK REEL]]&gt;=Tableau10[[#This Row],[MINI]],1,"")</f>
        <v>1</v>
      </c>
      <c r="F8" s="171" t="s">
        <v>334</v>
      </c>
      <c r="G8" s="50"/>
      <c r="H8" s="309">
        <f>SUMIFS(Tableau4[QUANTITE],Tableau4[REFERENCE],Tableau10[[#This Row],[REFERENCE]],Tableau4[ENTREE],"Entrée")-SUMIFS(Tableau4[QUANTITE],Tableau4[REFERENCE],Tableau10[[#This Row],[REFERENCE]],Tableau4[ENTREE],"Sortie")+SUMIFS(Tableau5[QUANTITE],Tableau5[REFERENCE],Tableau10[[#This Row],[REFERENCE]],Tableau5[ENTREE],"RETOUR")-SUMIFS(Tableau5[QUANTITE],Tableau5[REFERENCE],Tableau10[[#This Row],[REFERENCE]],Tableau5[ENTREE],"SORTIE")</f>
        <v>0</v>
      </c>
      <c r="I8" s="51"/>
      <c r="J8" s="51"/>
      <c r="K8" s="51"/>
      <c r="L8" s="51"/>
      <c r="M8" s="58">
        <f t="shared" ref="M8:M9" si="0">IFERROR(K8*H8,"")</f>
        <v>0</v>
      </c>
    </row>
    <row r="9" spans="1:13" ht="18" customHeight="1" x14ac:dyDescent="0.3">
      <c r="A9" s="137">
        <f>IF(F9&lt;&gt;"",ROW()-7,"")</f>
        <v>2</v>
      </c>
      <c r="C9" s="48">
        <f>IF(Tableau10[[#This Row],[STOCK REEL]]&lt;=0,1,"")</f>
        <v>1</v>
      </c>
      <c r="D9" s="48">
        <f>IF(Tableau10[[#This Row],[STOCK REEL]]&lt;=Tableau10[[#This Row],[MINI]],1,"")</f>
        <v>1</v>
      </c>
      <c r="E9" s="49">
        <f>IF(Tableau10[[#This Row],[STOCK REEL]]&gt;=Tableau10[[#This Row],[MINI]],1,"")</f>
        <v>1</v>
      </c>
      <c r="F9" s="171" t="s">
        <v>335</v>
      </c>
      <c r="G9" s="50"/>
      <c r="H9" s="309">
        <f>SUMIFS(Tableau4[QUANTITE],Tableau4[REFERENCE],Tableau10[[#This Row],[REFERENCE]],Tableau4[ENTREE],"Entrée")-SUMIFS(Tableau4[QUANTITE],Tableau4[REFERENCE],Tableau10[[#This Row],[REFERENCE]],Tableau4[ENTREE],"Sortie")+SUMIFS(Tableau5[QUANTITE],Tableau5[REFERENCE],Tableau10[[#This Row],[REFERENCE]],Tableau5[ENTREE],"RETOUR")-SUMIFS(Tableau5[QUANTITE],Tableau5[REFERENCE],Tableau10[[#This Row],[REFERENCE]],Tableau5[ENTREE],"SORTIE")</f>
        <v>0</v>
      </c>
      <c r="I9" s="51"/>
      <c r="J9" s="51"/>
      <c r="K9" s="51"/>
      <c r="L9" s="51"/>
      <c r="M9" s="58">
        <f t="shared" si="0"/>
        <v>0</v>
      </c>
    </row>
    <row r="10" spans="1:13" ht="18" customHeight="1" x14ac:dyDescent="0.3">
      <c r="C10" s="48"/>
      <c r="D10" s="48"/>
      <c r="E10" s="49"/>
      <c r="F10" s="50"/>
      <c r="G10" s="50"/>
      <c r="H10" s="51"/>
      <c r="I10" s="51"/>
      <c r="J10" s="51"/>
      <c r="K10" s="52"/>
      <c r="L10" s="52"/>
    </row>
    <row r="11" spans="1:13" ht="18" customHeight="1" x14ac:dyDescent="0.3">
      <c r="C11" s="48"/>
      <c r="D11" s="48"/>
      <c r="E11" s="49"/>
      <c r="F11" s="50"/>
      <c r="G11" s="50"/>
      <c r="H11" s="51"/>
      <c r="I11" s="51"/>
      <c r="J11" s="51"/>
      <c r="K11" s="52"/>
      <c r="L11" s="52"/>
    </row>
    <row r="12" spans="1:13" ht="18" customHeight="1" x14ac:dyDescent="0.3">
      <c r="C12" s="48"/>
      <c r="D12" s="48"/>
      <c r="E12" s="49"/>
      <c r="F12" s="50"/>
      <c r="G12" s="50"/>
      <c r="H12" s="51"/>
      <c r="I12" s="51"/>
      <c r="J12" s="51"/>
      <c r="K12" s="52"/>
      <c r="L12" s="52"/>
    </row>
    <row r="13" spans="1:13" ht="18" customHeight="1" x14ac:dyDescent="0.3">
      <c r="C13" s="48"/>
      <c r="D13" s="48"/>
      <c r="E13" s="49"/>
      <c r="F13" s="50"/>
      <c r="G13" s="50"/>
      <c r="H13" s="51"/>
      <c r="I13" s="51"/>
      <c r="J13" s="51"/>
      <c r="K13" s="52"/>
      <c r="L13" s="52"/>
    </row>
    <row r="14" spans="1:13" ht="18" customHeight="1" x14ac:dyDescent="0.3">
      <c r="C14" s="48"/>
      <c r="D14" s="48"/>
      <c r="E14" s="49"/>
      <c r="F14" s="16"/>
      <c r="G14" s="16"/>
    </row>
    <row r="15" spans="1:13" ht="18" customHeight="1" x14ac:dyDescent="0.3">
      <c r="C15" s="48"/>
      <c r="D15" s="48"/>
      <c r="E15" s="49"/>
      <c r="F15" s="16"/>
      <c r="G15" s="16"/>
    </row>
    <row r="16" spans="1:13" ht="18" customHeight="1" x14ac:dyDescent="0.3">
      <c r="C16" s="48"/>
      <c r="D16" s="48"/>
      <c r="E16" s="49"/>
      <c r="F16" s="16"/>
      <c r="G16" s="16"/>
    </row>
    <row r="17" spans="3:7" ht="18" customHeight="1" x14ac:dyDescent="0.3">
      <c r="C17" s="48"/>
      <c r="D17" s="48"/>
      <c r="E17" s="49"/>
      <c r="F17" s="16"/>
      <c r="G17" s="16"/>
    </row>
    <row r="18" spans="3:7" ht="18" customHeight="1" x14ac:dyDescent="0.3">
      <c r="C18" s="48"/>
      <c r="D18" s="48"/>
      <c r="E18" s="49"/>
      <c r="F18" s="16"/>
      <c r="G18" s="16"/>
    </row>
    <row r="19" spans="3:7" ht="18" customHeight="1" x14ac:dyDescent="0.3">
      <c r="C19" s="48"/>
      <c r="D19" s="48"/>
      <c r="E19" s="49"/>
      <c r="F19" s="16"/>
      <c r="G19" s="16"/>
    </row>
    <row r="20" spans="3:7" ht="18" customHeight="1" x14ac:dyDescent="0.3">
      <c r="C20" s="48"/>
      <c r="D20" s="48"/>
      <c r="E20" s="49"/>
      <c r="F20" s="16"/>
      <c r="G20" s="16"/>
    </row>
    <row r="21" spans="3:7" ht="18" customHeight="1" x14ac:dyDescent="0.3">
      <c r="C21" s="48"/>
      <c r="D21" s="48"/>
      <c r="E21" s="49"/>
      <c r="F21" s="16"/>
      <c r="G21" s="16"/>
    </row>
    <row r="22" spans="3:7" ht="18" customHeight="1" x14ac:dyDescent="0.3">
      <c r="C22" s="48"/>
      <c r="D22" s="48"/>
      <c r="E22" s="49"/>
      <c r="F22" s="16"/>
      <c r="G22" s="16"/>
    </row>
    <row r="23" spans="3:7" ht="18" customHeight="1" x14ac:dyDescent="0.3">
      <c r="C23" s="48"/>
      <c r="D23" s="48"/>
      <c r="E23" s="49"/>
      <c r="F23" s="16"/>
      <c r="G23" s="16"/>
    </row>
    <row r="24" spans="3:7" ht="18" customHeight="1" x14ac:dyDescent="0.3">
      <c r="C24" s="48"/>
      <c r="D24" s="48"/>
      <c r="E24" s="49"/>
      <c r="F24" s="16"/>
      <c r="G24" s="16"/>
    </row>
    <row r="25" spans="3:7" ht="18" customHeight="1" x14ac:dyDescent="0.3">
      <c r="C25" s="48"/>
      <c r="D25" s="48"/>
      <c r="E25" s="49"/>
      <c r="F25" s="16"/>
      <c r="G25" s="16"/>
    </row>
    <row r="26" spans="3:7" ht="18" customHeight="1" x14ac:dyDescent="0.3">
      <c r="C26" s="48"/>
      <c r="D26" s="48"/>
      <c r="E26" s="49"/>
      <c r="F26" s="16"/>
      <c r="G26" s="16"/>
    </row>
    <row r="27" spans="3:7" ht="18" customHeight="1" x14ac:dyDescent="0.3">
      <c r="C27" s="48"/>
      <c r="D27" s="48"/>
      <c r="E27" s="49"/>
      <c r="F27" s="16"/>
      <c r="G27" s="16"/>
    </row>
    <row r="28" spans="3:7" ht="18" customHeight="1" x14ac:dyDescent="0.3">
      <c r="C28" s="48"/>
      <c r="D28" s="48"/>
      <c r="E28" s="49"/>
      <c r="F28" s="16"/>
      <c r="G28" s="16"/>
    </row>
    <row r="29" spans="3:7" ht="18" customHeight="1" x14ac:dyDescent="0.3">
      <c r="C29" s="48"/>
      <c r="D29" s="48"/>
      <c r="E29" s="49"/>
      <c r="F29" s="16"/>
      <c r="G29" s="16"/>
    </row>
    <row r="30" spans="3:7" ht="18" customHeight="1" x14ac:dyDescent="0.3">
      <c r="C30" s="48"/>
      <c r="D30" s="48"/>
      <c r="E30" s="49"/>
      <c r="F30" s="16"/>
      <c r="G30" s="16"/>
    </row>
    <row r="31" spans="3:7" ht="18" customHeight="1" x14ac:dyDescent="0.3">
      <c r="C31" s="48"/>
      <c r="D31" s="48"/>
      <c r="E31" s="49"/>
      <c r="F31" s="16"/>
      <c r="G31" s="16"/>
    </row>
    <row r="32" spans="3:7" ht="18" customHeight="1" x14ac:dyDescent="0.3">
      <c r="C32" s="48"/>
      <c r="D32" s="48"/>
      <c r="E32" s="49"/>
      <c r="F32" s="16"/>
      <c r="G32" s="16"/>
    </row>
    <row r="33" spans="3:7" ht="18" customHeight="1" x14ac:dyDescent="0.3">
      <c r="C33" s="48"/>
      <c r="D33" s="48"/>
      <c r="E33" s="49"/>
      <c r="F33" s="16"/>
      <c r="G33" s="16"/>
    </row>
    <row r="34" spans="3:7" ht="18" customHeight="1" x14ac:dyDescent="0.3">
      <c r="C34" s="48"/>
      <c r="D34" s="48"/>
      <c r="E34" s="49"/>
      <c r="F34" s="16"/>
      <c r="G34" s="16"/>
    </row>
    <row r="35" spans="3:7" ht="18" customHeight="1" x14ac:dyDescent="0.3">
      <c r="C35" s="48"/>
      <c r="D35" s="48"/>
      <c r="E35" s="49"/>
      <c r="F35" s="16"/>
      <c r="G35" s="16"/>
    </row>
    <row r="36" spans="3:7" ht="18" customHeight="1" x14ac:dyDescent="0.3">
      <c r="C36" s="48"/>
      <c r="D36" s="48"/>
      <c r="E36" s="49"/>
      <c r="F36" s="16"/>
      <c r="G36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1745" r:id="rId3" name="CommandButton1">
          <controlPr defaultSize="0" autoLine="0" r:id="rId4">
            <anchor moveWithCells="1">
              <from>
                <xdr:col>5</xdr:col>
                <xdr:colOff>1790700</xdr:colOff>
                <xdr:row>1</xdr:row>
                <xdr:rowOff>220980</xdr:rowOff>
              </from>
              <to>
                <xdr:col>6</xdr:col>
                <xdr:colOff>335280</xdr:colOff>
                <xdr:row>4</xdr:row>
                <xdr:rowOff>99060</xdr:rowOff>
              </to>
            </anchor>
          </controlPr>
        </control>
      </mc:Choice>
      <mc:Fallback>
        <control shapeId="31745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6" id="{F14A3E09-159F-4CCD-921A-41D4D39B28A1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E8:E9</xm:sqref>
        </x14:conditionalFormatting>
        <x14:conditionalFormatting xmlns:xm="http://schemas.microsoft.com/office/excel/2006/main">
          <x14:cfRule type="iconSet" priority="27" id="{0183408A-8D7B-4D99-B6D0-DBBC28E5EDC9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D8:D9</xm:sqref>
        </x14:conditionalFormatting>
        <x14:conditionalFormatting xmlns:xm="http://schemas.microsoft.com/office/excel/2006/main">
          <x14:cfRule type="iconSet" priority="28" id="{7D1A2893-7083-4B20-82CD-71922D0A77C4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1B559-04BA-45A9-B757-60C2297A3149}">
  <sheetPr codeName="Feuil10">
    <tabColor theme="9" tint="0.59999389629810485"/>
  </sheetPr>
  <dimension ref="A7:M36"/>
  <sheetViews>
    <sheetView showGridLines="0" showRowColHeaders="0" zoomScale="85" zoomScaleNormal="85" workbookViewId="0">
      <selection activeCell="H8" sqref="H8"/>
    </sheetView>
  </sheetViews>
  <sheetFormatPr baseColWidth="10" defaultRowHeight="14.4" x14ac:dyDescent="0.3"/>
  <cols>
    <col min="1" max="1" width="4.5546875" style="137" customWidth="1"/>
    <col min="2" max="2" width="16" customWidth="1"/>
    <col min="3" max="3" width="6.109375" customWidth="1"/>
    <col min="4" max="4" width="10.77734375" customWidth="1"/>
    <col min="5" max="5" width="5.109375" customWidth="1"/>
    <col min="6" max="6" width="60.44140625" customWidth="1"/>
    <col min="7" max="7" width="26.88671875" customWidth="1"/>
    <col min="8" max="8" width="12.6640625" customWidth="1"/>
    <col min="12" max="12" width="14.21875" bestFit="1" customWidth="1"/>
  </cols>
  <sheetData>
    <row r="7" spans="1:13" x14ac:dyDescent="0.3">
      <c r="B7" s="84" t="s">
        <v>534</v>
      </c>
      <c r="C7" s="85" t="s">
        <v>224</v>
      </c>
      <c r="D7" s="85" t="s">
        <v>223</v>
      </c>
      <c r="E7" s="85" t="s">
        <v>222</v>
      </c>
      <c r="F7" s="46" t="s">
        <v>0</v>
      </c>
      <c r="G7" s="46" t="s">
        <v>1</v>
      </c>
      <c r="H7" s="47" t="s">
        <v>2</v>
      </c>
      <c r="I7" s="47" t="s">
        <v>235</v>
      </c>
      <c r="J7" s="47" t="s">
        <v>221</v>
      </c>
      <c r="K7" s="47" t="s">
        <v>3</v>
      </c>
      <c r="L7" s="45" t="s">
        <v>333</v>
      </c>
      <c r="M7" s="22" t="s">
        <v>4</v>
      </c>
    </row>
    <row r="8" spans="1:13" x14ac:dyDescent="0.3">
      <c r="A8" s="137" t="str">
        <f>IF(F8&lt;&gt;"",ROW()-7,"")</f>
        <v/>
      </c>
      <c r="C8" s="48">
        <f>IF(Tableau11[[#This Row],[STOCK REEL]]&lt;=0,1,"")</f>
        <v>1</v>
      </c>
      <c r="D8" s="48">
        <f>IF(Tableau11[[#This Row],[STOCK REEL]]&lt;=Tableau11[[#This Row],[MINI]],1,"")</f>
        <v>1</v>
      </c>
      <c r="E8" s="49">
        <f>IF(Tableau11[[#This Row],[STOCK REEL]]&gt;=Tableau11[[#This Row],[MINI]],1,"")</f>
        <v>1</v>
      </c>
      <c r="F8" s="50"/>
      <c r="G8" s="50"/>
      <c r="H8" s="309">
        <f>SUMIFS(Tableau4[QUANTITE],Tableau4[REFERENCE],Tableau11[[#This Row],[REFERENCE]],Tableau4[ENTREE],"Entrée")-SUMIFS(Tableau4[QUANTITE],Tableau4[REFERENCE],Tableau11[[#This Row],[REFERENCE]],Tableau4[ENTREE],"Sortie")+SUMIFS(Tableau5[QUANTITE],Tableau5[REFERENCE],Tableau11[[#This Row],[REFERENCE]],Tableau5[ENTREE],"RETOUR")-SUMIFS(Tableau5[QUANTITE],Tableau5[REFERENCE],Tableau11[[#This Row],[REFERENCE]],Tableau5[ENTREE],"SORTIE")</f>
        <v>0</v>
      </c>
      <c r="I8" s="51"/>
      <c r="J8" s="51"/>
      <c r="K8" s="57"/>
      <c r="L8" s="51"/>
      <c r="M8" s="58">
        <f>IFERROR(H8*K8,"")</f>
        <v>0</v>
      </c>
    </row>
    <row r="9" spans="1:13" x14ac:dyDescent="0.3">
      <c r="C9" s="108">
        <f>IF(Tableau11[[#This Row],[STOCK REEL]]&lt;=0,1,"")</f>
        <v>1</v>
      </c>
      <c r="D9" s="108">
        <f>IF(Tableau11[[#This Row],[STOCK REEL]]&lt;=Tableau11[[#This Row],[MINI]],1,"")</f>
        <v>1</v>
      </c>
      <c r="E9" s="109" t="str">
        <f>IF(Tableau11[[#This Row],[STOCK REEL]]&gt;=Tableau11[[#This Row],[MINI]],1,"")</f>
        <v/>
      </c>
      <c r="F9" s="50" t="s">
        <v>577</v>
      </c>
      <c r="G9" s="50" t="s">
        <v>577</v>
      </c>
      <c r="H9" s="309">
        <f>SUMIFS(Tableau4[QUANTITE],Tableau4[REFERENCE],Tableau11[[#This Row],[REFERENCE]],Tableau4[ENTREE],"Entrée")-SUMIFS(Tableau4[QUANTITE],Tableau4[REFERENCE],Tableau11[[#This Row],[REFERENCE]],Tableau4[ENTREE],"Sortie")+SUMIFS(Tableau5[QUANTITE],Tableau5[REFERENCE],Tableau11[[#This Row],[REFERENCE]],Tableau5[ENTREE],"RETOUR")-SUMIFS(Tableau5[QUANTITE],Tableau5[REFERENCE],Tableau11[[#This Row],[REFERENCE]],Tableau5[ENTREE],"SORTIE")</f>
        <v>0</v>
      </c>
      <c r="I9" s="51" t="s">
        <v>562</v>
      </c>
      <c r="J9" s="51" t="s">
        <v>562</v>
      </c>
      <c r="K9" s="57" t="s">
        <v>562</v>
      </c>
      <c r="L9" s="51"/>
      <c r="M9" s="58" t="str">
        <f>IFERROR(H9*K9,"")</f>
        <v/>
      </c>
    </row>
    <row r="10" spans="1:13" x14ac:dyDescent="0.3">
      <c r="C10" s="48"/>
      <c r="D10" s="48"/>
      <c r="E10" s="49"/>
      <c r="F10" s="50"/>
      <c r="G10" s="50"/>
      <c r="H10" s="51"/>
      <c r="I10" s="51"/>
      <c r="J10" s="51"/>
      <c r="K10" s="52"/>
      <c r="L10" s="52"/>
    </row>
    <row r="11" spans="1:13" x14ac:dyDescent="0.3">
      <c r="C11" s="48"/>
      <c r="D11" s="48"/>
      <c r="E11" s="49"/>
      <c r="F11" s="50"/>
      <c r="G11" s="50"/>
      <c r="H11" s="51"/>
      <c r="I11" s="51"/>
      <c r="J11" s="51"/>
      <c r="K11" s="52"/>
      <c r="L11" s="52"/>
    </row>
    <row r="12" spans="1:13" x14ac:dyDescent="0.3">
      <c r="C12" s="48"/>
      <c r="D12" s="48"/>
      <c r="E12" s="49"/>
      <c r="F12" s="50"/>
      <c r="G12" s="50"/>
      <c r="H12" s="51"/>
      <c r="I12" s="51"/>
      <c r="J12" s="51"/>
      <c r="K12" s="52"/>
      <c r="L12" s="52"/>
    </row>
    <row r="13" spans="1:13" x14ac:dyDescent="0.3">
      <c r="C13" s="48">
        <v>1</v>
      </c>
      <c r="D13" s="48">
        <v>1</v>
      </c>
      <c r="E13" s="49">
        <v>1</v>
      </c>
      <c r="F13" s="16"/>
      <c r="G13" s="16"/>
    </row>
    <row r="14" spans="1:13" x14ac:dyDescent="0.3">
      <c r="C14" s="48">
        <v>1</v>
      </c>
      <c r="D14" s="48">
        <v>1</v>
      </c>
      <c r="E14" s="49">
        <v>1</v>
      </c>
      <c r="F14" s="16"/>
      <c r="G14" s="16"/>
    </row>
    <row r="15" spans="1:13" x14ac:dyDescent="0.3">
      <c r="C15" s="48">
        <v>1</v>
      </c>
      <c r="D15" s="48">
        <v>1</v>
      </c>
      <c r="E15" s="49">
        <v>1</v>
      </c>
      <c r="F15" s="16"/>
      <c r="G15" s="16"/>
    </row>
    <row r="16" spans="1:13" x14ac:dyDescent="0.3">
      <c r="C16" s="48">
        <v>1</v>
      </c>
      <c r="D16" s="48">
        <v>1</v>
      </c>
      <c r="E16" s="49">
        <v>1</v>
      </c>
      <c r="F16" s="16"/>
      <c r="G16" s="16"/>
    </row>
    <row r="17" spans="3:7" x14ac:dyDescent="0.3">
      <c r="C17" s="48">
        <v>1</v>
      </c>
      <c r="D17" s="48">
        <v>1</v>
      </c>
      <c r="E17" s="49">
        <v>1</v>
      </c>
      <c r="F17" s="16"/>
      <c r="G17" s="16"/>
    </row>
    <row r="18" spans="3:7" x14ac:dyDescent="0.3">
      <c r="C18" s="48">
        <v>1</v>
      </c>
      <c r="D18" s="48">
        <v>1</v>
      </c>
      <c r="E18" s="49">
        <v>1</v>
      </c>
      <c r="F18" s="16"/>
      <c r="G18" s="16"/>
    </row>
    <row r="19" spans="3:7" x14ac:dyDescent="0.3">
      <c r="C19" s="48">
        <v>1</v>
      </c>
      <c r="D19" s="48">
        <v>1</v>
      </c>
      <c r="E19" s="49">
        <v>1</v>
      </c>
      <c r="F19" s="16"/>
      <c r="G19" s="16"/>
    </row>
    <row r="20" spans="3:7" x14ac:dyDescent="0.3">
      <c r="C20" s="48">
        <v>1</v>
      </c>
      <c r="D20" s="48">
        <v>1</v>
      </c>
      <c r="E20" s="49">
        <v>1</v>
      </c>
      <c r="F20" s="16"/>
      <c r="G20" s="16"/>
    </row>
    <row r="21" spans="3:7" x14ac:dyDescent="0.3">
      <c r="C21" s="48">
        <v>1</v>
      </c>
      <c r="D21" s="48">
        <v>1</v>
      </c>
      <c r="E21" s="49">
        <v>1</v>
      </c>
      <c r="F21" s="16"/>
      <c r="G21" s="16"/>
    </row>
    <row r="22" spans="3:7" x14ac:dyDescent="0.3">
      <c r="C22" s="48">
        <v>1</v>
      </c>
      <c r="D22" s="48">
        <v>1</v>
      </c>
      <c r="E22" s="49">
        <v>1</v>
      </c>
      <c r="F22" s="16"/>
      <c r="G22" s="16"/>
    </row>
    <row r="23" spans="3:7" x14ac:dyDescent="0.3">
      <c r="C23" s="48">
        <v>1</v>
      </c>
      <c r="D23" s="48">
        <v>1</v>
      </c>
      <c r="E23" s="49">
        <v>1</v>
      </c>
      <c r="F23" s="16"/>
      <c r="G23" s="16"/>
    </row>
    <row r="24" spans="3:7" x14ac:dyDescent="0.3">
      <c r="C24" s="48">
        <v>1</v>
      </c>
      <c r="D24" s="48">
        <v>1</v>
      </c>
      <c r="E24" s="49">
        <v>1</v>
      </c>
      <c r="F24" s="16"/>
      <c r="G24" s="16"/>
    </row>
    <row r="25" spans="3:7" x14ac:dyDescent="0.3">
      <c r="C25" s="48">
        <v>1</v>
      </c>
      <c r="D25" s="48">
        <v>1</v>
      </c>
      <c r="E25" s="49">
        <v>1</v>
      </c>
      <c r="F25" s="16"/>
      <c r="G25" s="16"/>
    </row>
    <row r="26" spans="3:7" x14ac:dyDescent="0.3">
      <c r="C26" s="48">
        <v>1</v>
      </c>
      <c r="D26" s="48">
        <v>1</v>
      </c>
      <c r="E26" s="49">
        <v>1</v>
      </c>
      <c r="F26" s="16"/>
      <c r="G26" s="16"/>
    </row>
    <row r="27" spans="3:7" x14ac:dyDescent="0.3">
      <c r="C27" s="48">
        <v>1</v>
      </c>
      <c r="D27" s="48">
        <v>1</v>
      </c>
      <c r="E27" s="49">
        <v>1</v>
      </c>
      <c r="F27" s="16"/>
      <c r="G27" s="16"/>
    </row>
    <row r="28" spans="3:7" x14ac:dyDescent="0.3">
      <c r="C28" s="48">
        <v>1</v>
      </c>
      <c r="D28" s="48">
        <v>1</v>
      </c>
      <c r="E28" s="49">
        <v>1</v>
      </c>
      <c r="F28" s="16"/>
      <c r="G28" s="16"/>
    </row>
    <row r="29" spans="3:7" x14ac:dyDescent="0.3">
      <c r="C29" s="48">
        <v>1</v>
      </c>
      <c r="D29" s="48">
        <v>1</v>
      </c>
      <c r="E29" s="49">
        <v>1</v>
      </c>
      <c r="F29" s="16"/>
      <c r="G29" s="16"/>
    </row>
    <row r="30" spans="3:7" x14ac:dyDescent="0.3">
      <c r="C30" s="48">
        <v>1</v>
      </c>
      <c r="D30" s="48">
        <v>1</v>
      </c>
      <c r="E30" s="49">
        <v>1</v>
      </c>
      <c r="F30" s="16"/>
      <c r="G30" s="16"/>
    </row>
    <row r="31" spans="3:7" x14ac:dyDescent="0.3">
      <c r="C31" s="48">
        <v>1</v>
      </c>
      <c r="D31" s="48">
        <v>1</v>
      </c>
      <c r="E31" s="49">
        <v>1</v>
      </c>
      <c r="F31" s="16"/>
      <c r="G31" s="16"/>
    </row>
    <row r="32" spans="3:7" x14ac:dyDescent="0.3">
      <c r="C32" s="48">
        <v>1</v>
      </c>
      <c r="D32" s="48">
        <v>1</v>
      </c>
      <c r="E32" s="49">
        <v>1</v>
      </c>
      <c r="F32" s="16"/>
      <c r="G32" s="16"/>
    </row>
    <row r="33" spans="3:7" x14ac:dyDescent="0.3">
      <c r="C33" s="48">
        <v>1</v>
      </c>
      <c r="D33" s="48">
        <v>1</v>
      </c>
      <c r="E33" s="49">
        <v>1</v>
      </c>
      <c r="F33" s="16"/>
      <c r="G33" s="16"/>
    </row>
    <row r="34" spans="3:7" x14ac:dyDescent="0.3">
      <c r="C34" s="48">
        <v>1</v>
      </c>
      <c r="D34" s="48">
        <v>1</v>
      </c>
      <c r="E34" s="49">
        <v>1</v>
      </c>
      <c r="F34" s="16"/>
      <c r="G34" s="16"/>
    </row>
    <row r="35" spans="3:7" x14ac:dyDescent="0.3">
      <c r="C35" s="48">
        <v>1</v>
      </c>
      <c r="D35" s="48">
        <v>1</v>
      </c>
      <c r="E35" s="49">
        <v>1</v>
      </c>
      <c r="F35" s="16"/>
      <c r="G35" s="16"/>
    </row>
    <row r="36" spans="3:7" x14ac:dyDescent="0.3">
      <c r="C36" s="48">
        <v>1</v>
      </c>
      <c r="D36" s="48">
        <v>1</v>
      </c>
      <c r="E36" s="49">
        <v>1</v>
      </c>
      <c r="F36" s="16"/>
      <c r="G36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6865" r:id="rId3" name="CommandButton7">
          <controlPr defaultSize="0" autoLine="0" r:id="rId4">
            <anchor moveWithCells="1">
              <from>
                <xdr:col>5</xdr:col>
                <xdr:colOff>495300</xdr:colOff>
                <xdr:row>1</xdr:row>
                <xdr:rowOff>76200</xdr:rowOff>
              </from>
              <to>
                <xdr:col>5</xdr:col>
                <xdr:colOff>2941320</xdr:colOff>
                <xdr:row>4</xdr:row>
                <xdr:rowOff>60960</xdr:rowOff>
              </to>
            </anchor>
          </controlPr>
        </control>
      </mc:Choice>
      <mc:Fallback>
        <control shapeId="36865" r:id="rId3" name="CommandButton7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C7B2DFB-5F2D-4ED6-AB2D-E5621DAC2A4D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C8:C9</xm:sqref>
        </x14:conditionalFormatting>
        <x14:conditionalFormatting xmlns:xm="http://schemas.microsoft.com/office/excel/2006/main">
          <x14:cfRule type="iconSet" priority="3" id="{5AF38566-24D0-49E3-8097-2E122CC6530D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E8:E9</xm:sqref>
        </x14:conditionalFormatting>
        <x14:conditionalFormatting xmlns:xm="http://schemas.microsoft.com/office/excel/2006/main">
          <x14:cfRule type="iconSet" priority="2" id="{C7D9A2F2-2A6D-40F9-8358-35F40989AF0F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0E0B3-B23A-4445-A41F-F81A6C6B5A4A}">
  <sheetPr codeName="Feuil13">
    <tabColor theme="9" tint="0.59999389629810485"/>
  </sheetPr>
  <dimension ref="A1:M36"/>
  <sheetViews>
    <sheetView showGridLines="0" showRowColHeaders="0" zoomScale="85" zoomScaleNormal="85" workbookViewId="0">
      <selection activeCell="F14" sqref="F14"/>
    </sheetView>
  </sheetViews>
  <sheetFormatPr baseColWidth="10" defaultRowHeight="18" customHeight="1" x14ac:dyDescent="0.3"/>
  <cols>
    <col min="1" max="1" width="3.88671875" style="137" customWidth="1"/>
    <col min="2" max="2" width="16" customWidth="1"/>
    <col min="3" max="3" width="6.109375" customWidth="1"/>
    <col min="4" max="4" width="10.77734375" customWidth="1"/>
    <col min="5" max="5" width="5.109375" customWidth="1"/>
    <col min="6" max="6" width="66.33203125" customWidth="1"/>
    <col min="7" max="7" width="26.88671875" customWidth="1"/>
    <col min="8" max="8" width="12.6640625" customWidth="1"/>
    <col min="12" max="12" width="14.21875" bestFit="1" customWidth="1"/>
  </cols>
  <sheetData>
    <row r="1" spans="1:13" ht="4.2" customHeight="1" x14ac:dyDescent="0.3"/>
    <row r="2" spans="1:13" ht="18" customHeight="1" x14ac:dyDescent="0.3">
      <c r="C2" s="44"/>
      <c r="D2" s="44"/>
      <c r="E2" s="44"/>
    </row>
    <row r="3" spans="1:13" ht="18" customHeight="1" x14ac:dyDescent="0.3">
      <c r="B3" s="44"/>
      <c r="C3" s="44"/>
      <c r="D3" s="44"/>
      <c r="E3" s="44"/>
    </row>
    <row r="4" spans="1:13" ht="18" customHeight="1" x14ac:dyDescent="0.3">
      <c r="B4" s="44"/>
      <c r="C4" s="44"/>
      <c r="D4" s="44"/>
      <c r="E4" s="44"/>
    </row>
    <row r="7" spans="1:13" ht="18" customHeight="1" x14ac:dyDescent="0.3">
      <c r="B7" s="22" t="s">
        <v>534</v>
      </c>
      <c r="C7" s="6" t="s">
        <v>224</v>
      </c>
      <c r="D7" s="6" t="s">
        <v>223</v>
      </c>
      <c r="E7" s="6" t="s">
        <v>222</v>
      </c>
      <c r="F7" s="45" t="s">
        <v>0</v>
      </c>
      <c r="G7" s="45" t="s">
        <v>1</v>
      </c>
      <c r="H7" s="45" t="s">
        <v>2</v>
      </c>
      <c r="I7" s="45" t="s">
        <v>235</v>
      </c>
      <c r="J7" s="45" t="s">
        <v>221</v>
      </c>
      <c r="K7" s="45" t="s">
        <v>3</v>
      </c>
      <c r="L7" s="45" t="s">
        <v>333</v>
      </c>
      <c r="M7" s="22" t="s">
        <v>4</v>
      </c>
    </row>
    <row r="8" spans="1:13" ht="18" customHeight="1" x14ac:dyDescent="0.3">
      <c r="A8" s="137" t="str">
        <f>IF(F8&lt;&gt;"",ROW()-7,"")</f>
        <v/>
      </c>
      <c r="C8" s="48">
        <f>IF(Tableau1115[[#This Row],[STOCK REEL]]&lt;=0,1,"")</f>
        <v>1</v>
      </c>
      <c r="D8" s="48">
        <f>IF(Tableau1115[[#This Row],[STOCK REEL]]&lt;=Tableau1115[[#This Row],[MINI]],1,"")</f>
        <v>1</v>
      </c>
      <c r="E8" s="49">
        <f>IF(Tableau1115[[#This Row],[STOCK REEL]]&gt;=Tableau1115[[#This Row],[MINI]],1,"")</f>
        <v>1</v>
      </c>
      <c r="F8" s="50"/>
      <c r="G8" s="50"/>
      <c r="H8" s="309">
        <f>SUMIFS(Tableau4[QUANTITE],Tableau4[REFERENCE],Tableau1115[[#This Row],[REFERENCE]],Tableau4[ENTREE],"Entrée")-SUMIFS(Tableau4[QUANTITE],Tableau4[REFERENCE],Tableau1115[[#This Row],[REFERENCE]],Tableau4[ENTREE],"Sortie")+SUMIFS(Tableau5[QUANTITE],Tableau5[REFERENCE],Tableau1115[[#This Row],[REFERENCE]],Tableau5[ENTREE],"RETOUR")-SUMIFS(Tableau5[QUANTITE],Tableau5[REFERENCE],Tableau1115[[#This Row],[REFERENCE]],Tableau5[ENTREE],"SORTIE")</f>
        <v>0</v>
      </c>
      <c r="I8" s="51"/>
      <c r="J8" s="51"/>
      <c r="K8" s="57"/>
      <c r="L8" s="51"/>
      <c r="M8" s="58">
        <f>IFERROR(H8*K8,"")</f>
        <v>0</v>
      </c>
    </row>
    <row r="9" spans="1:13" ht="18" customHeight="1" x14ac:dyDescent="0.3">
      <c r="C9" s="108">
        <f>IF(Tableau1115[[#This Row],[STOCK REEL]]&lt;=0,1,"")</f>
        <v>1</v>
      </c>
      <c r="D9" s="108">
        <f>IF(Tableau1115[[#This Row],[STOCK REEL]]&lt;=Tableau1115[[#This Row],[MINI]],1,"")</f>
        <v>1</v>
      </c>
      <c r="E9" s="109" t="str">
        <f>IF(Tableau1115[[#This Row],[STOCK REEL]]&gt;=Tableau1115[[#This Row],[MINI]],1,"")</f>
        <v/>
      </c>
      <c r="F9" s="50" t="s">
        <v>569</v>
      </c>
      <c r="G9" s="50" t="s">
        <v>570</v>
      </c>
      <c r="H9" s="309">
        <f>SUMIFS(Tableau4[QUANTITE],Tableau4[REFERENCE],Tableau1115[[#This Row],[REFERENCE]],Tableau4[ENTREE],"Entrée")-SUMIFS(Tableau4[QUANTITE],Tableau4[REFERENCE],Tableau1115[[#This Row],[REFERENCE]],Tableau4[ENTREE],"Sortie")+SUMIFS(Tableau5[QUANTITE],Tableau5[REFERENCE],Tableau1115[[#This Row],[REFERENCE]],Tableau5[ENTREE],"RETOUR")-SUMIFS(Tableau5[QUANTITE],Tableau5[REFERENCE],Tableau1115[[#This Row],[REFERENCE]],Tableau5[ENTREE],"SORTIE")</f>
        <v>0</v>
      </c>
      <c r="I9" s="51" t="s">
        <v>562</v>
      </c>
      <c r="J9" s="51" t="s">
        <v>562</v>
      </c>
      <c r="K9" s="57" t="s">
        <v>562</v>
      </c>
      <c r="L9" s="51"/>
      <c r="M9" s="58" t="str">
        <f>IFERROR(H9*K9,"")</f>
        <v/>
      </c>
    </row>
    <row r="10" spans="1:13" ht="18" customHeight="1" x14ac:dyDescent="0.3">
      <c r="C10" s="108">
        <f>IF(Tableau1115[[#This Row],[STOCK REEL]]&lt;=0,1,"")</f>
        <v>1</v>
      </c>
      <c r="D10" s="108">
        <f>IF(Tableau1115[[#This Row],[STOCK REEL]]&lt;=Tableau1115[[#This Row],[MINI]],1,"")</f>
        <v>1</v>
      </c>
      <c r="E10" s="109" t="str">
        <f>IF(Tableau1115[[#This Row],[STOCK REEL]]&gt;=Tableau1115[[#This Row],[MINI]],1,"")</f>
        <v/>
      </c>
      <c r="F10" s="50" t="s">
        <v>571</v>
      </c>
      <c r="G10" s="50" t="s">
        <v>572</v>
      </c>
      <c r="H10" s="309">
        <f>SUMIFS(Tableau4[QUANTITE],Tableau4[REFERENCE],Tableau1115[[#This Row],[REFERENCE]],Tableau4[ENTREE],"Entrée")-SUMIFS(Tableau4[QUANTITE],Tableau4[REFERENCE],Tableau1115[[#This Row],[REFERENCE]],Tableau4[ENTREE],"Sortie")+SUMIFS(Tableau5[QUANTITE],Tableau5[REFERENCE],Tableau1115[[#This Row],[REFERENCE]],Tableau5[ENTREE],"RETOUR")-SUMIFS(Tableau5[QUANTITE],Tableau5[REFERENCE],Tableau1115[[#This Row],[REFERENCE]],Tableau5[ENTREE],"SORTIE")</f>
        <v>0</v>
      </c>
      <c r="I10" s="51" t="s">
        <v>562</v>
      </c>
      <c r="J10" s="51" t="s">
        <v>562</v>
      </c>
      <c r="K10" s="57" t="s">
        <v>562</v>
      </c>
      <c r="L10" s="51"/>
      <c r="M10" s="58" t="str">
        <f>IFERROR(H10*K10,"")</f>
        <v/>
      </c>
    </row>
    <row r="11" spans="1:13" ht="18" customHeight="1" x14ac:dyDescent="0.3">
      <c r="C11" s="48"/>
      <c r="D11" s="48"/>
      <c r="E11" s="49"/>
      <c r="F11" s="50"/>
      <c r="G11" s="50"/>
      <c r="H11" s="51"/>
      <c r="I11" s="51"/>
      <c r="J11" s="51"/>
      <c r="K11" s="52"/>
      <c r="L11" s="52"/>
    </row>
    <row r="12" spans="1:13" ht="18" customHeight="1" x14ac:dyDescent="0.3">
      <c r="C12" s="48"/>
      <c r="D12" s="48"/>
      <c r="E12" s="49"/>
      <c r="F12" s="50"/>
      <c r="G12" s="50"/>
      <c r="H12" s="51"/>
      <c r="I12" s="51"/>
      <c r="J12" s="51"/>
      <c r="K12" s="52"/>
      <c r="L12" s="52"/>
    </row>
    <row r="13" spans="1:13" ht="18" customHeight="1" x14ac:dyDescent="0.3">
      <c r="C13" s="48"/>
      <c r="D13" s="48"/>
      <c r="E13" s="49"/>
      <c r="F13" s="16"/>
      <c r="G13" s="16"/>
    </row>
    <row r="14" spans="1:13" ht="18" customHeight="1" x14ac:dyDescent="0.3">
      <c r="C14" s="48"/>
      <c r="D14" s="48"/>
      <c r="E14" s="49"/>
      <c r="F14" s="16"/>
      <c r="G14" s="16"/>
    </row>
    <row r="15" spans="1:13" ht="18" customHeight="1" x14ac:dyDescent="0.3">
      <c r="C15" s="48"/>
      <c r="D15" s="48"/>
      <c r="E15" s="49"/>
      <c r="F15" s="16"/>
      <c r="G15" s="16"/>
    </row>
    <row r="16" spans="1:13" ht="18" customHeight="1" x14ac:dyDescent="0.3">
      <c r="C16" s="48"/>
      <c r="D16" s="48"/>
      <c r="E16" s="49"/>
      <c r="F16" s="16"/>
      <c r="G16" s="16"/>
    </row>
    <row r="17" spans="3:7" ht="18" customHeight="1" x14ac:dyDescent="0.3">
      <c r="C17" s="48"/>
      <c r="D17" s="48"/>
      <c r="E17" s="49"/>
      <c r="F17" s="16"/>
      <c r="G17" s="16"/>
    </row>
    <row r="18" spans="3:7" ht="18" customHeight="1" x14ac:dyDescent="0.3">
      <c r="C18" s="48"/>
      <c r="D18" s="48"/>
      <c r="E18" s="49"/>
      <c r="F18" s="16"/>
      <c r="G18" s="16"/>
    </row>
    <row r="19" spans="3:7" ht="18" customHeight="1" x14ac:dyDescent="0.3">
      <c r="C19" s="48"/>
      <c r="D19" s="48"/>
      <c r="E19" s="49"/>
      <c r="F19" s="16"/>
      <c r="G19" s="16"/>
    </row>
    <row r="20" spans="3:7" ht="18" customHeight="1" x14ac:dyDescent="0.3">
      <c r="C20" s="48"/>
      <c r="D20" s="48"/>
      <c r="E20" s="49"/>
      <c r="F20" s="16"/>
      <c r="G20" s="16"/>
    </row>
    <row r="21" spans="3:7" ht="18" customHeight="1" x14ac:dyDescent="0.3">
      <c r="C21" s="48"/>
      <c r="D21" s="48"/>
      <c r="E21" s="49"/>
      <c r="F21" s="16"/>
      <c r="G21" s="16"/>
    </row>
    <row r="22" spans="3:7" ht="18" customHeight="1" x14ac:dyDescent="0.3">
      <c r="C22" s="48"/>
      <c r="D22" s="48"/>
      <c r="E22" s="49"/>
      <c r="F22" s="16"/>
      <c r="G22" s="16"/>
    </row>
    <row r="23" spans="3:7" ht="18" customHeight="1" x14ac:dyDescent="0.3">
      <c r="C23" s="48"/>
      <c r="D23" s="48"/>
      <c r="E23" s="49"/>
      <c r="F23" s="16"/>
      <c r="G23" s="16"/>
    </row>
    <row r="24" spans="3:7" ht="18" customHeight="1" x14ac:dyDescent="0.3">
      <c r="C24" s="48"/>
      <c r="D24" s="48"/>
      <c r="E24" s="49"/>
      <c r="F24" s="16"/>
      <c r="G24" s="16"/>
    </row>
    <row r="25" spans="3:7" ht="18" customHeight="1" x14ac:dyDescent="0.3">
      <c r="C25" s="48"/>
      <c r="D25" s="48"/>
      <c r="E25" s="49"/>
      <c r="F25" s="16"/>
      <c r="G25" s="16"/>
    </row>
    <row r="26" spans="3:7" ht="18" customHeight="1" x14ac:dyDescent="0.3">
      <c r="C26" s="48"/>
      <c r="D26" s="48"/>
      <c r="E26" s="49"/>
      <c r="F26" s="16"/>
      <c r="G26" s="16"/>
    </row>
    <row r="27" spans="3:7" ht="18" customHeight="1" x14ac:dyDescent="0.3">
      <c r="C27" s="48"/>
      <c r="D27" s="48"/>
      <c r="E27" s="49"/>
      <c r="F27" s="16"/>
      <c r="G27" s="16"/>
    </row>
    <row r="28" spans="3:7" ht="18" customHeight="1" x14ac:dyDescent="0.3">
      <c r="C28" s="48"/>
      <c r="D28" s="48"/>
      <c r="E28" s="49"/>
      <c r="F28" s="16"/>
      <c r="G28" s="16"/>
    </row>
    <row r="29" spans="3:7" ht="18" customHeight="1" x14ac:dyDescent="0.3">
      <c r="C29" s="48"/>
      <c r="D29" s="48"/>
      <c r="E29" s="49"/>
      <c r="F29" s="16"/>
      <c r="G29" s="16"/>
    </row>
    <row r="30" spans="3:7" ht="18" customHeight="1" x14ac:dyDescent="0.3">
      <c r="C30" s="48"/>
      <c r="D30" s="48"/>
      <c r="E30" s="49"/>
      <c r="F30" s="16"/>
      <c r="G30" s="16"/>
    </row>
    <row r="31" spans="3:7" ht="18" customHeight="1" x14ac:dyDescent="0.3">
      <c r="C31" s="48"/>
      <c r="D31" s="48"/>
      <c r="E31" s="49"/>
      <c r="F31" s="16"/>
      <c r="G31" s="16"/>
    </row>
    <row r="32" spans="3:7" ht="18" customHeight="1" x14ac:dyDescent="0.3">
      <c r="C32" s="48"/>
      <c r="D32" s="48"/>
      <c r="E32" s="49"/>
      <c r="F32" s="16"/>
      <c r="G32" s="16"/>
    </row>
    <row r="33" spans="3:7" ht="18" customHeight="1" x14ac:dyDescent="0.3">
      <c r="C33" s="48"/>
      <c r="D33" s="48"/>
      <c r="E33" s="49"/>
      <c r="F33" s="16"/>
      <c r="G33" s="16"/>
    </row>
    <row r="34" spans="3:7" ht="18" customHeight="1" x14ac:dyDescent="0.3">
      <c r="C34" s="48"/>
      <c r="D34" s="48"/>
      <c r="E34" s="49"/>
      <c r="F34" s="16"/>
      <c r="G34" s="16"/>
    </row>
    <row r="35" spans="3:7" ht="18" customHeight="1" x14ac:dyDescent="0.3">
      <c r="C35" s="48"/>
      <c r="D35" s="48"/>
      <c r="E35" s="49"/>
      <c r="F35" s="16"/>
      <c r="G35" s="16"/>
    </row>
    <row r="36" spans="3:7" ht="18" customHeight="1" x14ac:dyDescent="0.3">
      <c r="C36" s="48"/>
      <c r="D36" s="48"/>
      <c r="E36" s="49"/>
      <c r="F36" s="16"/>
      <c r="G36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7889" r:id="rId3" name="CommandButton1">
          <controlPr defaultSize="0" autoLine="0" r:id="rId4">
            <anchor moveWithCells="1">
              <from>
                <xdr:col>5</xdr:col>
                <xdr:colOff>609600</xdr:colOff>
                <xdr:row>1</xdr:row>
                <xdr:rowOff>205740</xdr:rowOff>
              </from>
              <to>
                <xdr:col>5</xdr:col>
                <xdr:colOff>3101340</xdr:colOff>
                <xdr:row>4</xdr:row>
                <xdr:rowOff>38100</xdr:rowOff>
              </to>
            </anchor>
          </controlPr>
        </control>
      </mc:Choice>
      <mc:Fallback>
        <control shapeId="37889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D35BDF1-1A76-44B6-9B8F-DBEE0B61956F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C8:C10</xm:sqref>
        </x14:conditionalFormatting>
        <x14:conditionalFormatting xmlns:xm="http://schemas.microsoft.com/office/excel/2006/main">
          <x14:cfRule type="iconSet" priority="3" id="{E7B8BC4F-7092-45DA-A2C2-B7F46E112DF7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E8:E10</xm:sqref>
        </x14:conditionalFormatting>
        <x14:conditionalFormatting xmlns:xm="http://schemas.microsoft.com/office/excel/2006/main">
          <x14:cfRule type="iconSet" priority="2" id="{8C771419-3DC4-45B2-A3AE-7DD5F4FBA641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D8:D10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CC9B2-8ED0-4F39-A335-0B79BBB89679}">
  <sheetPr codeName="Feuil14">
    <tabColor theme="9" tint="0.59999389629810485"/>
  </sheetPr>
  <dimension ref="A1:M36"/>
  <sheetViews>
    <sheetView showGridLines="0" showRowColHeaders="0" zoomScale="85" zoomScaleNormal="85" workbookViewId="0">
      <selection activeCell="G23" sqref="G23"/>
    </sheetView>
  </sheetViews>
  <sheetFormatPr baseColWidth="10" defaultRowHeight="18" customHeight="1" x14ac:dyDescent="0.3"/>
  <cols>
    <col min="1" max="1" width="4.33203125" customWidth="1"/>
    <col min="2" max="2" width="16" customWidth="1"/>
    <col min="3" max="3" width="6.109375" customWidth="1"/>
    <col min="4" max="4" width="10.77734375" customWidth="1"/>
    <col min="5" max="5" width="5.109375" customWidth="1"/>
    <col min="6" max="6" width="67" customWidth="1"/>
    <col min="7" max="7" width="26.88671875" customWidth="1"/>
    <col min="8" max="8" width="12.6640625" customWidth="1"/>
    <col min="12" max="12" width="14.21875" bestFit="1" customWidth="1"/>
  </cols>
  <sheetData>
    <row r="1" spans="1:13" ht="4.2" customHeight="1" x14ac:dyDescent="0.3"/>
    <row r="2" spans="1:13" ht="18" customHeight="1" x14ac:dyDescent="0.3">
      <c r="C2" s="44"/>
      <c r="D2" s="44"/>
      <c r="E2" s="44"/>
    </row>
    <row r="3" spans="1:13" ht="18" customHeight="1" x14ac:dyDescent="0.3">
      <c r="B3" s="44"/>
      <c r="C3" s="44"/>
      <c r="D3" s="44"/>
      <c r="E3" s="44"/>
    </row>
    <row r="4" spans="1:13" ht="18" customHeight="1" x14ac:dyDescent="0.3">
      <c r="B4" s="44"/>
      <c r="C4" s="44"/>
      <c r="D4" s="44"/>
      <c r="E4" s="44"/>
    </row>
    <row r="7" spans="1:13" ht="18" customHeight="1" x14ac:dyDescent="0.3">
      <c r="B7" s="22" t="s">
        <v>534</v>
      </c>
      <c r="C7" s="6" t="s">
        <v>224</v>
      </c>
      <c r="D7" s="6" t="s">
        <v>223</v>
      </c>
      <c r="E7" s="6" t="s">
        <v>222</v>
      </c>
      <c r="F7" s="45" t="s">
        <v>0</v>
      </c>
      <c r="G7" s="45" t="s">
        <v>1</v>
      </c>
      <c r="H7" s="45" t="s">
        <v>2</v>
      </c>
      <c r="I7" s="45" t="s">
        <v>235</v>
      </c>
      <c r="J7" s="45" t="s">
        <v>221</v>
      </c>
      <c r="K7" s="45" t="s">
        <v>3</v>
      </c>
      <c r="L7" s="45" t="s">
        <v>333</v>
      </c>
      <c r="M7" s="22" t="s">
        <v>4</v>
      </c>
    </row>
    <row r="8" spans="1:13" ht="18" customHeight="1" x14ac:dyDescent="0.3">
      <c r="A8" t="str">
        <f>IF(F8&lt;&gt;"",ROW()-7,"")</f>
        <v/>
      </c>
      <c r="C8" s="48">
        <f>IF(Tableau111517[[#This Row],[STOCK REEL]]&lt;=0,1,"")</f>
        <v>1</v>
      </c>
      <c r="D8" s="48">
        <f>IF(Tableau111517[[#This Row],[STOCK REEL]]&lt;=Tableau111517[[#This Row],[MINI]],1,"")</f>
        <v>1</v>
      </c>
      <c r="E8" s="49">
        <f>IF(Tableau111517[[#This Row],[STOCK REEL]]&gt;=Tableau111517[[#This Row],[MINI]],1,"")</f>
        <v>1</v>
      </c>
      <c r="F8" s="50"/>
      <c r="G8" s="50"/>
      <c r="H8" s="309">
        <f>SUMIFS(Tableau4[QUANTITE],Tableau4[REFERENCE],Tableau111517[[#This Row],[REFERENCE]],Tableau4[ENTREE],"Entrée")-SUMIFS(Tableau4[QUANTITE],Tableau4[REFERENCE],Tableau111517[[#This Row],[REFERENCE]],Tableau4[ENTREE],"Sortie")+SUMIFS(Tableau5[QUANTITE],Tableau5[REFERENCE],Tableau111517[[#This Row],[REFERENCE]],Tableau5[ENTREE],"RETOUR")-SUMIFS(Tableau5[QUANTITE],Tableau5[REFERENCE],Tableau111517[[#This Row],[REFERENCE]],Tableau5[ENTREE],"SORTIE")</f>
        <v>0</v>
      </c>
      <c r="I8" s="51"/>
      <c r="J8" s="51"/>
      <c r="K8" s="57"/>
      <c r="L8" s="51"/>
      <c r="M8" s="58">
        <f>IFERROR(H8*K8,"")</f>
        <v>0</v>
      </c>
    </row>
    <row r="9" spans="1:13" ht="18" customHeight="1" x14ac:dyDescent="0.3">
      <c r="C9" s="108">
        <f>IF(Tableau111517[[#This Row],[STOCK REEL]]&lt;=0,1,"")</f>
        <v>1</v>
      </c>
      <c r="D9" s="108">
        <f>IF(Tableau111517[[#This Row],[STOCK REEL]]&lt;=Tableau111517[[#This Row],[MINI]],1,"")</f>
        <v>1</v>
      </c>
      <c r="E9" s="109" t="str">
        <f>IF(Tableau111517[[#This Row],[STOCK REEL]]&gt;=Tableau111517[[#This Row],[MINI]],1,"")</f>
        <v/>
      </c>
      <c r="F9" s="50" t="s">
        <v>573</v>
      </c>
      <c r="G9" s="50" t="s">
        <v>574</v>
      </c>
      <c r="H9" s="309">
        <f>SUMIFS(Tableau4[QUANTITE],Tableau4[REFERENCE],Tableau111517[[#This Row],[REFERENCE]],Tableau4[ENTREE],"Entrée")-SUMIFS(Tableau4[QUANTITE],Tableau4[REFERENCE],Tableau111517[[#This Row],[REFERENCE]],Tableau4[ENTREE],"Sortie")+SUMIFS(Tableau5[QUANTITE],Tableau5[REFERENCE],Tableau111517[[#This Row],[REFERENCE]],Tableau5[ENTREE],"RETOUR")-SUMIFS(Tableau5[QUANTITE],Tableau5[REFERENCE],Tableau111517[[#This Row],[REFERENCE]],Tableau5[ENTREE],"SORTIE")</f>
        <v>0</v>
      </c>
      <c r="I9" s="51" t="s">
        <v>562</v>
      </c>
      <c r="J9" s="51" t="s">
        <v>562</v>
      </c>
      <c r="K9" s="57" t="s">
        <v>562</v>
      </c>
      <c r="L9" s="51"/>
      <c r="M9" s="58" t="str">
        <f>IFERROR(H9*K9,"")</f>
        <v/>
      </c>
    </row>
    <row r="10" spans="1:13" ht="18" customHeight="1" x14ac:dyDescent="0.3">
      <c r="C10" s="48"/>
      <c r="D10" s="48"/>
      <c r="E10" s="49"/>
      <c r="F10" s="50"/>
      <c r="G10" s="50"/>
      <c r="H10" s="51"/>
      <c r="I10" s="51"/>
      <c r="J10" s="51"/>
      <c r="K10" s="52"/>
      <c r="L10" s="52"/>
    </row>
    <row r="11" spans="1:13" ht="18" customHeight="1" x14ac:dyDescent="0.3">
      <c r="C11" s="48"/>
      <c r="D11" s="48"/>
      <c r="E11" s="49"/>
      <c r="F11" s="50"/>
      <c r="G11" s="50"/>
      <c r="H11" s="51"/>
      <c r="I11" s="51"/>
      <c r="J11" s="51"/>
      <c r="K11" s="52"/>
      <c r="L11" s="52"/>
    </row>
    <row r="12" spans="1:13" ht="18" customHeight="1" x14ac:dyDescent="0.3">
      <c r="C12" s="48"/>
      <c r="D12" s="48"/>
      <c r="E12" s="49"/>
      <c r="F12" s="50"/>
      <c r="G12" s="50"/>
      <c r="H12" s="51"/>
      <c r="I12" s="51"/>
      <c r="J12" s="51"/>
      <c r="K12" s="52"/>
      <c r="L12" s="52"/>
    </row>
    <row r="13" spans="1:13" ht="18" customHeight="1" x14ac:dyDescent="0.3">
      <c r="C13" s="48">
        <v>1</v>
      </c>
      <c r="D13" s="48">
        <v>1</v>
      </c>
      <c r="E13" s="49">
        <v>1</v>
      </c>
      <c r="F13" s="16"/>
      <c r="G13" s="16"/>
    </row>
    <row r="14" spans="1:13" ht="18" customHeight="1" x14ac:dyDescent="0.3">
      <c r="C14" s="48">
        <v>1</v>
      </c>
      <c r="D14" s="48">
        <v>1</v>
      </c>
      <c r="E14" s="49">
        <v>1</v>
      </c>
      <c r="F14" s="16"/>
      <c r="G14" s="16"/>
    </row>
    <row r="15" spans="1:13" ht="18" customHeight="1" x14ac:dyDescent="0.3">
      <c r="C15" s="48">
        <v>1</v>
      </c>
      <c r="D15" s="48">
        <v>1</v>
      </c>
      <c r="E15" s="49">
        <v>1</v>
      </c>
      <c r="F15" s="16"/>
      <c r="G15" s="16"/>
    </row>
    <row r="16" spans="1:13" ht="18" customHeight="1" x14ac:dyDescent="0.3">
      <c r="C16" s="48">
        <v>1</v>
      </c>
      <c r="D16" s="48">
        <v>1</v>
      </c>
      <c r="E16" s="49">
        <v>1</v>
      </c>
      <c r="F16" s="16"/>
      <c r="G16" s="16"/>
    </row>
    <row r="17" spans="3:7" ht="18" customHeight="1" x14ac:dyDescent="0.3">
      <c r="C17" s="48">
        <v>1</v>
      </c>
      <c r="D17" s="48">
        <v>1</v>
      </c>
      <c r="E17" s="49">
        <v>1</v>
      </c>
      <c r="F17" s="16"/>
      <c r="G17" s="16"/>
    </row>
    <row r="18" spans="3:7" ht="18" customHeight="1" x14ac:dyDescent="0.3">
      <c r="C18" s="48">
        <v>1</v>
      </c>
      <c r="D18" s="48">
        <v>1</v>
      </c>
      <c r="E18" s="49">
        <v>1</v>
      </c>
      <c r="F18" s="16"/>
      <c r="G18" s="16"/>
    </row>
    <row r="19" spans="3:7" ht="18" customHeight="1" x14ac:dyDescent="0.3">
      <c r="C19" s="48">
        <v>1</v>
      </c>
      <c r="D19" s="48">
        <v>1</v>
      </c>
      <c r="E19" s="49">
        <v>1</v>
      </c>
      <c r="F19" s="16"/>
      <c r="G19" s="16"/>
    </row>
    <row r="20" spans="3:7" ht="18" customHeight="1" x14ac:dyDescent="0.3">
      <c r="C20" s="48">
        <v>1</v>
      </c>
      <c r="D20" s="48">
        <v>1</v>
      </c>
      <c r="E20" s="49">
        <v>1</v>
      </c>
      <c r="F20" s="16"/>
      <c r="G20" s="16"/>
    </row>
    <row r="21" spans="3:7" ht="18" customHeight="1" x14ac:dyDescent="0.3">
      <c r="C21" s="48">
        <v>1</v>
      </c>
      <c r="D21" s="48">
        <v>1</v>
      </c>
      <c r="E21" s="49">
        <v>1</v>
      </c>
      <c r="F21" s="16"/>
      <c r="G21" s="16"/>
    </row>
    <row r="22" spans="3:7" ht="18" customHeight="1" x14ac:dyDescent="0.3">
      <c r="C22" s="48">
        <v>1</v>
      </c>
      <c r="D22" s="48">
        <v>1</v>
      </c>
      <c r="E22" s="49">
        <v>1</v>
      </c>
      <c r="F22" s="16"/>
      <c r="G22" s="16"/>
    </row>
    <row r="23" spans="3:7" ht="18" customHeight="1" x14ac:dyDescent="0.3">
      <c r="C23" s="48">
        <v>1</v>
      </c>
      <c r="D23" s="48">
        <v>1</v>
      </c>
      <c r="E23" s="49">
        <v>1</v>
      </c>
      <c r="F23" s="16"/>
      <c r="G23" s="16"/>
    </row>
    <row r="24" spans="3:7" ht="18" customHeight="1" x14ac:dyDescent="0.3">
      <c r="C24" s="48">
        <v>1</v>
      </c>
      <c r="D24" s="48">
        <v>1</v>
      </c>
      <c r="E24" s="49">
        <v>1</v>
      </c>
      <c r="F24" s="16"/>
      <c r="G24" s="16"/>
    </row>
    <row r="25" spans="3:7" ht="18" customHeight="1" x14ac:dyDescent="0.3">
      <c r="C25" s="48">
        <v>1</v>
      </c>
      <c r="D25" s="48">
        <v>1</v>
      </c>
      <c r="E25" s="49">
        <v>1</v>
      </c>
      <c r="F25" s="16"/>
      <c r="G25" s="16"/>
    </row>
    <row r="26" spans="3:7" ht="18" customHeight="1" x14ac:dyDescent="0.3">
      <c r="C26" s="48">
        <v>1</v>
      </c>
      <c r="D26" s="48">
        <v>1</v>
      </c>
      <c r="E26" s="49">
        <v>1</v>
      </c>
      <c r="F26" s="16"/>
      <c r="G26" s="16"/>
    </row>
    <row r="27" spans="3:7" ht="18" customHeight="1" x14ac:dyDescent="0.3">
      <c r="C27" s="48">
        <v>1</v>
      </c>
      <c r="D27" s="48">
        <v>1</v>
      </c>
      <c r="E27" s="49">
        <v>1</v>
      </c>
      <c r="F27" s="16"/>
      <c r="G27" s="16"/>
    </row>
    <row r="28" spans="3:7" ht="18" customHeight="1" x14ac:dyDescent="0.3">
      <c r="C28" s="48">
        <v>1</v>
      </c>
      <c r="D28" s="48">
        <v>1</v>
      </c>
      <c r="E28" s="49">
        <v>1</v>
      </c>
      <c r="F28" s="16"/>
      <c r="G28" s="16"/>
    </row>
    <row r="29" spans="3:7" ht="18" customHeight="1" x14ac:dyDescent="0.3">
      <c r="C29" s="48">
        <v>1</v>
      </c>
      <c r="D29" s="48">
        <v>1</v>
      </c>
      <c r="E29" s="49">
        <v>1</v>
      </c>
      <c r="F29" s="16"/>
      <c r="G29" s="16"/>
    </row>
    <row r="30" spans="3:7" ht="18" customHeight="1" x14ac:dyDescent="0.3">
      <c r="C30" s="48">
        <v>1</v>
      </c>
      <c r="D30" s="48">
        <v>1</v>
      </c>
      <c r="E30" s="49">
        <v>1</v>
      </c>
      <c r="F30" s="16"/>
      <c r="G30" s="16"/>
    </row>
    <row r="31" spans="3:7" ht="18" customHeight="1" x14ac:dyDescent="0.3">
      <c r="C31" s="48">
        <v>1</v>
      </c>
      <c r="D31" s="48">
        <v>1</v>
      </c>
      <c r="E31" s="49">
        <v>1</v>
      </c>
      <c r="F31" s="16"/>
      <c r="G31" s="16"/>
    </row>
    <row r="32" spans="3:7" ht="18" customHeight="1" x14ac:dyDescent="0.3">
      <c r="C32" s="48">
        <v>1</v>
      </c>
      <c r="D32" s="48">
        <v>1</v>
      </c>
      <c r="E32" s="49">
        <v>1</v>
      </c>
      <c r="F32" s="16"/>
      <c r="G32" s="16"/>
    </row>
    <row r="33" spans="3:7" ht="18" customHeight="1" x14ac:dyDescent="0.3">
      <c r="C33" s="48">
        <v>1</v>
      </c>
      <c r="D33" s="48">
        <v>1</v>
      </c>
      <c r="E33" s="49">
        <v>1</v>
      </c>
      <c r="F33" s="16"/>
      <c r="G33" s="16"/>
    </row>
    <row r="34" spans="3:7" ht="18" customHeight="1" x14ac:dyDescent="0.3">
      <c r="C34" s="48">
        <v>1</v>
      </c>
      <c r="D34" s="48">
        <v>1</v>
      </c>
      <c r="E34" s="49">
        <v>1</v>
      </c>
      <c r="F34" s="16"/>
      <c r="G34" s="16"/>
    </row>
    <row r="35" spans="3:7" ht="18" customHeight="1" x14ac:dyDescent="0.3">
      <c r="C35" s="48">
        <v>1</v>
      </c>
      <c r="D35" s="48">
        <v>1</v>
      </c>
      <c r="E35" s="49">
        <v>1</v>
      </c>
      <c r="F35" s="16"/>
      <c r="G35" s="16"/>
    </row>
    <row r="36" spans="3:7" ht="18" customHeight="1" x14ac:dyDescent="0.3">
      <c r="C36" s="48">
        <v>1</v>
      </c>
      <c r="D36" s="48">
        <v>1</v>
      </c>
      <c r="E36" s="49">
        <v>1</v>
      </c>
      <c r="F36" s="16"/>
      <c r="G36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8913" r:id="rId3" name="CommandButton1">
          <controlPr defaultSize="0" autoLine="0" autoPict="0" r:id="rId4">
            <anchor moveWithCells="1">
              <from>
                <xdr:col>5</xdr:col>
                <xdr:colOff>228600</xdr:colOff>
                <xdr:row>2</xdr:row>
                <xdr:rowOff>30480</xdr:rowOff>
              </from>
              <to>
                <xdr:col>5</xdr:col>
                <xdr:colOff>2804160</xdr:colOff>
                <xdr:row>4</xdr:row>
                <xdr:rowOff>160020</xdr:rowOff>
              </to>
            </anchor>
          </controlPr>
        </control>
      </mc:Choice>
      <mc:Fallback>
        <control shapeId="38913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2" id="{CE474E2C-8C5A-456B-9EF4-7F3D39DC6144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C8:C9</xm:sqref>
        </x14:conditionalFormatting>
        <x14:conditionalFormatting xmlns:xm="http://schemas.microsoft.com/office/excel/2006/main">
          <x14:cfRule type="iconSet" priority="33" id="{1F2C4920-53F3-450B-B5CD-D411A777EAD8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E8:E9</xm:sqref>
        </x14:conditionalFormatting>
        <x14:conditionalFormatting xmlns:xm="http://schemas.microsoft.com/office/excel/2006/main">
          <x14:cfRule type="iconSet" priority="34" id="{23674DFE-EB7E-413B-A64E-004FE4E256B7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37ABD-2ABF-47B1-880F-72E4D4F7F595}">
  <sheetPr codeName="Feuil15">
    <tabColor theme="9" tint="0.59999389629810485"/>
  </sheetPr>
  <dimension ref="A1:M36"/>
  <sheetViews>
    <sheetView showGridLines="0" showRowColHeaders="0" zoomScale="85" zoomScaleNormal="85" workbookViewId="0">
      <selection activeCell="F28" sqref="F28"/>
    </sheetView>
  </sheetViews>
  <sheetFormatPr baseColWidth="10" defaultRowHeight="18" customHeight="1" x14ac:dyDescent="0.3"/>
  <cols>
    <col min="1" max="1" width="4.5546875" customWidth="1"/>
    <col min="2" max="2" width="16" customWidth="1"/>
    <col min="3" max="3" width="6.109375" customWidth="1"/>
    <col min="4" max="4" width="10.77734375" customWidth="1"/>
    <col min="5" max="5" width="5.109375" customWidth="1"/>
    <col min="6" max="6" width="66.44140625" customWidth="1"/>
    <col min="7" max="7" width="26.88671875" customWidth="1"/>
    <col min="8" max="8" width="12.6640625" customWidth="1"/>
    <col min="12" max="12" width="14.21875" bestFit="1" customWidth="1"/>
  </cols>
  <sheetData>
    <row r="1" spans="1:13" ht="4.2" customHeight="1" x14ac:dyDescent="0.3"/>
    <row r="2" spans="1:13" ht="18" customHeight="1" x14ac:dyDescent="0.3">
      <c r="C2" s="44"/>
      <c r="D2" s="44"/>
      <c r="E2" s="44"/>
    </row>
    <row r="3" spans="1:13" ht="18" customHeight="1" x14ac:dyDescent="0.3">
      <c r="B3" s="44"/>
      <c r="C3" s="44"/>
      <c r="D3" s="44"/>
      <c r="E3" s="44"/>
    </row>
    <row r="4" spans="1:13" ht="18" customHeight="1" x14ac:dyDescent="0.3">
      <c r="B4" s="44"/>
      <c r="C4" s="44"/>
      <c r="D4" s="44"/>
      <c r="E4" s="44"/>
    </row>
    <row r="7" spans="1:13" ht="18" customHeight="1" x14ac:dyDescent="0.3">
      <c r="B7" s="22" t="s">
        <v>534</v>
      </c>
      <c r="C7" s="6" t="s">
        <v>224</v>
      </c>
      <c r="D7" s="6" t="s">
        <v>223</v>
      </c>
      <c r="E7" s="6" t="s">
        <v>222</v>
      </c>
      <c r="F7" s="45" t="s">
        <v>0</v>
      </c>
      <c r="G7" s="45" t="s">
        <v>1</v>
      </c>
      <c r="H7" s="45" t="s">
        <v>2</v>
      </c>
      <c r="I7" s="45" t="s">
        <v>235</v>
      </c>
      <c r="J7" s="45" t="s">
        <v>221</v>
      </c>
      <c r="K7" s="45" t="s">
        <v>3</v>
      </c>
      <c r="L7" s="45" t="s">
        <v>333</v>
      </c>
      <c r="M7" s="22" t="s">
        <v>4</v>
      </c>
    </row>
    <row r="8" spans="1:13" ht="18" customHeight="1" x14ac:dyDescent="0.3">
      <c r="A8" t="str">
        <f>IF(F8&lt;&gt;"",ROW()-7,"")</f>
        <v/>
      </c>
      <c r="C8" s="48">
        <f>IF(Tableau11151719[[#This Row],[STOCK REEL]]&lt;=0,1,"")</f>
        <v>1</v>
      </c>
      <c r="D8" s="48">
        <f>IF(Tableau11151719[[#This Row],[STOCK REEL]]&lt;=Tableau11151719[[#This Row],[MINI]],1,"")</f>
        <v>1</v>
      </c>
      <c r="E8" s="49">
        <f>IF(Tableau11151719[[#This Row],[STOCK REEL]]&gt;=Tableau11151719[[#This Row],[MINI]],1,"")</f>
        <v>1</v>
      </c>
      <c r="F8" s="50"/>
      <c r="G8" s="50"/>
      <c r="H8" s="309">
        <f>SUMIFS(Tableau4[QUANTITE],Tableau4[REFERENCE],Tableau11151719[[#This Row],[REFERENCE]],Tableau4[ENTREE],"Entrée")-SUMIFS(Tableau4[QUANTITE],Tableau4[REFERENCE],Tableau11151719[[#This Row],[REFERENCE]],Tableau4[ENTREE],"Sortie")+SUMIFS(Tableau5[QUANTITE],Tableau5[REFERENCE],Tableau11151719[[#This Row],[REFERENCE]],Tableau5[ENTREE],"RETOUR")-SUMIFS(Tableau5[QUANTITE],Tableau5[REFERENCE],Tableau11151719[[#This Row],[REFERENCE]],Tableau5[ENTREE],"SORTIE")</f>
        <v>0</v>
      </c>
      <c r="I8" s="51"/>
      <c r="J8" s="51"/>
      <c r="K8" s="57"/>
      <c r="L8" s="51"/>
      <c r="M8" s="58">
        <f>IFERROR(H8*K8,"")</f>
        <v>0</v>
      </c>
    </row>
    <row r="9" spans="1:13" ht="18" customHeight="1" x14ac:dyDescent="0.3">
      <c r="C9" s="108">
        <f>IF(Tableau11151719[[#This Row],[STOCK REEL]]&lt;=0,1,"")</f>
        <v>1</v>
      </c>
      <c r="D9" s="108">
        <f>IF(Tableau11151719[[#This Row],[STOCK REEL]]&lt;=Tableau11151719[[#This Row],[MINI]],1,"")</f>
        <v>1</v>
      </c>
      <c r="E9" s="109" t="str">
        <f>IF(Tableau11151719[[#This Row],[STOCK REEL]]&gt;=Tableau11151719[[#This Row],[MINI]],1,"")</f>
        <v/>
      </c>
      <c r="F9" s="50" t="s">
        <v>575</v>
      </c>
      <c r="G9" s="50" t="s">
        <v>576</v>
      </c>
      <c r="H9" s="309">
        <f>SUMIFS(Tableau4[QUANTITE],Tableau4[REFERENCE],Tableau11151719[[#This Row],[REFERENCE]],Tableau4[ENTREE],"Entrée")-SUMIFS(Tableau4[QUANTITE],Tableau4[REFERENCE],Tableau11151719[[#This Row],[REFERENCE]],Tableau4[ENTREE],"Sortie")+SUMIFS(Tableau5[QUANTITE],Tableau5[REFERENCE],Tableau11151719[[#This Row],[REFERENCE]],Tableau5[ENTREE],"RETOUR")-SUMIFS(Tableau5[QUANTITE],Tableau5[REFERENCE],Tableau11151719[[#This Row],[REFERENCE]],Tableau5[ENTREE],"SORTIE")</f>
        <v>0</v>
      </c>
      <c r="I9" s="51" t="s">
        <v>562</v>
      </c>
      <c r="J9" s="51" t="s">
        <v>562</v>
      </c>
      <c r="K9" s="57" t="s">
        <v>562</v>
      </c>
      <c r="L9" s="51"/>
      <c r="M9" s="58" t="str">
        <f>IFERROR(H9*K9,"")</f>
        <v/>
      </c>
    </row>
    <row r="10" spans="1:13" ht="18" customHeight="1" x14ac:dyDescent="0.3">
      <c r="C10" s="48"/>
      <c r="D10" s="48"/>
      <c r="E10" s="49"/>
      <c r="F10" s="50"/>
      <c r="G10" s="50"/>
      <c r="H10" s="51"/>
      <c r="I10" s="51"/>
      <c r="J10" s="51"/>
      <c r="K10" s="52"/>
      <c r="L10" s="52"/>
    </row>
    <row r="11" spans="1:13" ht="18" customHeight="1" x14ac:dyDescent="0.3">
      <c r="C11" s="48"/>
      <c r="D11" s="48"/>
      <c r="E11" s="49"/>
      <c r="F11" s="50"/>
      <c r="G11" s="50"/>
      <c r="H11" s="51"/>
      <c r="I11" s="51"/>
      <c r="J11" s="51"/>
      <c r="K11" s="52"/>
      <c r="L11" s="52"/>
    </row>
    <row r="12" spans="1:13" ht="18" customHeight="1" x14ac:dyDescent="0.3">
      <c r="C12" s="48"/>
      <c r="D12" s="48"/>
      <c r="E12" s="49"/>
      <c r="F12" s="50"/>
      <c r="G12" s="50"/>
      <c r="H12" s="51"/>
      <c r="I12" s="51"/>
      <c r="J12" s="51"/>
      <c r="K12" s="52"/>
      <c r="L12" s="52"/>
    </row>
    <row r="13" spans="1:13" ht="18" customHeight="1" x14ac:dyDescent="0.3">
      <c r="C13" s="48">
        <v>1</v>
      </c>
      <c r="D13" s="48">
        <v>1</v>
      </c>
      <c r="E13" s="49">
        <v>1</v>
      </c>
      <c r="F13" s="16"/>
      <c r="G13" s="16"/>
    </row>
    <row r="14" spans="1:13" ht="18" customHeight="1" x14ac:dyDescent="0.3">
      <c r="C14" s="48">
        <v>1</v>
      </c>
      <c r="D14" s="48">
        <v>1</v>
      </c>
      <c r="E14" s="49">
        <v>1</v>
      </c>
      <c r="F14" s="16"/>
      <c r="G14" s="16"/>
    </row>
    <row r="15" spans="1:13" ht="18" customHeight="1" x14ac:dyDescent="0.3">
      <c r="C15" s="48">
        <v>1</v>
      </c>
      <c r="D15" s="48">
        <v>1</v>
      </c>
      <c r="E15" s="49">
        <v>1</v>
      </c>
      <c r="F15" s="16"/>
      <c r="G15" s="16"/>
    </row>
    <row r="16" spans="1:13" ht="18" customHeight="1" x14ac:dyDescent="0.3">
      <c r="C16" s="48">
        <v>1</v>
      </c>
      <c r="D16" s="48">
        <v>1</v>
      </c>
      <c r="E16" s="49">
        <v>1</v>
      </c>
      <c r="F16" s="16"/>
      <c r="G16" s="16"/>
    </row>
    <row r="17" spans="3:7" ht="18" customHeight="1" x14ac:dyDescent="0.3">
      <c r="C17" s="48">
        <v>1</v>
      </c>
      <c r="D17" s="48">
        <v>1</v>
      </c>
      <c r="E17" s="49">
        <v>1</v>
      </c>
      <c r="F17" s="16"/>
      <c r="G17" s="16"/>
    </row>
    <row r="18" spans="3:7" ht="18" customHeight="1" x14ac:dyDescent="0.3">
      <c r="C18" s="48">
        <v>1</v>
      </c>
      <c r="D18" s="48">
        <v>1</v>
      </c>
      <c r="E18" s="49">
        <v>1</v>
      </c>
      <c r="F18" s="16"/>
      <c r="G18" s="16"/>
    </row>
    <row r="19" spans="3:7" ht="18" customHeight="1" x14ac:dyDescent="0.3">
      <c r="C19" s="48">
        <v>1</v>
      </c>
      <c r="D19" s="48">
        <v>1</v>
      </c>
      <c r="E19" s="49">
        <v>1</v>
      </c>
      <c r="F19" s="16"/>
      <c r="G19" s="16"/>
    </row>
    <row r="20" spans="3:7" ht="18" customHeight="1" x14ac:dyDescent="0.3">
      <c r="C20" s="48">
        <v>1</v>
      </c>
      <c r="D20" s="48">
        <v>1</v>
      </c>
      <c r="E20" s="49">
        <v>1</v>
      </c>
      <c r="F20" s="16"/>
      <c r="G20" s="16"/>
    </row>
    <row r="21" spans="3:7" ht="18" customHeight="1" x14ac:dyDescent="0.3">
      <c r="C21" s="48">
        <v>1</v>
      </c>
      <c r="D21" s="48">
        <v>1</v>
      </c>
      <c r="E21" s="49">
        <v>1</v>
      </c>
      <c r="F21" s="16"/>
      <c r="G21" s="16"/>
    </row>
    <row r="22" spans="3:7" ht="18" customHeight="1" x14ac:dyDescent="0.3">
      <c r="C22" s="48">
        <v>1</v>
      </c>
      <c r="D22" s="48">
        <v>1</v>
      </c>
      <c r="E22" s="49">
        <v>1</v>
      </c>
      <c r="F22" s="16"/>
      <c r="G22" s="16"/>
    </row>
    <row r="23" spans="3:7" ht="18" customHeight="1" x14ac:dyDescent="0.3">
      <c r="C23" s="48">
        <v>1</v>
      </c>
      <c r="D23" s="48">
        <v>1</v>
      </c>
      <c r="E23" s="49">
        <v>1</v>
      </c>
      <c r="F23" s="16"/>
      <c r="G23" s="16"/>
    </row>
    <row r="24" spans="3:7" ht="18" customHeight="1" x14ac:dyDescent="0.3">
      <c r="C24" s="48">
        <v>1</v>
      </c>
      <c r="D24" s="48">
        <v>1</v>
      </c>
      <c r="E24" s="49">
        <v>1</v>
      </c>
      <c r="F24" s="16"/>
      <c r="G24" s="16"/>
    </row>
    <row r="25" spans="3:7" ht="18" customHeight="1" x14ac:dyDescent="0.3">
      <c r="C25" s="48">
        <v>1</v>
      </c>
      <c r="D25" s="48">
        <v>1</v>
      </c>
      <c r="E25" s="49">
        <v>1</v>
      </c>
      <c r="F25" s="16"/>
      <c r="G25" s="16"/>
    </row>
    <row r="26" spans="3:7" ht="18" customHeight="1" x14ac:dyDescent="0.3">
      <c r="C26" s="48">
        <v>1</v>
      </c>
      <c r="D26" s="48">
        <v>1</v>
      </c>
      <c r="E26" s="49">
        <v>1</v>
      </c>
      <c r="F26" s="16"/>
      <c r="G26" s="16"/>
    </row>
    <row r="27" spans="3:7" ht="18" customHeight="1" x14ac:dyDescent="0.3">
      <c r="C27" s="48">
        <v>1</v>
      </c>
      <c r="D27" s="48">
        <v>1</v>
      </c>
      <c r="E27" s="49">
        <v>1</v>
      </c>
      <c r="F27" s="16"/>
      <c r="G27" s="16"/>
    </row>
    <row r="28" spans="3:7" ht="18" customHeight="1" x14ac:dyDescent="0.3">
      <c r="C28" s="48">
        <v>1</v>
      </c>
      <c r="D28" s="48">
        <v>1</v>
      </c>
      <c r="E28" s="49">
        <v>1</v>
      </c>
      <c r="F28" s="16"/>
      <c r="G28" s="16"/>
    </row>
    <row r="29" spans="3:7" ht="18" customHeight="1" x14ac:dyDescent="0.3">
      <c r="C29" s="48">
        <v>1</v>
      </c>
      <c r="D29" s="48">
        <v>1</v>
      </c>
      <c r="E29" s="49">
        <v>1</v>
      </c>
      <c r="F29" s="16"/>
      <c r="G29" s="16"/>
    </row>
    <row r="30" spans="3:7" ht="18" customHeight="1" x14ac:dyDescent="0.3">
      <c r="C30" s="48">
        <v>1</v>
      </c>
      <c r="D30" s="48">
        <v>1</v>
      </c>
      <c r="E30" s="49">
        <v>1</v>
      </c>
      <c r="F30" s="16"/>
      <c r="G30" s="16"/>
    </row>
    <row r="31" spans="3:7" ht="18" customHeight="1" x14ac:dyDescent="0.3">
      <c r="C31" s="48">
        <v>1</v>
      </c>
      <c r="D31" s="48">
        <v>1</v>
      </c>
      <c r="E31" s="49">
        <v>1</v>
      </c>
      <c r="F31" s="16"/>
      <c r="G31" s="16"/>
    </row>
    <row r="32" spans="3:7" ht="18" customHeight="1" x14ac:dyDescent="0.3">
      <c r="C32" s="48">
        <v>1</v>
      </c>
      <c r="D32" s="48">
        <v>1</v>
      </c>
      <c r="E32" s="49">
        <v>1</v>
      </c>
      <c r="F32" s="16"/>
      <c r="G32" s="16"/>
    </row>
    <row r="33" spans="3:7" ht="18" customHeight="1" x14ac:dyDescent="0.3">
      <c r="C33" s="48">
        <v>1</v>
      </c>
      <c r="D33" s="48">
        <v>1</v>
      </c>
      <c r="E33" s="49">
        <v>1</v>
      </c>
      <c r="F33" s="16"/>
      <c r="G33" s="16"/>
    </row>
    <row r="34" spans="3:7" ht="18" customHeight="1" x14ac:dyDescent="0.3">
      <c r="C34" s="48">
        <v>1</v>
      </c>
      <c r="D34" s="48">
        <v>1</v>
      </c>
      <c r="E34" s="49">
        <v>1</v>
      </c>
      <c r="F34" s="16"/>
      <c r="G34" s="16"/>
    </row>
    <row r="35" spans="3:7" ht="18" customHeight="1" x14ac:dyDescent="0.3">
      <c r="C35" s="48">
        <v>1</v>
      </c>
      <c r="D35" s="48">
        <v>1</v>
      </c>
      <c r="E35" s="49">
        <v>1</v>
      </c>
      <c r="F35" s="16"/>
      <c r="G35" s="16"/>
    </row>
    <row r="36" spans="3:7" ht="18" customHeight="1" x14ac:dyDescent="0.3">
      <c r="C36" s="48">
        <v>1</v>
      </c>
      <c r="D36" s="48">
        <v>1</v>
      </c>
      <c r="E36" s="49">
        <v>1</v>
      </c>
      <c r="F36" s="16"/>
      <c r="G36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9937" r:id="rId3" name="CommandButton1">
          <controlPr defaultSize="0" autoLine="0" r:id="rId4">
            <anchor moveWithCells="1">
              <from>
                <xdr:col>5</xdr:col>
                <xdr:colOff>800100</xdr:colOff>
                <xdr:row>2</xdr:row>
                <xdr:rowOff>30480</xdr:rowOff>
              </from>
              <to>
                <xdr:col>5</xdr:col>
                <xdr:colOff>3253740</xdr:colOff>
                <xdr:row>4</xdr:row>
                <xdr:rowOff>91440</xdr:rowOff>
              </to>
            </anchor>
          </controlPr>
        </control>
      </mc:Choice>
      <mc:Fallback>
        <control shapeId="39937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0C71003-497A-48BB-9FE9-C904F5BE2840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C8:C9</xm:sqref>
        </x14:conditionalFormatting>
        <x14:conditionalFormatting xmlns:xm="http://schemas.microsoft.com/office/excel/2006/main">
          <x14:cfRule type="iconSet" priority="3" id="{3BD0F82A-A290-4CAA-AC1A-C531C682ECF6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E8:E9</xm:sqref>
        </x14:conditionalFormatting>
        <x14:conditionalFormatting xmlns:xm="http://schemas.microsoft.com/office/excel/2006/main">
          <x14:cfRule type="iconSet" priority="2" id="{D0F28531-4BBD-44B0-B88B-DF254EE577BE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EAEFB-7CDC-4275-99DE-39FE126ED420}">
  <sheetPr codeName="Feuil1">
    <tabColor theme="9" tint="0.59999389629810485"/>
  </sheetPr>
  <dimension ref="A7:M8"/>
  <sheetViews>
    <sheetView showGridLines="0" showRowColHeaders="0" zoomScale="85" zoomScaleNormal="85" workbookViewId="0">
      <selection activeCell="H8" sqref="H8"/>
    </sheetView>
  </sheetViews>
  <sheetFormatPr baseColWidth="10" defaultRowHeight="14.4" x14ac:dyDescent="0.3"/>
  <cols>
    <col min="1" max="1" width="4.21875" customWidth="1"/>
    <col min="2" max="2" width="16" customWidth="1"/>
    <col min="3" max="3" width="6.109375" customWidth="1"/>
    <col min="4" max="4" width="10.77734375" customWidth="1"/>
    <col min="5" max="5" width="5.109375" customWidth="1"/>
    <col min="6" max="6" width="61.21875" customWidth="1"/>
    <col min="7" max="7" width="26.88671875" customWidth="1"/>
    <col min="8" max="8" width="12.6640625" customWidth="1"/>
    <col min="12" max="12" width="14.21875" bestFit="1" customWidth="1"/>
  </cols>
  <sheetData>
    <row r="7" spans="1:13" x14ac:dyDescent="0.3">
      <c r="B7" s="23" t="s">
        <v>534</v>
      </c>
      <c r="C7" s="6" t="s">
        <v>224</v>
      </c>
      <c r="D7" s="6" t="s">
        <v>223</v>
      </c>
      <c r="E7" s="6" t="s">
        <v>222</v>
      </c>
      <c r="F7" s="45" t="s">
        <v>0</v>
      </c>
      <c r="G7" s="45" t="s">
        <v>1</v>
      </c>
      <c r="H7" s="45" t="s">
        <v>2</v>
      </c>
      <c r="I7" s="45" t="s">
        <v>235</v>
      </c>
      <c r="J7" s="45" t="s">
        <v>221</v>
      </c>
      <c r="K7" s="45" t="s">
        <v>3</v>
      </c>
      <c r="L7" s="45" t="s">
        <v>333</v>
      </c>
      <c r="M7" s="23" t="s">
        <v>4</v>
      </c>
    </row>
    <row r="8" spans="1:13" x14ac:dyDescent="0.3">
      <c r="A8" t="str">
        <f>IF(F8&lt;&gt;"",ROW()-7,"")</f>
        <v/>
      </c>
      <c r="C8" s="48">
        <f>IF(Tableau111517194[[#This Row],[STOCK REEL]]&lt;=0,1,"")</f>
        <v>1</v>
      </c>
      <c r="D8" s="48">
        <f>IF(Tableau111517194[[#This Row],[STOCK REEL]]&lt;=Tableau111517194[[#This Row],[MINI]],1,"")</f>
        <v>1</v>
      </c>
      <c r="E8" s="49">
        <f>IF(Tableau111517194[[#This Row],[STOCK REEL]]&gt;=Tableau111517194[[#This Row],[MINI]],1,"")</f>
        <v>1</v>
      </c>
      <c r="F8" s="50"/>
      <c r="G8" s="50"/>
      <c r="H8" s="309">
        <f>SUMIFS(Tableau4[QUANTITE],Tableau4[REFERENCE],Tableau111517194[[#This Row],[REFERENCE]],Tableau4[ENTREE],"Entrée")-SUMIFS(Tableau4[QUANTITE],Tableau4[REFERENCE],Tableau111517194[[#This Row],[REFERENCE]],Tableau4[ENTREE],"Sortie")+SUMIFS(Tableau5[QUANTITE],Tableau5[REFERENCE],Tableau111517194[[#This Row],[REFERENCE]],Tableau5[ENTREE],"RETOUR")-SUMIFS(Tableau5[QUANTITE],Tableau5[REFERENCE],Tableau111517194[[#This Row],[REFERENCE]],Tableau5[ENTREE],"SORTIE")</f>
        <v>0</v>
      </c>
      <c r="I8" s="51"/>
      <c r="J8" s="51"/>
      <c r="K8" s="51"/>
      <c r="L8" s="51"/>
    </row>
  </sheetData>
  <phoneticPr fontId="3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8130" r:id="rId3" name="CommandButton1">
          <controlPr defaultSize="0" autoLine="0" r:id="rId4">
            <anchor moveWithCells="1">
              <from>
                <xdr:col>6</xdr:col>
                <xdr:colOff>754380</xdr:colOff>
                <xdr:row>1</xdr:row>
                <xdr:rowOff>129540</xdr:rowOff>
              </from>
              <to>
                <xdr:col>8</xdr:col>
                <xdr:colOff>495300</xdr:colOff>
                <xdr:row>4</xdr:row>
                <xdr:rowOff>99060</xdr:rowOff>
              </to>
            </anchor>
          </controlPr>
        </control>
      </mc:Choice>
      <mc:Fallback>
        <control shapeId="48130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3" id="{B437F184-98BC-4E45-B280-1CBAA5A68E77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</xm:sqref>
        </x14:conditionalFormatting>
        <x14:conditionalFormatting xmlns:xm="http://schemas.microsoft.com/office/excel/2006/main">
          <x14:cfRule type="iconSet" priority="24" id="{E32712C9-913B-4C48-AE4B-1C5240CC1B90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</xm:sqref>
        </x14:conditionalFormatting>
        <x14:conditionalFormatting xmlns:xm="http://schemas.microsoft.com/office/excel/2006/main">
          <x14:cfRule type="iconSet" priority="25" id="{BADDCC56-AEDC-4ADA-B16A-832F7C5A3479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523F0-D694-401A-9427-4E37F4E77A7C}">
  <sheetPr codeName="Feuil2">
    <tabColor theme="9" tint="0.59999389629810485"/>
  </sheetPr>
  <dimension ref="A7:T15"/>
  <sheetViews>
    <sheetView showGridLines="0" showRowColHeaders="0" zoomScale="85" zoomScaleNormal="85" workbookViewId="0">
      <selection activeCell="H8" sqref="H8"/>
    </sheetView>
  </sheetViews>
  <sheetFormatPr baseColWidth="10" defaultRowHeight="14.4" x14ac:dyDescent="0.3"/>
  <cols>
    <col min="1" max="1" width="4.6640625" customWidth="1"/>
    <col min="2" max="2" width="12.33203125" customWidth="1"/>
    <col min="3" max="3" width="6.109375" customWidth="1"/>
    <col min="4" max="4" width="10.77734375" customWidth="1"/>
    <col min="5" max="5" width="5.33203125" customWidth="1"/>
    <col min="6" max="6" width="55.88671875" customWidth="1"/>
    <col min="7" max="7" width="26.88671875" customWidth="1"/>
    <col min="8" max="8" width="12.6640625" customWidth="1"/>
    <col min="12" max="12" width="14.21875" bestFit="1" customWidth="1"/>
  </cols>
  <sheetData>
    <row r="7" spans="1:20" x14ac:dyDescent="0.3">
      <c r="B7" s="23" t="s">
        <v>534</v>
      </c>
      <c r="C7" s="6" t="s">
        <v>224</v>
      </c>
      <c r="D7" s="6" t="s">
        <v>223</v>
      </c>
      <c r="E7" s="6" t="s">
        <v>222</v>
      </c>
      <c r="F7" s="45" t="s">
        <v>0</v>
      </c>
      <c r="G7" s="45" t="s">
        <v>1</v>
      </c>
      <c r="H7" s="45" t="s">
        <v>2</v>
      </c>
      <c r="I7" s="45" t="s">
        <v>235</v>
      </c>
      <c r="J7" s="45" t="s">
        <v>221</v>
      </c>
      <c r="K7" s="45" t="s">
        <v>3</v>
      </c>
      <c r="L7" s="45" t="s">
        <v>333</v>
      </c>
      <c r="M7" s="23" t="s">
        <v>4</v>
      </c>
      <c r="T7">
        <v>1</v>
      </c>
    </row>
    <row r="8" spans="1:20" x14ac:dyDescent="0.3">
      <c r="A8" t="str">
        <f>IF(F8&lt;&gt;"",ROW()-7,"")</f>
        <v/>
      </c>
      <c r="C8" s="48">
        <f>IF(Tableau111517194[[#This Row],[STOCK REEL]]&lt;=0,1,"")</f>
        <v>1</v>
      </c>
      <c r="D8" s="48">
        <f>IF(Tableau111517194[[#This Row],[STOCK REEL]]&lt;=Tableau111517194[[#This Row],[MINI]],1,"")</f>
        <v>1</v>
      </c>
      <c r="E8" s="49">
        <f>IF(Tableau111517194[[#This Row],[STOCK REEL]]&gt;=Tableau111517194[[#This Row],[MINI]],1,"")</f>
        <v>1</v>
      </c>
      <c r="F8" s="50"/>
      <c r="G8" s="50"/>
      <c r="H8" s="309">
        <f>SUMIFS(Tableau4[QUANTITE],Tableau4[REFERENCE],Tableau1115171917[[#This Row],[REFERENCE]],Tableau4[ENTREE],"Entrée")-SUMIFS(Tableau4[QUANTITE],Tableau4[REFERENCE],Tableau1115171917[[#This Row],[REFERENCE]],Tableau4[ENTREE],"Sortie")+SUMIFS(Tableau5[QUANTITE],Tableau5[REFERENCE],Tableau1115171917[[#This Row],[REFERENCE]],Tableau5[ENTREE],"RETOUR")-SUMIFS(Tableau5[QUANTITE],Tableau5[REFERENCE],Tableau1115171917[[#This Row],[REFERENCE]],Tableau5[ENTREE],"SORTIE")</f>
        <v>0</v>
      </c>
      <c r="I8" s="51"/>
      <c r="J8" s="51"/>
      <c r="K8" s="51"/>
      <c r="L8" s="51"/>
    </row>
    <row r="9" spans="1:20" x14ac:dyDescent="0.3">
      <c r="C9" s="108"/>
      <c r="D9" s="108"/>
      <c r="E9" s="109"/>
      <c r="F9" s="50"/>
      <c r="G9" s="50"/>
      <c r="H9" s="51"/>
      <c r="I9" s="51"/>
      <c r="J9" s="51"/>
      <c r="K9" s="51"/>
      <c r="L9" s="51"/>
    </row>
    <row r="10" spans="1:20" x14ac:dyDescent="0.3">
      <c r="C10" s="108"/>
      <c r="D10" s="108"/>
      <c r="E10" s="109"/>
      <c r="F10" s="50"/>
      <c r="G10" s="50"/>
      <c r="H10" s="51"/>
      <c r="I10" s="51"/>
      <c r="J10" s="51"/>
      <c r="K10" s="51"/>
      <c r="L10" s="51"/>
    </row>
    <row r="11" spans="1:20" x14ac:dyDescent="0.3">
      <c r="C11" s="108"/>
      <c r="D11" s="108"/>
      <c r="E11" s="109"/>
      <c r="F11" s="50"/>
      <c r="G11" s="50"/>
      <c r="H11" s="51"/>
      <c r="I11" s="51"/>
      <c r="J11" s="51"/>
      <c r="K11" s="51"/>
      <c r="L11" s="51"/>
    </row>
    <row r="12" spans="1:20" x14ac:dyDescent="0.3">
      <c r="C12" s="108"/>
      <c r="D12" s="108"/>
      <c r="E12" s="109"/>
      <c r="F12" s="50"/>
      <c r="G12" s="50"/>
      <c r="H12" s="51"/>
      <c r="I12" s="51"/>
      <c r="J12" s="51"/>
      <c r="K12" s="51"/>
      <c r="L12" s="51"/>
    </row>
    <row r="13" spans="1:20" x14ac:dyDescent="0.3">
      <c r="C13" s="108"/>
      <c r="D13" s="108"/>
      <c r="E13" s="109"/>
      <c r="F13" s="50"/>
      <c r="G13" s="50"/>
      <c r="H13" s="51"/>
      <c r="I13" s="51"/>
      <c r="J13" s="51"/>
      <c r="K13" s="51"/>
      <c r="L13" s="51"/>
    </row>
    <row r="14" spans="1:20" x14ac:dyDescent="0.3">
      <c r="C14" s="108"/>
      <c r="D14" s="108"/>
      <c r="E14" s="109"/>
      <c r="F14" s="50"/>
      <c r="G14" s="50"/>
      <c r="H14" s="51"/>
      <c r="I14" s="51"/>
      <c r="J14" s="51"/>
      <c r="K14" s="51"/>
      <c r="L14" s="51"/>
    </row>
    <row r="15" spans="1:20" x14ac:dyDescent="0.3">
      <c r="C15" s="108"/>
      <c r="D15" s="108"/>
      <c r="E15" s="109"/>
      <c r="F15" s="50"/>
      <c r="G15" s="50"/>
      <c r="H15" s="51"/>
      <c r="I15" s="51"/>
      <c r="J15" s="51"/>
      <c r="K15" s="51"/>
      <c r="L15" s="5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9153" r:id="rId3" name="CommandButton1">
          <controlPr defaultSize="0" autoLine="0" r:id="rId4">
            <anchor moveWithCells="1">
              <from>
                <xdr:col>6</xdr:col>
                <xdr:colOff>792480</xdr:colOff>
                <xdr:row>1</xdr:row>
                <xdr:rowOff>129540</xdr:rowOff>
              </from>
              <to>
                <xdr:col>8</xdr:col>
                <xdr:colOff>533400</xdr:colOff>
                <xdr:row>4</xdr:row>
                <xdr:rowOff>99060</xdr:rowOff>
              </to>
            </anchor>
          </controlPr>
        </control>
      </mc:Choice>
      <mc:Fallback>
        <control shapeId="49153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0" id="{8815D028-794B-4A00-B46D-F89FB07CB7F1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</xm:sqref>
        </x14:conditionalFormatting>
        <x14:conditionalFormatting xmlns:xm="http://schemas.microsoft.com/office/excel/2006/main">
          <x14:cfRule type="iconSet" priority="21" id="{E874C38A-561B-4CEA-83B2-90B6D78D63D5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</xm:sqref>
        </x14:conditionalFormatting>
        <x14:conditionalFormatting xmlns:xm="http://schemas.microsoft.com/office/excel/2006/main">
          <x14:cfRule type="iconSet" priority="22" id="{9AA6E86C-5D36-42F9-A3D4-12135BF68CCB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08C37-BD4D-4592-A6B3-7A149A60F601}">
  <sheetPr codeName="Feuil4">
    <tabColor theme="9" tint="0.59999389629810485"/>
  </sheetPr>
  <dimension ref="A7:M11"/>
  <sheetViews>
    <sheetView showGridLines="0" showRowColHeaders="0" zoomScale="85" zoomScaleNormal="85" workbookViewId="0">
      <selection activeCell="L31" sqref="L31"/>
    </sheetView>
  </sheetViews>
  <sheetFormatPr baseColWidth="10" defaultRowHeight="14.4" x14ac:dyDescent="0.3"/>
  <cols>
    <col min="1" max="1" width="4.6640625" customWidth="1"/>
    <col min="2" max="2" width="11.109375" customWidth="1"/>
    <col min="3" max="3" width="5.6640625" customWidth="1"/>
    <col min="4" max="4" width="9.5546875" customWidth="1"/>
    <col min="5" max="5" width="4.88671875" customWidth="1"/>
    <col min="6" max="6" width="52.44140625" customWidth="1"/>
    <col min="7" max="7" width="26.88671875" customWidth="1"/>
    <col min="8" max="8" width="12.6640625" customWidth="1"/>
    <col min="12" max="12" width="14.21875" bestFit="1" customWidth="1"/>
  </cols>
  <sheetData>
    <row r="7" spans="1:13" x14ac:dyDescent="0.3">
      <c r="B7" s="23" t="s">
        <v>534</v>
      </c>
      <c r="C7" s="6" t="s">
        <v>224</v>
      </c>
      <c r="D7" s="6" t="s">
        <v>223</v>
      </c>
      <c r="E7" s="6" t="s">
        <v>222</v>
      </c>
      <c r="F7" s="45" t="s">
        <v>0</v>
      </c>
      <c r="G7" s="45" t="s">
        <v>1</v>
      </c>
      <c r="H7" s="45" t="s">
        <v>2</v>
      </c>
      <c r="I7" s="45" t="s">
        <v>235</v>
      </c>
      <c r="J7" s="45" t="s">
        <v>221</v>
      </c>
      <c r="K7" s="45" t="s">
        <v>3</v>
      </c>
      <c r="L7" s="45" t="s">
        <v>333</v>
      </c>
      <c r="M7" s="23" t="s">
        <v>4</v>
      </c>
    </row>
    <row r="8" spans="1:13" x14ac:dyDescent="0.3">
      <c r="A8" t="str">
        <f>IF(F8&lt;&gt;"",ROW()-7,"")</f>
        <v/>
      </c>
      <c r="C8" s="48">
        <f>IF(Tableau111517194[[#This Row],[STOCK REEL]]&lt;=0,1,"")</f>
        <v>1</v>
      </c>
      <c r="D8" s="48">
        <f>IF(Tableau111517194[[#This Row],[STOCK REEL]]&lt;=Tableau111517194[[#This Row],[MINI]],1,"")</f>
        <v>1</v>
      </c>
      <c r="E8" s="49">
        <f>IF(Tableau111517194[[#This Row],[STOCK REEL]]&gt;=Tableau111517194[[#This Row],[MINI]],1,"")</f>
        <v>1</v>
      </c>
      <c r="F8" s="50"/>
      <c r="G8" s="50"/>
      <c r="H8" s="309">
        <f>SUMIFS(Tableau4[QUANTITE],Tableau4[REFERENCE],Tableau1115171923[[#This Row],[REFERENCE]],Tableau4[ENTREE],"Entrée")-SUMIFS(Tableau4[QUANTITE],Tableau4[REFERENCE],Tableau1115171923[[#This Row],[REFERENCE]],Tableau4[ENTREE],"Sortie")+SUMIFS(Tableau5[QUANTITE],Tableau5[REFERENCE],Tableau1115171923[[#This Row],[REFERENCE]],Tableau5[ENTREE],"RETOUR")-SUMIFS(Tableau5[QUANTITE],Tableau5[REFERENCE],Tableau1115171923[[#This Row],[REFERENCE]],Tableau5[ENTREE],"SORTIE")</f>
        <v>0</v>
      </c>
      <c r="I8" s="51"/>
      <c r="J8" s="51"/>
      <c r="K8" s="51"/>
      <c r="L8" s="51"/>
    </row>
    <row r="9" spans="1:13" x14ac:dyDescent="0.3">
      <c r="C9" s="108"/>
      <c r="D9" s="108"/>
      <c r="E9" s="109"/>
      <c r="F9" s="50"/>
      <c r="G9" s="164"/>
      <c r="H9" s="51"/>
      <c r="I9" s="51"/>
      <c r="J9" s="51"/>
      <c r="K9" s="51"/>
      <c r="L9" s="51"/>
    </row>
    <row r="10" spans="1:13" x14ac:dyDescent="0.3">
      <c r="C10" s="108"/>
      <c r="D10" s="108"/>
      <c r="E10" s="109"/>
      <c r="F10" s="50"/>
      <c r="G10" s="164"/>
      <c r="H10" s="51"/>
      <c r="I10" s="51"/>
      <c r="J10" s="51"/>
      <c r="K10" s="51"/>
      <c r="L10" s="51"/>
    </row>
    <row r="11" spans="1:13" x14ac:dyDescent="0.3">
      <c r="C11" s="108"/>
      <c r="D11" s="108"/>
      <c r="E11" s="109"/>
      <c r="F11" s="50"/>
      <c r="G11" s="164"/>
      <c r="H11" s="51"/>
      <c r="I11" s="51"/>
      <c r="J11" s="51"/>
      <c r="K11" s="51"/>
      <c r="L11" s="5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0177" r:id="rId3" name="CommandButton1">
          <controlPr defaultSize="0" autoLine="0" r:id="rId4">
            <anchor moveWithCells="1">
              <from>
                <xdr:col>6</xdr:col>
                <xdr:colOff>716280</xdr:colOff>
                <xdr:row>1</xdr:row>
                <xdr:rowOff>129540</xdr:rowOff>
              </from>
              <to>
                <xdr:col>8</xdr:col>
                <xdr:colOff>457200</xdr:colOff>
                <xdr:row>4</xdr:row>
                <xdr:rowOff>99060</xdr:rowOff>
              </to>
            </anchor>
          </controlPr>
        </control>
      </mc:Choice>
      <mc:Fallback>
        <control shapeId="50177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A957B82-1AE2-47F9-9A8C-38EE94AE9CB2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</xm:sqref>
        </x14:conditionalFormatting>
        <x14:conditionalFormatting xmlns:xm="http://schemas.microsoft.com/office/excel/2006/main">
          <x14:cfRule type="iconSet" priority="2" id="{FC1DCC57-2F4D-42CD-A344-B2BC8EBB5E68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</xm:sqref>
        </x14:conditionalFormatting>
        <x14:conditionalFormatting xmlns:xm="http://schemas.microsoft.com/office/excel/2006/main">
          <x14:cfRule type="iconSet" priority="3" id="{DF319628-5916-4050-ABCB-AD9FF3A33BAD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6">
    <tabColor theme="4" tint="0.59999389629810485"/>
  </sheetPr>
  <dimension ref="B1:L30"/>
  <sheetViews>
    <sheetView showGridLines="0" zoomScale="90" zoomScaleNormal="90" workbookViewId="0">
      <selection activeCell="H20" sqref="H20"/>
    </sheetView>
  </sheetViews>
  <sheetFormatPr baseColWidth="10" defaultRowHeight="14.4" x14ac:dyDescent="0.3"/>
  <cols>
    <col min="1" max="1" width="3" customWidth="1"/>
    <col min="2" max="2" width="12" customWidth="1"/>
    <col min="3" max="3" width="23.88671875" customWidth="1"/>
    <col min="4" max="4" width="22.21875" customWidth="1"/>
    <col min="5" max="5" width="26.5546875" customWidth="1"/>
    <col min="6" max="6" width="24.109375" customWidth="1"/>
    <col min="7" max="7" width="20.33203125" customWidth="1"/>
    <col min="8" max="8" width="46.33203125" customWidth="1"/>
    <col min="9" max="9" width="12" customWidth="1"/>
    <col min="10" max="10" width="18.6640625" customWidth="1"/>
    <col min="11" max="11" width="17.33203125" customWidth="1"/>
  </cols>
  <sheetData>
    <row r="1" spans="2:12" ht="55.8" customHeight="1" x14ac:dyDescent="0.3">
      <c r="D1" s="274" t="s">
        <v>560</v>
      </c>
      <c r="E1" s="274"/>
      <c r="F1" s="274"/>
      <c r="G1" s="274"/>
      <c r="H1" s="274"/>
    </row>
    <row r="2" spans="2:12" ht="37.200000000000003" customHeight="1" x14ac:dyDescent="0.3">
      <c r="D2" s="274"/>
      <c r="E2" s="274"/>
      <c r="F2" s="274"/>
      <c r="G2" s="274"/>
      <c r="H2" s="274"/>
      <c r="I2" s="86"/>
      <c r="J2" s="86"/>
      <c r="K2" s="86"/>
      <c r="L2" s="86"/>
    </row>
    <row r="3" spans="2:12" ht="21" customHeight="1" x14ac:dyDescent="0.3">
      <c r="D3" s="274"/>
      <c r="E3" s="274"/>
      <c r="F3" s="274"/>
      <c r="G3" s="274"/>
      <c r="H3" s="274"/>
      <c r="I3" s="86"/>
      <c r="J3" s="86"/>
      <c r="K3" s="86"/>
      <c r="L3" s="86"/>
    </row>
    <row r="4" spans="2:12" ht="14.4" customHeight="1" x14ac:dyDescent="0.3">
      <c r="D4" s="86"/>
      <c r="E4" s="86"/>
      <c r="F4" s="86"/>
      <c r="G4" s="86"/>
      <c r="H4" s="86"/>
      <c r="I4" s="86"/>
      <c r="J4" s="86"/>
      <c r="K4" s="86"/>
      <c r="L4" s="86"/>
    </row>
    <row r="5" spans="2:12" ht="14.4" customHeight="1" x14ac:dyDescent="0.3">
      <c r="D5" s="86"/>
      <c r="E5" s="86"/>
      <c r="F5" s="86"/>
      <c r="G5" s="86"/>
      <c r="H5" s="86"/>
      <c r="I5" s="86"/>
      <c r="J5" s="86"/>
      <c r="K5" s="86"/>
      <c r="L5" s="86"/>
    </row>
    <row r="7" spans="2:12" x14ac:dyDescent="0.3">
      <c r="B7" s="18" t="s">
        <v>257</v>
      </c>
      <c r="C7" s="18" t="s">
        <v>258</v>
      </c>
      <c r="D7" s="18" t="s">
        <v>564</v>
      </c>
      <c r="E7" s="18" t="s">
        <v>231</v>
      </c>
      <c r="F7" s="18" t="s">
        <v>259</v>
      </c>
      <c r="G7" s="137" t="s">
        <v>1</v>
      </c>
      <c r="H7" s="137" t="s">
        <v>553</v>
      </c>
      <c r="I7" s="18" t="s">
        <v>261</v>
      </c>
      <c r="J7" s="18" t="s">
        <v>260</v>
      </c>
      <c r="K7" s="137" t="s">
        <v>534</v>
      </c>
    </row>
    <row r="8" spans="2:12" x14ac:dyDescent="0.3">
      <c r="B8" s="18" t="s">
        <v>552</v>
      </c>
      <c r="C8" s="18"/>
      <c r="D8" s="18"/>
      <c r="E8" s="18"/>
      <c r="F8" s="18"/>
      <c r="G8" s="137"/>
      <c r="H8" s="137" t="str">
        <f>IFERROR(CONCATENATE(VLOOKUP(Tableau4[[#This Row],[REFERENCE]],Tableau49[[reference]:[description]],2,1)),"")</f>
        <v/>
      </c>
      <c r="I8" s="18"/>
      <c r="J8" s="18"/>
      <c r="K8" s="137"/>
    </row>
    <row r="9" spans="2:12" x14ac:dyDescent="0.3">
      <c r="B9" s="137"/>
      <c r="C9" s="137"/>
      <c r="D9" s="137"/>
      <c r="E9" s="137"/>
      <c r="F9" s="137"/>
      <c r="G9" s="137"/>
      <c r="H9" s="137"/>
      <c r="I9" s="137"/>
      <c r="J9" s="137"/>
      <c r="K9" s="137"/>
    </row>
    <row r="10" spans="2:12" x14ac:dyDescent="0.3">
      <c r="B10" s="137"/>
      <c r="C10" s="137"/>
      <c r="D10" s="137"/>
      <c r="E10" s="137"/>
      <c r="F10" s="137"/>
      <c r="G10" s="137"/>
      <c r="H10" s="137"/>
      <c r="I10" s="137"/>
      <c r="J10" s="137"/>
      <c r="K10" s="137"/>
    </row>
    <row r="11" spans="2:12" x14ac:dyDescent="0.3">
      <c r="B11" s="137"/>
      <c r="C11" s="137"/>
      <c r="D11" s="137"/>
      <c r="E11" s="137"/>
      <c r="F11" s="137"/>
      <c r="G11" s="137"/>
      <c r="H11" s="137"/>
      <c r="I11" s="137"/>
      <c r="J11" s="137"/>
      <c r="K11" s="137"/>
    </row>
    <row r="12" spans="2:12" x14ac:dyDescent="0.3">
      <c r="B12" s="137"/>
      <c r="C12" s="137"/>
      <c r="D12" s="137"/>
      <c r="E12" s="137"/>
      <c r="F12" s="137"/>
      <c r="G12" s="137"/>
      <c r="H12" s="170"/>
      <c r="I12" s="137"/>
      <c r="J12" s="137"/>
      <c r="K12" s="137"/>
    </row>
    <row r="13" spans="2:12" x14ac:dyDescent="0.3">
      <c r="B13" s="137"/>
      <c r="C13" s="137"/>
      <c r="D13" s="137"/>
      <c r="E13" s="137"/>
      <c r="F13" s="137"/>
      <c r="G13" s="137"/>
      <c r="H13" s="170"/>
      <c r="I13" s="137"/>
      <c r="J13" s="137"/>
      <c r="K13" s="137"/>
    </row>
    <row r="14" spans="2:12" x14ac:dyDescent="0.3">
      <c r="B14" s="137"/>
      <c r="C14" s="137"/>
      <c r="D14" s="202"/>
      <c r="E14" s="137"/>
      <c r="F14" s="137"/>
      <c r="G14" s="137"/>
      <c r="H14" s="170"/>
      <c r="I14" s="137"/>
      <c r="J14" s="137"/>
      <c r="K14" s="137"/>
    </row>
    <row r="15" spans="2:12" x14ac:dyDescent="0.3">
      <c r="B15" s="137"/>
      <c r="C15" s="137"/>
      <c r="D15" s="202"/>
      <c r="E15" s="137"/>
      <c r="F15" s="137"/>
      <c r="G15" s="137"/>
      <c r="H15" s="170"/>
      <c r="I15" s="137"/>
      <c r="J15" s="137"/>
      <c r="K15" s="137"/>
    </row>
    <row r="16" spans="2:12" x14ac:dyDescent="0.3">
      <c r="B16" s="137"/>
      <c r="C16" s="137"/>
      <c r="D16" s="137"/>
      <c r="E16" s="137"/>
      <c r="F16" s="137"/>
      <c r="G16" s="137"/>
      <c r="H16" s="137"/>
      <c r="I16" s="137"/>
      <c r="J16" s="137"/>
      <c r="K16" s="137"/>
    </row>
    <row r="17" spans="2:11" x14ac:dyDescent="0.3">
      <c r="B17" s="137"/>
      <c r="C17" s="137"/>
      <c r="D17" s="137"/>
      <c r="E17" s="137"/>
      <c r="F17" s="137"/>
      <c r="G17" s="137"/>
      <c r="H17" s="137"/>
      <c r="I17" s="137"/>
      <c r="J17" s="137"/>
      <c r="K17" s="137"/>
    </row>
    <row r="18" spans="2:11" x14ac:dyDescent="0.3">
      <c r="B18" s="137"/>
      <c r="C18" s="137"/>
      <c r="D18" s="137"/>
      <c r="E18" s="137"/>
      <c r="F18" s="137"/>
      <c r="G18" s="137"/>
      <c r="H18" s="137"/>
      <c r="I18" s="137"/>
      <c r="J18" s="137"/>
      <c r="K18" s="137"/>
    </row>
    <row r="19" spans="2:11" x14ac:dyDescent="0.3">
      <c r="B19" s="137"/>
      <c r="C19" s="137"/>
      <c r="D19" s="137"/>
      <c r="E19" s="137"/>
      <c r="F19" s="137"/>
      <c r="G19" s="137"/>
      <c r="H19" s="137"/>
      <c r="I19" s="137"/>
      <c r="J19" s="137"/>
      <c r="K19" s="137"/>
    </row>
    <row r="20" spans="2:11" x14ac:dyDescent="0.3">
      <c r="B20" s="137"/>
      <c r="C20" s="137"/>
      <c r="D20" s="137"/>
      <c r="E20" s="137"/>
      <c r="F20" s="137"/>
      <c r="G20" s="137"/>
      <c r="H20" s="137"/>
      <c r="I20" s="137"/>
      <c r="J20" s="137"/>
      <c r="K20" s="137"/>
    </row>
    <row r="21" spans="2:11" x14ac:dyDescent="0.3">
      <c r="B21" s="137"/>
      <c r="C21" s="137"/>
      <c r="D21" s="137"/>
      <c r="E21" s="137"/>
      <c r="F21" s="137"/>
      <c r="G21" s="137"/>
      <c r="H21" s="137"/>
      <c r="I21" s="137"/>
      <c r="J21" s="137"/>
      <c r="K21" s="137"/>
    </row>
    <row r="22" spans="2:11" x14ac:dyDescent="0.3">
      <c r="B22" s="137"/>
      <c r="C22" s="137"/>
      <c r="D22" s="137"/>
      <c r="E22" s="137"/>
      <c r="F22" s="137"/>
      <c r="G22" s="137"/>
      <c r="H22" s="137"/>
      <c r="I22" s="137"/>
      <c r="J22" s="137"/>
      <c r="K22" s="137"/>
    </row>
    <row r="23" spans="2:11" x14ac:dyDescent="0.3">
      <c r="B23" s="137"/>
      <c r="C23" s="137"/>
      <c r="D23" s="137"/>
      <c r="E23" s="137"/>
      <c r="F23" s="137"/>
      <c r="G23" s="137"/>
      <c r="H23" s="137"/>
      <c r="I23" s="137"/>
      <c r="J23" s="137"/>
      <c r="K23" s="137"/>
    </row>
    <row r="24" spans="2:11" x14ac:dyDescent="0.3">
      <c r="B24" s="137"/>
      <c r="C24" s="137"/>
      <c r="D24" s="137"/>
      <c r="E24" s="137"/>
      <c r="F24" s="137"/>
      <c r="G24" s="137"/>
      <c r="H24" s="137"/>
      <c r="I24" s="137"/>
      <c r="J24" s="137"/>
      <c r="K24" s="137"/>
    </row>
    <row r="25" spans="2:11" x14ac:dyDescent="0.3">
      <c r="B25" s="137"/>
      <c r="C25" s="137"/>
      <c r="D25" s="137"/>
      <c r="E25" s="137"/>
      <c r="F25" s="137"/>
      <c r="G25" s="137"/>
      <c r="H25" s="137"/>
      <c r="I25" s="137"/>
      <c r="J25" s="137"/>
      <c r="K25" s="137"/>
    </row>
    <row r="26" spans="2:11" x14ac:dyDescent="0.3">
      <c r="B26" s="137"/>
      <c r="C26" s="137"/>
      <c r="D26" s="137"/>
      <c r="E26" s="137"/>
      <c r="F26" s="137"/>
      <c r="G26" s="137"/>
      <c r="H26" s="137"/>
      <c r="I26" s="137"/>
      <c r="J26" s="137"/>
      <c r="K26" s="137"/>
    </row>
    <row r="27" spans="2:11" x14ac:dyDescent="0.3">
      <c r="B27" s="137"/>
      <c r="C27" s="137"/>
      <c r="D27" s="137"/>
      <c r="E27" s="137"/>
      <c r="F27" s="137"/>
      <c r="G27" s="137"/>
      <c r="H27" s="137"/>
      <c r="I27" s="137"/>
      <c r="J27" s="137"/>
      <c r="K27" s="137"/>
    </row>
    <row r="28" spans="2:11" x14ac:dyDescent="0.3">
      <c r="B28" s="137"/>
      <c r="C28" s="137"/>
      <c r="D28" s="137"/>
      <c r="E28" s="137"/>
      <c r="F28" s="137"/>
      <c r="G28" s="137"/>
      <c r="H28" s="137"/>
      <c r="I28" s="137"/>
      <c r="J28" s="137"/>
      <c r="K28" s="137"/>
    </row>
    <row r="29" spans="2:11" x14ac:dyDescent="0.3">
      <c r="B29" s="137"/>
      <c r="C29" s="137"/>
      <c r="D29" s="137"/>
      <c r="E29" s="137"/>
      <c r="F29" s="137"/>
      <c r="G29" s="137"/>
      <c r="H29" s="137"/>
      <c r="I29" s="137"/>
      <c r="J29" s="137"/>
      <c r="K29" s="137"/>
    </row>
    <row r="30" spans="2:11" x14ac:dyDescent="0.3">
      <c r="B30" s="137"/>
      <c r="C30" s="137"/>
      <c r="D30" s="137"/>
      <c r="E30" s="137"/>
      <c r="F30" s="137"/>
      <c r="G30" s="137"/>
      <c r="H30" s="137"/>
      <c r="I30" s="137"/>
      <c r="J30" s="137"/>
      <c r="K30" s="137"/>
    </row>
  </sheetData>
  <mergeCells count="1">
    <mergeCell ref="D1:H3"/>
  </mergeCells>
  <phoneticPr fontId="3" type="noConversion"/>
  <dataValidations count="1">
    <dataValidation type="list" allowBlank="1" showInputMessage="1" showErrorMessage="1" sqref="B8" xr:uid="{1FBCCA48-9F82-4470-A6EB-930FB2EAAE80}">
      <formula1>"Entrée,Sortie"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02" r:id="rId3" name="CommandButton1">
          <controlPr defaultSize="0" autoLine="0" r:id="rId4">
            <anchor moveWithCells="1">
              <from>
                <xdr:col>5</xdr:col>
                <xdr:colOff>0</xdr:colOff>
                <xdr:row>1</xdr:row>
                <xdr:rowOff>381000</xdr:rowOff>
              </from>
              <to>
                <xdr:col>7</xdr:col>
                <xdr:colOff>220980</xdr:colOff>
                <xdr:row>3</xdr:row>
                <xdr:rowOff>152400</xdr:rowOff>
              </to>
            </anchor>
          </controlPr>
        </control>
      </mc:Choice>
      <mc:Fallback>
        <control shapeId="51202" r:id="rId3" name="CommandButton1"/>
      </mc:Fallback>
    </mc:AlternateContent>
  </controls>
  <tableParts count="1"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7">
    <tabColor theme="4" tint="0.59999389629810485"/>
  </sheetPr>
  <dimension ref="B2:K25"/>
  <sheetViews>
    <sheetView showGridLines="0" tabSelected="1" zoomScale="90" zoomScaleNormal="90" workbookViewId="0">
      <selection activeCell="H21" sqref="H21"/>
    </sheetView>
  </sheetViews>
  <sheetFormatPr baseColWidth="10" defaultRowHeight="14.4" x14ac:dyDescent="0.3"/>
  <cols>
    <col min="1" max="1" width="2.33203125" customWidth="1"/>
    <col min="2" max="2" width="13" customWidth="1"/>
    <col min="3" max="3" width="22.6640625" customWidth="1"/>
    <col min="4" max="4" width="21.109375" customWidth="1"/>
    <col min="5" max="5" width="24.33203125" customWidth="1"/>
    <col min="6" max="6" width="18.109375" customWidth="1"/>
    <col min="7" max="7" width="29.44140625" customWidth="1"/>
    <col min="8" max="8" width="43.21875" customWidth="1"/>
    <col min="9" max="9" width="15.6640625" customWidth="1"/>
    <col min="10" max="10" width="21.109375" customWidth="1"/>
    <col min="11" max="11" width="14.77734375" customWidth="1"/>
  </cols>
  <sheetData>
    <row r="2" spans="2:11" ht="43.8" customHeight="1" x14ac:dyDescent="0.3">
      <c r="D2" s="275" t="s">
        <v>563</v>
      </c>
      <c r="E2" s="275"/>
      <c r="F2" s="275"/>
      <c r="G2" s="275"/>
      <c r="H2" s="275"/>
      <c r="I2" s="86"/>
    </row>
    <row r="3" spans="2:11" ht="34.200000000000003" customHeight="1" x14ac:dyDescent="0.3">
      <c r="D3" s="86"/>
      <c r="E3" s="86"/>
      <c r="F3" s="86"/>
      <c r="G3" s="86"/>
      <c r="H3" s="86"/>
      <c r="I3" s="86"/>
    </row>
    <row r="4" spans="2:11" ht="14.4" customHeight="1" x14ac:dyDescent="0.3">
      <c r="D4" s="86"/>
      <c r="E4" s="86"/>
      <c r="F4" s="86"/>
      <c r="G4" s="86"/>
      <c r="H4" s="86"/>
      <c r="I4" s="86"/>
    </row>
    <row r="5" spans="2:11" ht="14.4" customHeight="1" x14ac:dyDescent="0.3">
      <c r="D5" s="86"/>
      <c r="E5" s="86"/>
      <c r="F5" s="86"/>
      <c r="G5" s="86"/>
      <c r="H5" s="86"/>
      <c r="I5" s="86"/>
    </row>
    <row r="6" spans="2:11" ht="14.4" customHeight="1" x14ac:dyDescent="0.3">
      <c r="D6" s="86"/>
      <c r="E6" s="86"/>
      <c r="F6" s="86"/>
      <c r="G6" s="86"/>
      <c r="H6" s="86"/>
      <c r="I6" s="86"/>
    </row>
    <row r="7" spans="2:11" ht="14.4" customHeight="1" x14ac:dyDescent="0.3">
      <c r="B7" s="137" t="s">
        <v>257</v>
      </c>
      <c r="C7" s="137" t="s">
        <v>258</v>
      </c>
      <c r="D7" s="137" t="s">
        <v>565</v>
      </c>
      <c r="E7" s="137" t="s">
        <v>260</v>
      </c>
      <c r="F7" s="137" t="s">
        <v>564</v>
      </c>
      <c r="G7" s="137" t="s">
        <v>1</v>
      </c>
      <c r="H7" s="137" t="s">
        <v>553</v>
      </c>
      <c r="I7" s="137" t="s">
        <v>261</v>
      </c>
      <c r="J7" s="137" t="s">
        <v>259</v>
      </c>
      <c r="K7" s="137" t="s">
        <v>534</v>
      </c>
    </row>
    <row r="8" spans="2:11" x14ac:dyDescent="0.3">
      <c r="B8" s="22" t="s">
        <v>561</v>
      </c>
      <c r="C8" s="22"/>
      <c r="D8" s="22"/>
      <c r="F8" s="22"/>
      <c r="G8" s="22"/>
      <c r="H8" s="22"/>
      <c r="I8" s="22"/>
      <c r="J8" s="22"/>
    </row>
    <row r="9" spans="2:11" x14ac:dyDescent="0.3">
      <c r="B9" s="137"/>
      <c r="C9" s="137"/>
      <c r="D9" s="137"/>
      <c r="E9" s="137"/>
      <c r="F9" s="137"/>
      <c r="G9" s="137"/>
      <c r="H9" s="137"/>
      <c r="I9" s="137"/>
      <c r="J9" s="137"/>
    </row>
    <row r="10" spans="2:11" x14ac:dyDescent="0.3">
      <c r="B10" s="137"/>
      <c r="C10" s="137"/>
      <c r="D10" s="137"/>
      <c r="E10" s="137"/>
      <c r="F10" s="137"/>
      <c r="G10" s="137"/>
      <c r="H10" s="137"/>
      <c r="I10" s="137"/>
      <c r="J10" s="137"/>
    </row>
    <row r="11" spans="2:11" x14ac:dyDescent="0.3">
      <c r="B11" s="137"/>
      <c r="C11" s="137"/>
      <c r="D11" s="137"/>
      <c r="E11" s="137"/>
      <c r="F11" s="137"/>
      <c r="G11" s="137"/>
      <c r="H11" s="137"/>
      <c r="I11" s="137"/>
      <c r="J11" s="137"/>
    </row>
    <row r="12" spans="2:11" x14ac:dyDescent="0.3">
      <c r="B12" s="137"/>
      <c r="C12" s="137"/>
      <c r="D12" s="137"/>
      <c r="E12" s="137"/>
      <c r="F12" s="137"/>
      <c r="G12" s="137"/>
      <c r="H12" s="137"/>
      <c r="I12" s="137"/>
      <c r="J12" s="137"/>
    </row>
    <row r="13" spans="2:11" x14ac:dyDescent="0.3">
      <c r="B13" s="137"/>
      <c r="C13" s="137"/>
      <c r="D13" s="137"/>
      <c r="E13" s="137"/>
      <c r="F13" s="137"/>
      <c r="G13" s="137"/>
      <c r="H13" s="137"/>
      <c r="I13" s="137"/>
      <c r="J13" s="137"/>
    </row>
    <row r="14" spans="2:11" x14ac:dyDescent="0.3">
      <c r="B14" s="137"/>
      <c r="C14" s="137"/>
      <c r="D14" s="137"/>
      <c r="E14" s="137"/>
      <c r="F14" s="137"/>
      <c r="G14" s="137"/>
      <c r="H14" s="137"/>
      <c r="I14" s="137"/>
      <c r="J14" s="137"/>
    </row>
    <row r="15" spans="2:11" x14ac:dyDescent="0.3">
      <c r="B15" s="137"/>
      <c r="C15" s="137"/>
      <c r="D15" s="137"/>
      <c r="E15" s="137"/>
      <c r="F15" s="137"/>
      <c r="G15" s="137"/>
      <c r="H15" s="137"/>
      <c r="I15" s="137"/>
      <c r="J15" s="137"/>
    </row>
    <row r="16" spans="2:11" x14ac:dyDescent="0.3">
      <c r="B16" s="137"/>
      <c r="C16" s="137"/>
      <c r="D16" s="137"/>
      <c r="E16" s="137"/>
      <c r="F16" s="202"/>
      <c r="G16" s="137"/>
      <c r="H16" s="137"/>
      <c r="I16" s="137"/>
      <c r="J16" s="137"/>
    </row>
    <row r="17" spans="2:10" x14ac:dyDescent="0.3">
      <c r="B17" s="137"/>
      <c r="C17" s="137"/>
      <c r="D17" s="137"/>
      <c r="E17" s="137"/>
      <c r="F17" s="202"/>
      <c r="G17" s="137"/>
      <c r="H17" s="137"/>
      <c r="I17" s="137"/>
      <c r="J17" s="137"/>
    </row>
    <row r="18" spans="2:10" x14ac:dyDescent="0.3">
      <c r="B18" s="137"/>
      <c r="C18" s="137"/>
      <c r="D18" s="137"/>
      <c r="E18" s="137"/>
      <c r="F18" s="202"/>
      <c r="G18" s="137"/>
      <c r="H18" s="137"/>
      <c r="I18" s="137"/>
      <c r="J18" s="137"/>
    </row>
    <row r="19" spans="2:10" x14ac:dyDescent="0.3">
      <c r="B19" s="137"/>
      <c r="C19" s="137"/>
      <c r="D19" s="137"/>
      <c r="E19" s="137"/>
      <c r="F19" s="202"/>
      <c r="G19" s="137"/>
      <c r="H19" s="137"/>
      <c r="I19" s="137"/>
      <c r="J19" s="137"/>
    </row>
    <row r="20" spans="2:10" x14ac:dyDescent="0.3">
      <c r="B20" s="137"/>
      <c r="C20" s="137"/>
      <c r="D20" s="137"/>
      <c r="E20" s="137"/>
      <c r="F20" s="202"/>
      <c r="G20" s="137"/>
      <c r="H20" s="137"/>
      <c r="I20" s="137"/>
      <c r="J20" s="137"/>
    </row>
    <row r="21" spans="2:10" x14ac:dyDescent="0.3">
      <c r="B21" s="137"/>
      <c r="C21" s="137"/>
      <c r="D21" s="137"/>
      <c r="E21" s="137"/>
      <c r="F21" s="202"/>
      <c r="G21" s="137"/>
      <c r="H21" s="137"/>
      <c r="I21" s="137"/>
      <c r="J21" s="137"/>
    </row>
    <row r="22" spans="2:10" x14ac:dyDescent="0.3">
      <c r="B22" s="22"/>
      <c r="C22" s="22"/>
      <c r="D22" s="22"/>
      <c r="E22" s="22"/>
      <c r="F22" s="22"/>
      <c r="G22" s="22"/>
      <c r="H22" s="22"/>
      <c r="I22" s="22"/>
    </row>
    <row r="23" spans="2:10" x14ac:dyDescent="0.3">
      <c r="B23" s="22"/>
      <c r="C23" s="22"/>
      <c r="D23" s="22"/>
      <c r="E23" s="22"/>
      <c r="F23" s="22"/>
      <c r="G23" s="22"/>
      <c r="H23" s="22"/>
      <c r="I23" s="22"/>
    </row>
    <row r="24" spans="2:10" x14ac:dyDescent="0.3">
      <c r="B24" s="22"/>
      <c r="C24" s="22"/>
      <c r="D24" s="22"/>
      <c r="E24" s="22"/>
      <c r="F24" s="22"/>
      <c r="G24" s="22"/>
      <c r="H24" s="22"/>
      <c r="I24" s="22"/>
    </row>
    <row r="25" spans="2:10" x14ac:dyDescent="0.3">
      <c r="B25" s="22"/>
      <c r="C25" s="22"/>
      <c r="D25" s="22"/>
      <c r="E25" s="22"/>
      <c r="F25" s="22"/>
      <c r="G25" s="22"/>
      <c r="H25" s="22"/>
      <c r="I25" s="22"/>
    </row>
  </sheetData>
  <mergeCells count="1">
    <mergeCell ref="D2:H2"/>
  </mergeCells>
  <phoneticPr fontId="3" type="noConversion"/>
  <dataValidations count="1">
    <dataValidation type="list" allowBlank="1" showInputMessage="1" showErrorMessage="1" sqref="F8 B8" xr:uid="{00000000-0002-0000-0500-000000000000}">
      <formula1>"SORTIE,RETOUR"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58370" r:id="rId4" name="CommandButton1">
          <controlPr defaultSize="0" autoLine="0" r:id="rId5">
            <anchor moveWithCells="1">
              <from>
                <xdr:col>4</xdr:col>
                <xdr:colOff>1623060</xdr:colOff>
                <xdr:row>2</xdr:row>
                <xdr:rowOff>281940</xdr:rowOff>
              </from>
              <to>
                <xdr:col>6</xdr:col>
                <xdr:colOff>1623060</xdr:colOff>
                <xdr:row>4</xdr:row>
                <xdr:rowOff>160020</xdr:rowOff>
              </to>
            </anchor>
          </controlPr>
        </control>
      </mc:Choice>
      <mc:Fallback>
        <control shapeId="58370" r:id="rId4" name="CommandButton1"/>
      </mc:Fallback>
    </mc:AlternateContent>
  </controls>
  <tableParts count="1">
    <tablePart r:id="rId6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9D7B1-690F-47F6-AAB2-317DAC3BB68E}">
  <sheetPr codeName="Feuil11">
    <tabColor theme="4" tint="0.59999389629810485"/>
  </sheetPr>
  <dimension ref="B1:M40"/>
  <sheetViews>
    <sheetView showGridLines="0" zoomScale="85" zoomScaleNormal="85" workbookViewId="0">
      <selection activeCell="M6" sqref="M6"/>
    </sheetView>
  </sheetViews>
  <sheetFormatPr baseColWidth="10" defaultRowHeight="14.4" x14ac:dyDescent="0.3"/>
  <cols>
    <col min="1" max="1" width="3.44140625" customWidth="1"/>
    <col min="2" max="2" width="12.33203125" customWidth="1"/>
    <col min="3" max="3" width="25" style="201" customWidth="1"/>
    <col min="4" max="4" width="17.44140625" style="201" customWidth="1"/>
    <col min="5" max="5" width="47.21875" style="201" customWidth="1"/>
    <col min="6" max="6" width="19.109375" customWidth="1"/>
    <col min="7" max="7" width="17.77734375" customWidth="1"/>
    <col min="8" max="8" width="18.33203125" customWidth="1"/>
    <col min="9" max="9" width="12.33203125" customWidth="1"/>
    <col min="10" max="10" width="14.109375" customWidth="1"/>
    <col min="11" max="11" width="21" customWidth="1"/>
    <col min="12" max="12" width="12.5546875" customWidth="1"/>
  </cols>
  <sheetData>
    <row r="1" spans="2:13" ht="22.8" customHeight="1" x14ac:dyDescent="0.3"/>
    <row r="2" spans="2:13" ht="56.4" customHeight="1" x14ac:dyDescent="1">
      <c r="C2" s="276" t="s">
        <v>557</v>
      </c>
      <c r="D2" s="276"/>
      <c r="E2" s="276"/>
      <c r="F2" s="276"/>
      <c r="G2" s="276"/>
    </row>
    <row r="3" spans="2:13" ht="34.200000000000003" customHeight="1" x14ac:dyDescent="0.3"/>
    <row r="5" spans="2:13" x14ac:dyDescent="0.3">
      <c r="B5" s="137" t="s">
        <v>257</v>
      </c>
      <c r="C5" s="137" t="s">
        <v>258</v>
      </c>
      <c r="D5" s="137" t="s">
        <v>549</v>
      </c>
      <c r="E5" s="137" t="s">
        <v>550</v>
      </c>
      <c r="F5" s="137" t="s">
        <v>261</v>
      </c>
      <c r="G5" s="137" t="s">
        <v>534</v>
      </c>
      <c r="H5" s="137" t="s">
        <v>555</v>
      </c>
      <c r="I5" s="137" t="s">
        <v>556</v>
      </c>
      <c r="J5" s="137" t="s">
        <v>260</v>
      </c>
      <c r="K5" s="137" t="s">
        <v>259</v>
      </c>
      <c r="L5" s="137" t="s">
        <v>231</v>
      </c>
      <c r="M5" s="137" t="s">
        <v>245</v>
      </c>
    </row>
    <row r="6" spans="2:13" x14ac:dyDescent="0.3">
      <c r="B6" s="137"/>
      <c r="C6" s="6"/>
      <c r="D6" s="6"/>
      <c r="E6" s="6"/>
      <c r="F6" s="137"/>
      <c r="G6" s="137"/>
      <c r="H6" s="137" t="str">
        <f t="array" ref="H6">IFERROR(INDEX(Tableau4[QUANTITE],MATCH(1,(Tableau49[[#This Row],[N° BON DE COMMANDE ]]=Tableau4[[N° BON DE COMMANDE ]])*(Tableau49[[#This Row],[reference]]=Tableau4[REFERENCE]),0)),"")</f>
        <v/>
      </c>
      <c r="I6" s="137" t="str">
        <f>IF(Tableau49[[#This Row],[contrôle]]=Tableau49[[#This Row],[QUANTITE]],"Close","Open")</f>
        <v>Close</v>
      </c>
      <c r="J6" s="137"/>
      <c r="K6" s="137"/>
      <c r="L6" s="137"/>
      <c r="M6" s="137"/>
    </row>
    <row r="7" spans="2:13" x14ac:dyDescent="0.3">
      <c r="B7" s="137"/>
      <c r="C7" s="6"/>
      <c r="D7" s="6"/>
      <c r="E7" s="6"/>
      <c r="F7" s="137"/>
      <c r="G7" s="137"/>
      <c r="H7" s="170"/>
      <c r="I7" s="170"/>
      <c r="J7" s="137"/>
      <c r="K7" s="137"/>
      <c r="L7" s="137"/>
      <c r="M7" s="137"/>
    </row>
    <row r="8" spans="2:13" x14ac:dyDescent="0.3">
      <c r="B8" s="137"/>
      <c r="C8" s="6"/>
      <c r="D8" s="6"/>
      <c r="E8" s="6"/>
      <c r="F8" s="137"/>
      <c r="G8" s="137"/>
      <c r="H8" s="170"/>
      <c r="I8" s="170"/>
      <c r="J8" s="137"/>
      <c r="K8" s="137"/>
      <c r="L8" s="137"/>
      <c r="M8" s="137"/>
    </row>
    <row r="9" spans="2:13" x14ac:dyDescent="0.3">
      <c r="B9" s="137"/>
      <c r="C9" s="6"/>
      <c r="D9" s="6"/>
      <c r="E9" s="6"/>
      <c r="F9" s="137"/>
      <c r="G9" s="137"/>
      <c r="H9" s="170"/>
      <c r="I9" s="170"/>
      <c r="J9" s="137"/>
      <c r="K9" s="137"/>
      <c r="L9" s="137"/>
      <c r="M9" s="137"/>
    </row>
    <row r="10" spans="2:13" x14ac:dyDescent="0.3">
      <c r="B10" s="137"/>
      <c r="C10" s="6"/>
      <c r="D10" s="6"/>
      <c r="E10" s="6"/>
      <c r="F10" s="137"/>
      <c r="G10" s="137"/>
      <c r="H10" s="170"/>
      <c r="I10" s="170"/>
      <c r="J10" s="137"/>
      <c r="K10" s="137"/>
      <c r="L10" s="137"/>
      <c r="M10" s="137"/>
    </row>
    <row r="11" spans="2:13" x14ac:dyDescent="0.3">
      <c r="B11" s="137"/>
      <c r="C11" s="6"/>
      <c r="D11" s="6"/>
      <c r="E11" s="6"/>
      <c r="F11" s="137"/>
      <c r="G11" s="137"/>
      <c r="H11" s="170"/>
      <c r="I11" s="170"/>
      <c r="J11" s="137"/>
      <c r="K11" s="137"/>
      <c r="L11" s="137"/>
      <c r="M11" s="137"/>
    </row>
    <row r="12" spans="2:13" x14ac:dyDescent="0.3">
      <c r="B12" s="137"/>
      <c r="C12" s="6"/>
      <c r="D12" s="6"/>
      <c r="E12" s="6"/>
      <c r="F12" s="137"/>
      <c r="G12" s="202"/>
      <c r="H12" s="170"/>
      <c r="I12" s="170"/>
      <c r="J12" s="137"/>
      <c r="K12" s="137"/>
      <c r="L12" s="137"/>
      <c r="M12" s="137"/>
    </row>
    <row r="13" spans="2:13" x14ac:dyDescent="0.3">
      <c r="B13" s="137"/>
      <c r="C13" s="6"/>
      <c r="D13" s="6"/>
      <c r="E13" s="6"/>
      <c r="F13" s="137"/>
      <c r="G13" s="137"/>
      <c r="H13" s="137"/>
      <c r="I13" s="137"/>
      <c r="J13" s="137"/>
      <c r="K13" s="137"/>
      <c r="L13" s="137"/>
      <c r="M13" s="137"/>
    </row>
    <row r="14" spans="2:13" x14ac:dyDescent="0.3">
      <c r="B14" s="137"/>
      <c r="C14" s="6"/>
      <c r="D14" s="6"/>
      <c r="E14" s="6"/>
      <c r="F14" s="137"/>
      <c r="G14" s="137"/>
      <c r="H14" s="137"/>
      <c r="I14" s="137"/>
      <c r="J14" s="137"/>
      <c r="K14" s="137"/>
      <c r="L14" s="137"/>
      <c r="M14" s="137"/>
    </row>
    <row r="15" spans="2:13" x14ac:dyDescent="0.3">
      <c r="B15" s="137"/>
      <c r="C15" s="6"/>
      <c r="D15" s="6"/>
      <c r="E15" s="6"/>
      <c r="F15" s="137"/>
      <c r="G15" s="137"/>
      <c r="H15" s="137"/>
      <c r="I15" s="137"/>
      <c r="J15" s="137"/>
      <c r="K15" s="137"/>
      <c r="L15" s="137"/>
      <c r="M15" s="137"/>
    </row>
    <row r="16" spans="2:13" x14ac:dyDescent="0.3">
      <c r="B16" s="137"/>
      <c r="C16" s="6"/>
      <c r="D16" s="6"/>
      <c r="E16" s="6"/>
      <c r="F16" s="202"/>
      <c r="G16" s="137"/>
      <c r="H16" s="137"/>
      <c r="I16" s="137"/>
      <c r="J16" s="137"/>
      <c r="K16" s="137"/>
      <c r="L16" s="137"/>
      <c r="M16" s="137"/>
    </row>
    <row r="17" spans="2:13" x14ac:dyDescent="0.3">
      <c r="B17" s="137"/>
      <c r="C17" s="6"/>
      <c r="D17" s="6"/>
      <c r="E17" s="6"/>
      <c r="F17" s="137"/>
      <c r="G17" s="137"/>
      <c r="H17" s="170"/>
      <c r="I17" s="170"/>
      <c r="J17" s="137"/>
      <c r="K17" s="137"/>
      <c r="L17" s="137"/>
      <c r="M17" s="137"/>
    </row>
    <row r="18" spans="2:13" x14ac:dyDescent="0.3">
      <c r="B18" s="137"/>
      <c r="C18" s="6"/>
      <c r="D18" s="6"/>
      <c r="E18" s="6"/>
      <c r="F18" s="137"/>
      <c r="G18" s="137"/>
      <c r="H18" s="170"/>
      <c r="I18" s="170"/>
      <c r="J18" s="137"/>
      <c r="K18" s="137"/>
      <c r="L18" s="137"/>
      <c r="M18" s="137"/>
    </row>
    <row r="19" spans="2:13" x14ac:dyDescent="0.3">
      <c r="B19" s="137"/>
      <c r="C19" s="6"/>
      <c r="D19" s="6"/>
      <c r="E19" s="6"/>
      <c r="F19" s="137"/>
      <c r="G19" s="137"/>
      <c r="H19" s="137"/>
      <c r="I19" s="137"/>
      <c r="J19" s="137"/>
      <c r="K19" s="137"/>
      <c r="L19" s="137"/>
      <c r="M19" s="137"/>
    </row>
    <row r="20" spans="2:13" x14ac:dyDescent="0.3">
      <c r="B20" s="137"/>
      <c r="C20" s="6"/>
      <c r="D20" s="6"/>
      <c r="E20" s="6"/>
      <c r="F20" s="137"/>
      <c r="G20" s="137"/>
      <c r="H20" s="137"/>
      <c r="I20" s="137"/>
      <c r="J20" s="137"/>
      <c r="K20" s="137"/>
      <c r="L20" s="137"/>
      <c r="M20" s="137"/>
    </row>
    <row r="21" spans="2:13" x14ac:dyDescent="0.3">
      <c r="B21" s="137"/>
      <c r="C21" s="6"/>
      <c r="D21" s="6"/>
      <c r="E21" s="6"/>
      <c r="F21" s="137"/>
      <c r="G21" s="137"/>
      <c r="H21" s="137"/>
      <c r="I21" s="137"/>
      <c r="J21" s="137"/>
      <c r="K21" s="137"/>
      <c r="L21" s="137"/>
      <c r="M21" s="137"/>
    </row>
    <row r="22" spans="2:13" x14ac:dyDescent="0.3">
      <c r="B22" s="137"/>
      <c r="C22" s="6"/>
      <c r="D22" s="6"/>
      <c r="E22" s="6"/>
      <c r="F22" s="137"/>
      <c r="G22" s="137"/>
      <c r="H22" s="137"/>
      <c r="I22" s="137"/>
      <c r="J22" s="137"/>
      <c r="K22" s="137"/>
      <c r="L22" s="137"/>
      <c r="M22" s="137"/>
    </row>
    <row r="23" spans="2:13" x14ac:dyDescent="0.3">
      <c r="B23" s="137"/>
      <c r="C23" s="6"/>
      <c r="D23" s="6"/>
      <c r="E23" s="6"/>
      <c r="F23" s="137"/>
      <c r="G23" s="137"/>
      <c r="H23" s="137"/>
      <c r="I23" s="137"/>
      <c r="J23" s="137"/>
      <c r="K23" s="137"/>
      <c r="L23" s="137"/>
      <c r="M23" s="137"/>
    </row>
    <row r="24" spans="2:13" x14ac:dyDescent="0.3">
      <c r="B24" s="137"/>
      <c r="C24" s="6"/>
      <c r="D24" s="6"/>
      <c r="E24" s="6"/>
      <c r="F24" s="137"/>
      <c r="G24" s="137"/>
      <c r="H24" s="137"/>
      <c r="I24" s="137"/>
      <c r="J24" s="137"/>
      <c r="K24" s="137"/>
      <c r="L24" s="137"/>
      <c r="M24" s="137"/>
    </row>
    <row r="25" spans="2:13" x14ac:dyDescent="0.3">
      <c r="B25" s="137"/>
      <c r="C25" s="6"/>
      <c r="D25" s="6"/>
      <c r="E25" s="6"/>
      <c r="F25" s="137"/>
      <c r="G25" s="137"/>
      <c r="H25" s="137"/>
      <c r="I25" s="137"/>
      <c r="J25" s="137"/>
      <c r="K25" s="137"/>
      <c r="L25" s="137"/>
      <c r="M25" s="137"/>
    </row>
    <row r="26" spans="2:13" x14ac:dyDescent="0.3">
      <c r="B26" s="137"/>
      <c r="C26" s="6"/>
      <c r="D26" s="6"/>
      <c r="F26" s="137"/>
      <c r="G26" s="137"/>
      <c r="H26" s="137"/>
      <c r="I26" s="137"/>
      <c r="J26" s="137"/>
      <c r="K26" s="137"/>
      <c r="L26" s="137"/>
      <c r="M26" s="137"/>
    </row>
    <row r="27" spans="2:13" x14ac:dyDescent="0.3">
      <c r="B27" s="137"/>
      <c r="C27" s="6"/>
      <c r="D27" s="6"/>
      <c r="E27" s="6"/>
      <c r="F27" s="137"/>
      <c r="G27" s="137"/>
      <c r="H27" s="137"/>
      <c r="I27" s="137"/>
      <c r="J27" s="137"/>
      <c r="K27" s="137"/>
      <c r="L27" s="137"/>
      <c r="M27" s="137"/>
    </row>
    <row r="28" spans="2:13" x14ac:dyDescent="0.3">
      <c r="B28" s="137"/>
      <c r="C28" s="6"/>
      <c r="D28" s="6"/>
      <c r="E28" s="6"/>
      <c r="F28" s="137"/>
      <c r="G28" s="137"/>
      <c r="H28" s="137"/>
      <c r="I28" s="137"/>
      <c r="J28" s="137"/>
      <c r="K28" s="137"/>
      <c r="L28" s="137"/>
      <c r="M28" s="137"/>
    </row>
    <row r="29" spans="2:13" x14ac:dyDescent="0.3">
      <c r="B29" s="137"/>
      <c r="C29" s="6"/>
      <c r="D29" s="6"/>
      <c r="E29" s="6"/>
      <c r="F29" s="137"/>
      <c r="G29" s="137"/>
      <c r="H29" s="137"/>
      <c r="I29" s="137"/>
      <c r="J29" s="137"/>
      <c r="K29" s="137"/>
      <c r="L29" s="137"/>
      <c r="M29" s="137"/>
    </row>
    <row r="30" spans="2:13" x14ac:dyDescent="0.3">
      <c r="B30" s="137"/>
      <c r="C30" s="6"/>
      <c r="D30" s="6"/>
      <c r="E30" s="6"/>
      <c r="F30" s="137"/>
      <c r="G30" s="137"/>
      <c r="H30" s="137"/>
      <c r="I30" s="137"/>
      <c r="J30" s="137"/>
      <c r="K30" s="137"/>
      <c r="L30" s="137"/>
      <c r="M30" s="137"/>
    </row>
    <row r="31" spans="2:13" x14ac:dyDescent="0.3">
      <c r="B31" s="137"/>
      <c r="C31" s="6"/>
      <c r="D31" s="6"/>
      <c r="E31" s="6"/>
      <c r="F31" s="137"/>
      <c r="G31" s="137"/>
      <c r="H31" s="137"/>
      <c r="I31" s="137"/>
      <c r="J31" s="137"/>
      <c r="K31" s="137"/>
      <c r="L31" s="137"/>
      <c r="M31" s="137"/>
    </row>
    <row r="32" spans="2:13" x14ac:dyDescent="0.3">
      <c r="B32" s="137"/>
      <c r="C32" s="6"/>
      <c r="D32" s="6"/>
      <c r="E32" s="6"/>
      <c r="F32" s="137"/>
      <c r="G32" s="137"/>
      <c r="H32" s="137"/>
      <c r="I32" s="137"/>
      <c r="J32" s="137"/>
      <c r="K32" s="137"/>
      <c r="L32" s="137"/>
      <c r="M32" s="137"/>
    </row>
    <row r="33" spans="2:13" x14ac:dyDescent="0.3">
      <c r="B33" s="137"/>
      <c r="C33" s="6"/>
      <c r="D33" s="6"/>
      <c r="E33" s="6"/>
      <c r="F33" s="137"/>
      <c r="G33" s="137"/>
      <c r="H33" s="137"/>
      <c r="I33" s="137"/>
      <c r="J33" s="137"/>
      <c r="K33" s="137"/>
      <c r="L33" s="137"/>
      <c r="M33" s="137"/>
    </row>
    <row r="34" spans="2:13" x14ac:dyDescent="0.3">
      <c r="B34" s="137"/>
      <c r="C34" s="6"/>
      <c r="D34" s="6"/>
      <c r="E34" s="6"/>
      <c r="F34" s="137"/>
      <c r="G34" s="137"/>
      <c r="H34" s="137"/>
      <c r="I34" s="137"/>
      <c r="J34" s="137"/>
      <c r="K34" s="137"/>
      <c r="L34" s="137"/>
      <c r="M34" s="137"/>
    </row>
    <row r="35" spans="2:13" x14ac:dyDescent="0.3">
      <c r="B35" s="137"/>
      <c r="C35" s="6"/>
      <c r="D35" s="6"/>
      <c r="E35" s="6"/>
      <c r="F35" s="137"/>
      <c r="G35" s="137"/>
      <c r="H35" s="137"/>
      <c r="I35" s="137"/>
      <c r="J35" s="137"/>
      <c r="K35" s="137"/>
      <c r="L35" s="137"/>
      <c r="M35" s="137"/>
    </row>
    <row r="36" spans="2:13" x14ac:dyDescent="0.3">
      <c r="B36" s="137"/>
      <c r="C36" s="6"/>
      <c r="D36" s="6"/>
      <c r="E36" s="6"/>
      <c r="F36" s="137"/>
      <c r="G36" s="137"/>
      <c r="H36" s="137"/>
      <c r="I36" s="137"/>
      <c r="J36" s="137"/>
      <c r="K36" s="137"/>
      <c r="L36" s="137"/>
      <c r="M36" s="137"/>
    </row>
    <row r="37" spans="2:13" x14ac:dyDescent="0.3">
      <c r="B37" s="137"/>
      <c r="C37" s="6"/>
      <c r="D37" s="6"/>
      <c r="E37" s="6"/>
      <c r="F37" s="137"/>
      <c r="G37" s="137"/>
      <c r="H37" s="137"/>
      <c r="I37" s="137"/>
      <c r="J37" s="137"/>
      <c r="K37" s="137"/>
      <c r="L37" s="137"/>
      <c r="M37" s="137"/>
    </row>
    <row r="38" spans="2:13" x14ac:dyDescent="0.3">
      <c r="B38" s="137"/>
      <c r="C38" s="6"/>
      <c r="D38" s="6"/>
      <c r="E38" s="6"/>
      <c r="F38" s="137"/>
      <c r="G38" s="137"/>
      <c r="H38" s="137"/>
      <c r="I38" s="137"/>
      <c r="J38" s="137"/>
      <c r="K38" s="137"/>
      <c r="L38" s="137"/>
      <c r="M38" s="137"/>
    </row>
    <row r="39" spans="2:13" x14ac:dyDescent="0.3">
      <c r="B39" s="137"/>
      <c r="C39" s="6"/>
      <c r="D39" s="6"/>
      <c r="E39" s="6"/>
      <c r="F39" s="137"/>
      <c r="G39" s="137"/>
      <c r="H39" s="137"/>
      <c r="I39" s="137"/>
      <c r="J39" s="137"/>
      <c r="K39" s="137"/>
      <c r="L39" s="137"/>
      <c r="M39" s="137"/>
    </row>
    <row r="40" spans="2:13" x14ac:dyDescent="0.3">
      <c r="B40" s="137"/>
      <c r="C40" s="6"/>
      <c r="D40" s="6"/>
      <c r="E40" s="6"/>
      <c r="F40" s="137"/>
      <c r="G40" s="137"/>
      <c r="H40" s="137"/>
      <c r="I40" s="137"/>
      <c r="J40" s="137"/>
      <c r="K40" s="137"/>
      <c r="L40" s="137"/>
      <c r="M40" s="137"/>
    </row>
  </sheetData>
  <mergeCells count="1">
    <mergeCell ref="C2:G2"/>
  </mergeCells>
  <conditionalFormatting sqref="B6:M6">
    <cfRule type="expression" dxfId="4" priority="1">
      <formula>$I6="close"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E7EA1-1111-4FFD-AF13-E87186E09D9E}">
  <sheetPr codeName="Feuil18">
    <tabColor theme="4" tint="0.59999389629810485"/>
    <pageSetUpPr fitToPage="1"/>
  </sheetPr>
  <dimension ref="A1:P152"/>
  <sheetViews>
    <sheetView showGridLines="0" showRowColHeaders="0" zoomScale="60" zoomScaleNormal="60" workbookViewId="0">
      <selection activeCell="R23" sqref="R23"/>
    </sheetView>
  </sheetViews>
  <sheetFormatPr baseColWidth="10" defaultRowHeight="13.8" x14ac:dyDescent="0.25"/>
  <cols>
    <col min="1" max="1" width="5.44140625" style="240" customWidth="1"/>
    <col min="2" max="2" width="15.5546875" style="240" customWidth="1"/>
    <col min="3" max="3" width="5.77734375" style="240" customWidth="1"/>
    <col min="4" max="4" width="12.21875" style="240" customWidth="1"/>
    <col min="5" max="5" width="17.21875" style="240" customWidth="1"/>
    <col min="6" max="6" width="10.44140625" style="240" customWidth="1"/>
    <col min="7" max="7" width="16.5546875" style="240" customWidth="1"/>
    <col min="8" max="8" width="2.6640625" style="240" customWidth="1"/>
    <col min="9" max="9" width="11.6640625" style="240" customWidth="1"/>
    <col min="10" max="10" width="7.5546875" style="240" customWidth="1"/>
    <col min="11" max="11" width="10.5546875" style="240" customWidth="1"/>
    <col min="12" max="12" width="16" style="240" customWidth="1"/>
    <col min="13" max="13" width="16.44140625" style="240" customWidth="1"/>
    <col min="14" max="14" width="16.21875" style="240" customWidth="1"/>
    <col min="15" max="15" width="16.77734375" style="240" customWidth="1"/>
    <col min="16" max="16" width="2.33203125" style="240" customWidth="1"/>
    <col min="17" max="16384" width="11.5546875" style="240"/>
  </cols>
  <sheetData>
    <row r="1" spans="1:16" ht="14.4" thickBot="1" x14ac:dyDescent="0.3">
      <c r="A1" s="239"/>
      <c r="B1" s="239"/>
      <c r="C1" s="239"/>
      <c r="D1" s="239"/>
      <c r="E1" s="239"/>
      <c r="F1" s="239"/>
      <c r="G1" s="239"/>
      <c r="H1" s="239"/>
      <c r="I1" s="239"/>
      <c r="J1" s="239"/>
      <c r="K1" s="239"/>
      <c r="L1" s="239"/>
      <c r="M1" s="239"/>
      <c r="N1" s="239"/>
      <c r="O1" s="239"/>
      <c r="P1" s="239"/>
    </row>
    <row r="2" spans="1:16" ht="16.8" customHeight="1" x14ac:dyDescent="0.25">
      <c r="A2" s="234"/>
      <c r="B2" s="241"/>
      <c r="C2" s="242"/>
      <c r="D2" s="242"/>
      <c r="E2" s="242"/>
      <c r="F2" s="288" t="s">
        <v>270</v>
      </c>
      <c r="G2" s="288"/>
      <c r="H2" s="288"/>
      <c r="I2" s="288"/>
      <c r="J2" s="288"/>
      <c r="K2" s="288"/>
      <c r="L2" s="288"/>
      <c r="M2" s="288"/>
      <c r="N2" s="288"/>
      <c r="O2" s="89"/>
    </row>
    <row r="3" spans="1:16" ht="16.8" customHeight="1" x14ac:dyDescent="0.25">
      <c r="A3" s="234"/>
      <c r="B3" s="230"/>
      <c r="C3" s="111"/>
      <c r="D3" s="111"/>
      <c r="E3" s="111"/>
      <c r="F3" s="289"/>
      <c r="G3" s="289"/>
      <c r="H3" s="289"/>
      <c r="I3" s="289"/>
      <c r="J3" s="289"/>
      <c r="K3" s="289"/>
      <c r="L3" s="289"/>
      <c r="M3" s="289"/>
      <c r="N3" s="289"/>
      <c r="O3" s="90"/>
    </row>
    <row r="4" spans="1:16" ht="17.399999999999999" customHeight="1" x14ac:dyDescent="0.25">
      <c r="A4" s="234"/>
      <c r="B4" s="230"/>
      <c r="C4" s="111"/>
      <c r="D4" s="111"/>
      <c r="E4" s="111"/>
      <c r="F4" s="289"/>
      <c r="G4" s="289"/>
      <c r="H4" s="289"/>
      <c r="I4" s="289"/>
      <c r="J4" s="289"/>
      <c r="K4" s="289"/>
      <c r="L4" s="289"/>
      <c r="M4" s="289"/>
      <c r="N4" s="289"/>
      <c r="O4" s="90"/>
    </row>
    <row r="5" spans="1:16" x14ac:dyDescent="0.25">
      <c r="A5" s="234"/>
      <c r="B5" s="230"/>
      <c r="C5" s="111"/>
      <c r="D5" s="111"/>
      <c r="E5" s="111"/>
      <c r="F5" s="111"/>
      <c r="G5" s="292" t="s">
        <v>271</v>
      </c>
      <c r="H5" s="292"/>
      <c r="I5" s="292"/>
      <c r="J5" s="95"/>
      <c r="K5" s="111"/>
      <c r="L5" s="111"/>
      <c r="M5" s="163"/>
      <c r="N5" s="111"/>
      <c r="O5" s="231"/>
    </row>
    <row r="6" spans="1:16" x14ac:dyDescent="0.25">
      <c r="A6" s="234"/>
      <c r="B6" s="230"/>
      <c r="C6" s="111"/>
      <c r="D6" s="111"/>
      <c r="E6" s="111"/>
      <c r="F6" s="111"/>
      <c r="G6" s="114"/>
      <c r="H6" s="114"/>
      <c r="I6" s="114"/>
      <c r="J6" s="114"/>
      <c r="K6" s="111"/>
      <c r="L6" s="111"/>
      <c r="M6" s="163"/>
      <c r="N6" s="111"/>
      <c r="O6" s="231"/>
    </row>
    <row r="7" spans="1:16" x14ac:dyDescent="0.25">
      <c r="A7" s="234"/>
      <c r="B7" s="230"/>
      <c r="C7" s="111"/>
      <c r="D7" s="111"/>
      <c r="E7" s="111"/>
      <c r="F7" s="111"/>
      <c r="G7" s="114"/>
      <c r="H7" s="114"/>
      <c r="I7" s="114"/>
      <c r="J7" s="114"/>
      <c r="K7" s="111"/>
      <c r="L7" s="111"/>
      <c r="M7" s="114"/>
      <c r="N7" s="111"/>
      <c r="O7" s="231"/>
      <c r="P7" s="111"/>
    </row>
    <row r="8" spans="1:16" ht="15.6" thickBot="1" x14ac:dyDescent="0.3">
      <c r="A8" s="234"/>
      <c r="B8" s="235"/>
      <c r="C8" s="236"/>
      <c r="D8" s="236"/>
      <c r="E8" s="236"/>
      <c r="F8" s="236"/>
      <c r="G8" s="26"/>
      <c r="H8" s="26"/>
      <c r="I8" s="26"/>
      <c r="J8" s="26"/>
      <c r="K8" s="236"/>
      <c r="L8" s="236"/>
      <c r="M8" s="26"/>
      <c r="N8" s="172" t="s">
        <v>551</v>
      </c>
      <c r="O8" s="173" t="s">
        <v>566</v>
      </c>
    </row>
    <row r="9" spans="1:16" x14ac:dyDescent="0.25">
      <c r="A9" s="234"/>
      <c r="B9" s="111"/>
      <c r="C9" s="111"/>
      <c r="D9" s="111"/>
      <c r="E9" s="111"/>
      <c r="F9" s="111"/>
      <c r="G9" s="114"/>
      <c r="H9" s="114"/>
      <c r="I9" s="114"/>
      <c r="J9" s="114"/>
      <c r="K9" s="111"/>
      <c r="L9" s="111"/>
      <c r="M9" s="114"/>
      <c r="N9" s="114"/>
      <c r="O9" s="114"/>
    </row>
    <row r="10" spans="1:16" ht="15" x14ac:dyDescent="0.25">
      <c r="A10" s="183"/>
      <c r="B10" s="243"/>
      <c r="C10" s="243"/>
      <c r="D10" s="243"/>
      <c r="E10" s="243"/>
      <c r="F10" s="243"/>
      <c r="G10" s="243"/>
      <c r="H10" s="243"/>
      <c r="I10" s="243"/>
      <c r="J10" s="243"/>
      <c r="K10" s="243"/>
      <c r="L10" s="243"/>
      <c r="M10" s="243"/>
      <c r="N10" s="243"/>
      <c r="O10" s="243"/>
    </row>
    <row r="11" spans="1:16" ht="17.399999999999999" x14ac:dyDescent="0.3">
      <c r="A11" s="183"/>
      <c r="B11" s="138" t="s">
        <v>272</v>
      </c>
      <c r="C11" s="290" t="s">
        <v>336</v>
      </c>
      <c r="D11" s="290"/>
      <c r="E11" s="290"/>
      <c r="F11" s="244"/>
      <c r="G11" s="244"/>
      <c r="H11" s="243"/>
      <c r="I11" s="243"/>
      <c r="J11" s="243"/>
      <c r="K11" s="243"/>
      <c r="L11" s="138" t="s">
        <v>273</v>
      </c>
      <c r="M11" s="243"/>
      <c r="N11" s="291">
        <f ca="1">TODAY()</f>
        <v>43828</v>
      </c>
      <c r="O11" s="291"/>
    </row>
    <row r="12" spans="1:16" ht="15" x14ac:dyDescent="0.25">
      <c r="A12" s="183"/>
      <c r="B12" s="144" t="s">
        <v>274</v>
      </c>
      <c r="C12" s="141"/>
      <c r="D12" s="141"/>
      <c r="E12" s="141"/>
      <c r="F12" s="141"/>
      <c r="G12" s="141"/>
      <c r="H12" s="243"/>
      <c r="I12" s="243"/>
      <c r="J12" s="243"/>
      <c r="K12" s="243"/>
      <c r="L12" s="144" t="s">
        <v>275</v>
      </c>
      <c r="M12" s="243"/>
      <c r="N12" s="243"/>
      <c r="O12" s="243"/>
    </row>
    <row r="13" spans="1:16" ht="15.6" x14ac:dyDescent="0.3">
      <c r="A13" s="183"/>
      <c r="B13" s="138" t="s">
        <v>276</v>
      </c>
      <c r="C13" s="303" t="str">
        <f>VLOOKUP(C11,REGLAGE!B16:G23,2,FALSE)</f>
        <v>Agence Alsace BP 10</v>
      </c>
      <c r="D13" s="303"/>
      <c r="E13" s="303"/>
      <c r="F13" s="245"/>
      <c r="G13" s="245"/>
      <c r="H13" s="243"/>
      <c r="I13" s="243"/>
      <c r="J13" s="243"/>
      <c r="K13" s="243"/>
      <c r="L13" s="138" t="s">
        <v>277</v>
      </c>
      <c r="M13" s="141"/>
      <c r="N13" s="184" t="str">
        <f>O8</f>
        <v>MC-2019-007</v>
      </c>
    </row>
    <row r="14" spans="1:16" ht="15.6" x14ac:dyDescent="0.25">
      <c r="A14" s="183"/>
      <c r="B14" s="144" t="s">
        <v>278</v>
      </c>
      <c r="C14" s="303" t="str">
        <f>VLOOKUP(C11,REGLAGE!B16:G23,3,FALSE)</f>
        <v>67230 BENFELD</v>
      </c>
      <c r="D14" s="303"/>
      <c r="E14" s="303"/>
      <c r="F14" s="245"/>
      <c r="G14" s="245"/>
      <c r="H14" s="243"/>
      <c r="I14" s="243"/>
      <c r="J14" s="243"/>
      <c r="K14" s="243"/>
      <c r="L14" s="139" t="s">
        <v>279</v>
      </c>
      <c r="M14" s="243"/>
      <c r="N14" s="243"/>
      <c r="O14" s="243"/>
    </row>
    <row r="15" spans="1:16" ht="15.6" x14ac:dyDescent="0.3">
      <c r="A15" s="183"/>
      <c r="B15" s="243"/>
      <c r="C15" s="138"/>
      <c r="D15" s="243"/>
      <c r="E15" s="243"/>
      <c r="F15" s="243"/>
      <c r="G15" s="243"/>
      <c r="H15" s="243"/>
      <c r="I15" s="243"/>
      <c r="J15" s="243"/>
      <c r="K15" s="243"/>
      <c r="L15" s="138" t="s">
        <v>280</v>
      </c>
      <c r="M15" s="181"/>
      <c r="N15" s="287" t="s">
        <v>246</v>
      </c>
      <c r="O15" s="287"/>
    </row>
    <row r="16" spans="1:16" ht="15" x14ac:dyDescent="0.25">
      <c r="A16" s="183"/>
      <c r="B16" s="243"/>
      <c r="C16" s="243"/>
      <c r="D16" s="243"/>
      <c r="E16" s="243"/>
      <c r="F16" s="243"/>
      <c r="G16" s="243"/>
      <c r="H16" s="243"/>
      <c r="I16" s="243"/>
      <c r="J16" s="243"/>
      <c r="K16" s="243"/>
      <c r="L16" s="144" t="s">
        <v>281</v>
      </c>
      <c r="M16" s="243"/>
      <c r="N16" s="243"/>
      <c r="O16" s="243"/>
    </row>
    <row r="17" spans="1:16" ht="15.6" x14ac:dyDescent="0.3">
      <c r="A17" s="183"/>
      <c r="B17" s="138" t="s">
        <v>282</v>
      </c>
      <c r="C17" s="302">
        <f>VLOOKUP(C11,REGLAGE!B16:G23,4,FALSE)</f>
        <v>388574130</v>
      </c>
      <c r="D17" s="300"/>
      <c r="E17" s="140"/>
      <c r="F17" s="138" t="s">
        <v>283</v>
      </c>
      <c r="G17" s="301">
        <f>VLOOKUP(C11,REGLAGE!B16:G23,5,FALSE)</f>
        <v>388574278</v>
      </c>
      <c r="H17" s="282"/>
      <c r="I17" s="282"/>
      <c r="J17" s="138"/>
      <c r="K17" s="243"/>
      <c r="L17" s="138"/>
      <c r="M17" s="243"/>
      <c r="N17" s="243"/>
      <c r="O17" s="243"/>
    </row>
    <row r="18" spans="1:16" ht="17.399999999999999" x14ac:dyDescent="0.3">
      <c r="A18" s="183"/>
      <c r="B18" s="144" t="s">
        <v>284</v>
      </c>
      <c r="C18" s="142"/>
      <c r="D18" s="142"/>
      <c r="E18" s="142"/>
      <c r="F18" s="144" t="s">
        <v>285</v>
      </c>
      <c r="G18" s="141"/>
      <c r="H18" s="142"/>
      <c r="I18" s="142"/>
      <c r="J18" s="142"/>
      <c r="K18" s="243"/>
      <c r="L18" s="138" t="s">
        <v>286</v>
      </c>
      <c r="M18" s="283" t="s">
        <v>591</v>
      </c>
      <c r="N18" s="283"/>
      <c r="O18" s="283"/>
    </row>
    <row r="19" spans="1:16" ht="15" x14ac:dyDescent="0.25">
      <c r="A19" s="183"/>
      <c r="B19" s="243"/>
      <c r="C19" s="243"/>
      <c r="D19" s="243"/>
      <c r="E19" s="243"/>
      <c r="F19" s="243"/>
      <c r="G19" s="243"/>
      <c r="H19" s="243"/>
      <c r="I19" s="243"/>
      <c r="J19" s="243"/>
      <c r="K19" s="243"/>
      <c r="L19" s="144" t="s">
        <v>287</v>
      </c>
      <c r="M19" s="243"/>
      <c r="N19" s="243"/>
      <c r="O19" s="243"/>
    </row>
    <row r="20" spans="1:16" ht="15.6" x14ac:dyDescent="0.3">
      <c r="A20" s="183"/>
      <c r="B20" s="138" t="s">
        <v>288</v>
      </c>
      <c r="C20" s="138"/>
      <c r="D20" s="138"/>
      <c r="E20" s="138"/>
      <c r="F20" s="138" t="s">
        <v>289</v>
      </c>
      <c r="G20" s="138" t="s">
        <v>290</v>
      </c>
      <c r="H20" s="243"/>
      <c r="I20" s="141"/>
      <c r="J20" s="243"/>
      <c r="K20" s="243"/>
      <c r="L20" s="138"/>
      <c r="M20" s="284" t="str">
        <f>VLOOKUP(M18,REGLAGE!B5:G10,2,1)</f>
        <v>22, route de MAIRE</v>
      </c>
      <c r="N20" s="284"/>
      <c r="O20" s="284"/>
    </row>
    <row r="21" spans="1:16" ht="15.6" x14ac:dyDescent="0.3">
      <c r="A21" s="183"/>
      <c r="B21" s="144" t="s">
        <v>291</v>
      </c>
      <c r="C21" s="142"/>
      <c r="D21" s="143"/>
      <c r="E21" s="143"/>
      <c r="F21" s="144" t="s">
        <v>292</v>
      </c>
      <c r="G21" s="138" t="s">
        <v>293</v>
      </c>
      <c r="H21" s="243"/>
      <c r="I21" s="141"/>
      <c r="J21" s="243"/>
      <c r="K21" s="243"/>
      <c r="L21" s="142"/>
      <c r="M21" s="285" t="str">
        <f>VLOOKUP(M18,REGLAGE!B5:G10,3,1)</f>
        <v>68750 BERG</v>
      </c>
      <c r="N21" s="285"/>
      <c r="O21" s="285"/>
    </row>
    <row r="22" spans="1:16" ht="15.6" x14ac:dyDescent="0.3">
      <c r="A22" s="183"/>
      <c r="B22" s="139"/>
      <c r="C22" s="142"/>
      <c r="D22" s="143"/>
      <c r="E22" s="143"/>
      <c r="F22" s="139"/>
      <c r="G22" s="138"/>
      <c r="H22" s="243"/>
      <c r="I22" s="141"/>
      <c r="J22" s="243"/>
      <c r="K22" s="243"/>
      <c r="L22" s="142"/>
      <c r="M22" s="183"/>
      <c r="N22" s="183"/>
      <c r="O22" s="183"/>
    </row>
    <row r="23" spans="1:16" ht="15.6" x14ac:dyDescent="0.3">
      <c r="A23" s="183"/>
      <c r="B23" s="139"/>
      <c r="C23" s="142"/>
      <c r="D23" s="143"/>
      <c r="E23" s="143"/>
      <c r="F23" s="139"/>
      <c r="G23" s="138"/>
      <c r="H23" s="243"/>
      <c r="I23" s="141"/>
      <c r="J23" s="243"/>
      <c r="K23" s="243"/>
      <c r="L23" s="142"/>
      <c r="M23" s="183"/>
      <c r="N23" s="183"/>
      <c r="O23" s="183"/>
    </row>
    <row r="24" spans="1:16" ht="14.4" thickBot="1" x14ac:dyDescent="0.3">
      <c r="A24" s="234"/>
    </row>
    <row r="25" spans="1:16" x14ac:dyDescent="0.25">
      <c r="A25" s="234"/>
      <c r="B25" s="241"/>
      <c r="C25" s="242"/>
      <c r="D25" s="242"/>
      <c r="E25" s="242"/>
      <c r="F25" s="242"/>
      <c r="G25" s="242"/>
      <c r="H25" s="29"/>
      <c r="I25" s="29"/>
      <c r="J25" s="29"/>
      <c r="K25" s="242"/>
      <c r="L25" s="241"/>
      <c r="M25" s="242"/>
      <c r="N25" s="242"/>
      <c r="O25" s="246"/>
    </row>
    <row r="26" spans="1:16" ht="17.399999999999999" x14ac:dyDescent="0.3">
      <c r="A26" s="234"/>
      <c r="B26" s="230"/>
      <c r="E26" s="247"/>
      <c r="F26" s="182" t="s">
        <v>294</v>
      </c>
      <c r="H26" s="30"/>
      <c r="I26" s="30"/>
      <c r="J26" s="30"/>
      <c r="L26" s="230"/>
      <c r="M26" s="203" t="s">
        <v>295</v>
      </c>
      <c r="N26" s="24"/>
      <c r="O26" s="31"/>
    </row>
    <row r="27" spans="1:16" x14ac:dyDescent="0.25">
      <c r="A27" s="234"/>
      <c r="B27" s="230"/>
      <c r="C27" s="248"/>
      <c r="D27" s="248"/>
      <c r="E27" s="248"/>
      <c r="F27" s="145" t="s">
        <v>296</v>
      </c>
      <c r="H27" s="30"/>
      <c r="I27" s="30"/>
      <c r="J27" s="30"/>
      <c r="L27" s="230"/>
      <c r="M27" s="144" t="s">
        <v>297</v>
      </c>
      <c r="N27" s="25"/>
      <c r="O27" s="32"/>
    </row>
    <row r="28" spans="1:16" ht="14.4" thickBot="1" x14ac:dyDescent="0.3">
      <c r="A28" s="234"/>
      <c r="B28" s="235"/>
      <c r="C28" s="236"/>
      <c r="D28" s="236"/>
      <c r="E28" s="236"/>
      <c r="F28" s="236"/>
      <c r="G28" s="236"/>
      <c r="H28" s="33"/>
      <c r="I28" s="33"/>
      <c r="J28" s="33"/>
      <c r="K28" s="236"/>
      <c r="L28" s="235"/>
      <c r="M28" s="26"/>
      <c r="N28" s="26"/>
      <c r="O28" s="27"/>
    </row>
    <row r="29" spans="1:16" x14ac:dyDescent="0.25">
      <c r="A29" s="234"/>
      <c r="B29" s="241"/>
      <c r="C29" s="242"/>
      <c r="D29" s="242"/>
      <c r="E29" s="242"/>
      <c r="F29" s="42"/>
      <c r="G29" s="242"/>
      <c r="H29" s="42"/>
      <c r="I29" s="96"/>
      <c r="J29" s="35"/>
      <c r="K29" s="230"/>
      <c r="L29" s="230"/>
      <c r="M29" s="36"/>
      <c r="N29" s="36"/>
      <c r="O29" s="37"/>
    </row>
    <row r="30" spans="1:16" ht="16.8" x14ac:dyDescent="0.3">
      <c r="A30" s="234"/>
      <c r="B30" s="204" t="s">
        <v>298</v>
      </c>
      <c r="C30" s="97"/>
      <c r="D30" s="97"/>
      <c r="E30" s="97"/>
      <c r="F30" s="97"/>
      <c r="G30" s="97"/>
      <c r="H30" s="97"/>
      <c r="I30" s="98"/>
      <c r="J30" s="205" t="s">
        <v>299</v>
      </c>
      <c r="K30" s="204" t="s">
        <v>300</v>
      </c>
      <c r="L30" s="204" t="s">
        <v>301</v>
      </c>
      <c r="M30" s="204" t="s">
        <v>302</v>
      </c>
      <c r="N30" s="204" t="s">
        <v>303</v>
      </c>
      <c r="O30" s="205" t="s">
        <v>304</v>
      </c>
      <c r="P30" s="30"/>
    </row>
    <row r="31" spans="1:16" x14ac:dyDescent="0.25">
      <c r="A31" s="234"/>
      <c r="B31" s="146" t="s">
        <v>305</v>
      </c>
      <c r="C31" s="99"/>
      <c r="D31" s="99"/>
      <c r="E31" s="99"/>
      <c r="F31" s="99"/>
      <c r="G31" s="99"/>
      <c r="H31" s="99"/>
      <c r="I31" s="100"/>
      <c r="J31" s="147" t="s">
        <v>306</v>
      </c>
      <c r="K31" s="249" t="s">
        <v>307</v>
      </c>
      <c r="L31" s="146" t="s">
        <v>308</v>
      </c>
      <c r="M31" s="146" t="s">
        <v>309</v>
      </c>
      <c r="N31" s="148" t="s">
        <v>310</v>
      </c>
      <c r="O31" s="165" t="s">
        <v>311</v>
      </c>
      <c r="P31" s="34"/>
    </row>
    <row r="32" spans="1:16" ht="14.4" thickBot="1" x14ac:dyDescent="0.3">
      <c r="A32" s="234"/>
      <c r="B32" s="38"/>
      <c r="C32" s="99"/>
      <c r="D32" s="99"/>
      <c r="E32" s="99"/>
      <c r="F32" s="99"/>
      <c r="G32" s="99"/>
      <c r="H32" s="99"/>
      <c r="I32" s="100"/>
      <c r="J32" s="39"/>
      <c r="K32" s="250"/>
      <c r="L32" s="38"/>
      <c r="M32" s="38"/>
      <c r="N32" s="38"/>
      <c r="O32" s="40"/>
      <c r="P32" s="34"/>
    </row>
    <row r="33" spans="1:15" ht="15" x14ac:dyDescent="0.25">
      <c r="A33" s="41">
        <f>IF(C33&lt;&gt;"",ROW()-32,"")</f>
        <v>1</v>
      </c>
      <c r="B33" s="206">
        <f t="array" ref="B33">IFERROR(INDEX(Tableau49[reference],SMALL(IF(Tableau49[[N° BON DE COMMANDE ]]='BON DE COMMANDE'!$O$8,ROW(Tableau49[reference])-5),ROW()-32)),"")</f>
        <v>0</v>
      </c>
      <c r="C33" s="207">
        <f t="array" ref="C33">IFERROR(INDEX(Tableau49[description],SMALL(IF(Tableau49[[N° BON DE COMMANDE ]]='BON DE COMMANDE'!$O$8,ROW(Tableau49[reference])-5),ROW()-32)),"")</f>
        <v>0</v>
      </c>
      <c r="D33" s="208"/>
      <c r="E33" s="208"/>
      <c r="F33" s="208"/>
      <c r="G33" s="208"/>
      <c r="H33" s="208"/>
      <c r="I33" s="209"/>
      <c r="J33" s="167"/>
      <c r="K33" s="206">
        <f t="array" ref="K33">IFERROR(INDEX(Tableau49[QUANTITE],SMALL(IF(Tableau49[[N° BON DE COMMANDE ]]='BON DE COMMANDE'!$O$8,ROW(Tableau49[reference])-5),ROW()-32)),"")</f>
        <v>0</v>
      </c>
      <c r="L33" s="210"/>
      <c r="M33" s="211">
        <f>IFERROR(N33*K33," ")</f>
        <v>0</v>
      </c>
      <c r="N33" s="212">
        <f t="shared" ref="N33:N55" si="0">L33-(L33*(O33))</f>
        <v>0</v>
      </c>
      <c r="O33" s="213"/>
    </row>
    <row r="34" spans="1:15" ht="15" x14ac:dyDescent="0.25">
      <c r="A34" s="41" t="str">
        <f t="shared" ref="A34:A62" si="1">IF(C34&lt;&gt;"",ROW()-32,"")</f>
        <v/>
      </c>
      <c r="B34" s="214" t="str">
        <f t="array" ref="B34">IFERROR(INDEX(Tableau49[reference],SMALL(IF(Tableau49[[N° BON DE COMMANDE ]]='BON DE COMMANDE'!$O$8,ROW(Tableau49[reference])-5),ROW()-32)),"")</f>
        <v/>
      </c>
      <c r="C34" s="215" t="str">
        <f t="array" ref="C34">IFERROR(INDEX(Tableau49[description],SMALL(IF(Tableau49[[N° BON DE COMMANDE ]]='BON DE COMMANDE'!$O$8,ROW(Tableau49[reference])-5),ROW()-32)),"")</f>
        <v/>
      </c>
      <c r="D34" s="216"/>
      <c r="E34" s="216"/>
      <c r="F34" s="216"/>
      <c r="G34" s="216"/>
      <c r="H34" s="216"/>
      <c r="I34" s="217"/>
      <c r="J34" s="168"/>
      <c r="K34" s="214" t="str">
        <f t="array" ref="K34">IFERROR(INDEX(Tableau49[QUANTITE],SMALL(IF(Tableau49[[N° BON DE COMMANDE ]]='BON DE COMMANDE'!$O$8,ROW(Tableau49[reference])-5),ROW()-32)),"")</f>
        <v/>
      </c>
      <c r="L34" s="218"/>
      <c r="M34" s="219" t="str">
        <f t="shared" ref="M34:M62" si="2">IFERROR(N34*K34," ")</f>
        <v xml:space="preserve"> </v>
      </c>
      <c r="N34" s="220">
        <f t="shared" si="0"/>
        <v>0</v>
      </c>
      <c r="O34" s="221"/>
    </row>
    <row r="35" spans="1:15" ht="15" x14ac:dyDescent="0.25">
      <c r="A35" s="41" t="str">
        <f t="shared" si="1"/>
        <v/>
      </c>
      <c r="B35" s="214" t="str">
        <f t="array" ref="B35">IFERROR(INDEX(Tableau49[reference],SMALL(IF(Tableau49[[N° BON DE COMMANDE ]]='BON DE COMMANDE'!$O$8,ROW(Tableau49[reference])-5),ROW()-32)),"")</f>
        <v/>
      </c>
      <c r="C35" s="215" t="str">
        <f t="array" ref="C35">IFERROR(INDEX(Tableau49[description],SMALL(IF(Tableau49[[N° BON DE COMMANDE ]]='BON DE COMMANDE'!$O$8,ROW(Tableau49[reference])-5),ROW()-32)),"")</f>
        <v/>
      </c>
      <c r="D35" s="216"/>
      <c r="E35" s="216"/>
      <c r="F35" s="216"/>
      <c r="G35" s="216"/>
      <c r="H35" s="216"/>
      <c r="I35" s="217"/>
      <c r="J35" s="168"/>
      <c r="K35" s="214" t="str">
        <f t="array" ref="K35">IFERROR(INDEX(Tableau49[QUANTITE],SMALL(IF(Tableau49[[N° BON DE COMMANDE ]]='BON DE COMMANDE'!$O$8,ROW(Tableau49[reference])-5),ROW()-32)),"")</f>
        <v/>
      </c>
      <c r="L35" s="218"/>
      <c r="M35" s="219" t="str">
        <f t="shared" si="2"/>
        <v xml:space="preserve"> </v>
      </c>
      <c r="N35" s="220">
        <f t="shared" si="0"/>
        <v>0</v>
      </c>
      <c r="O35" s="221"/>
    </row>
    <row r="36" spans="1:15" ht="15" x14ac:dyDescent="0.25">
      <c r="A36" s="41" t="str">
        <f t="shared" si="1"/>
        <v/>
      </c>
      <c r="B36" s="214" t="str">
        <f t="array" ref="B36">IFERROR(INDEX(Tableau49[reference],SMALL(IF(Tableau49[[N° BON DE COMMANDE ]]='BON DE COMMANDE'!$O$8,ROW(Tableau49[reference])-5),ROW()-32)),"")</f>
        <v/>
      </c>
      <c r="C36" s="215" t="str">
        <f t="array" ref="C36">IFERROR(INDEX(Tableau49[description],SMALL(IF(Tableau49[[N° BON DE COMMANDE ]]='BON DE COMMANDE'!$O$8,ROW(Tableau49[reference])-5),ROW()-32)),"")</f>
        <v/>
      </c>
      <c r="D36" s="216"/>
      <c r="E36" s="216"/>
      <c r="F36" s="216"/>
      <c r="G36" s="216"/>
      <c r="H36" s="216"/>
      <c r="I36" s="217"/>
      <c r="J36" s="168"/>
      <c r="K36" s="214" t="str">
        <f t="array" ref="K36">IFERROR(INDEX(Tableau49[QUANTITE],SMALL(IF(Tableau49[[N° BON DE COMMANDE ]]='BON DE COMMANDE'!$O$8,ROW(Tableau49[reference])-5),ROW()-32)),"")</f>
        <v/>
      </c>
      <c r="L36" s="218"/>
      <c r="M36" s="219" t="str">
        <f t="shared" si="2"/>
        <v xml:space="preserve"> </v>
      </c>
      <c r="N36" s="220">
        <f t="shared" si="0"/>
        <v>0</v>
      </c>
      <c r="O36" s="221"/>
    </row>
    <row r="37" spans="1:15" ht="15" x14ac:dyDescent="0.25">
      <c r="A37" s="41" t="str">
        <f t="shared" si="1"/>
        <v/>
      </c>
      <c r="B37" s="214" t="str">
        <f t="array" ref="B37">IFERROR(INDEX(Tableau49[reference],SMALL(IF(Tableau49[[N° BON DE COMMANDE ]]='BON DE COMMANDE'!$O$8,ROW(Tableau49[reference])-5),ROW()-32)),"")</f>
        <v/>
      </c>
      <c r="C37" s="215" t="str">
        <f t="array" ref="C37">IFERROR(INDEX(Tableau49[description],SMALL(IF(Tableau49[[N° BON DE COMMANDE ]]='BON DE COMMANDE'!$O$8,ROW(Tableau49[reference])-5),ROW()-32)),"")</f>
        <v/>
      </c>
      <c r="D37" s="216"/>
      <c r="E37" s="216"/>
      <c r="F37" s="216"/>
      <c r="G37" s="216"/>
      <c r="H37" s="216"/>
      <c r="I37" s="217"/>
      <c r="J37" s="168"/>
      <c r="K37" s="214" t="str">
        <f t="array" ref="K37">IFERROR(INDEX(Tableau49[QUANTITE],SMALL(IF(Tableau49[[N° BON DE COMMANDE ]]='BON DE COMMANDE'!$O$8,ROW(Tableau49[reference])-5),ROW()-32)),"")</f>
        <v/>
      </c>
      <c r="L37" s="218"/>
      <c r="M37" s="219" t="str">
        <f t="shared" si="2"/>
        <v xml:space="preserve"> </v>
      </c>
      <c r="N37" s="220">
        <f t="shared" si="0"/>
        <v>0</v>
      </c>
      <c r="O37" s="221"/>
    </row>
    <row r="38" spans="1:15" ht="15" x14ac:dyDescent="0.25">
      <c r="A38" s="41" t="str">
        <f t="shared" si="1"/>
        <v/>
      </c>
      <c r="B38" s="214" t="str">
        <f t="array" ref="B38">IFERROR(INDEX(Tableau49[reference],SMALL(IF(Tableau49[[N° BON DE COMMANDE ]]='BON DE COMMANDE'!$O$8,ROW(Tableau49[reference])-5),ROW()-32)),"")</f>
        <v/>
      </c>
      <c r="C38" s="215" t="str">
        <f t="array" ref="C38">IFERROR(INDEX(Tableau49[description],SMALL(IF(Tableau49[[N° BON DE COMMANDE ]]='BON DE COMMANDE'!$O$8,ROW(Tableau49[reference])-5),ROW()-32)),"")</f>
        <v/>
      </c>
      <c r="D38" s="216"/>
      <c r="E38" s="216"/>
      <c r="F38" s="216"/>
      <c r="G38" s="216"/>
      <c r="H38" s="216"/>
      <c r="I38" s="217"/>
      <c r="J38" s="168"/>
      <c r="K38" s="214" t="str">
        <f t="array" ref="K38">IFERROR(INDEX(Tableau49[QUANTITE],SMALL(IF(Tableau49[[N° BON DE COMMANDE ]]='BON DE COMMANDE'!$O$8,ROW(Tableau49[reference])-5),ROW()-32)),"")</f>
        <v/>
      </c>
      <c r="L38" s="218"/>
      <c r="M38" s="219" t="str">
        <f t="shared" si="2"/>
        <v xml:space="preserve"> </v>
      </c>
      <c r="N38" s="220">
        <f t="shared" si="0"/>
        <v>0</v>
      </c>
      <c r="O38" s="221"/>
    </row>
    <row r="39" spans="1:15" ht="15" x14ac:dyDescent="0.25">
      <c r="A39" s="41" t="str">
        <f t="shared" si="1"/>
        <v/>
      </c>
      <c r="B39" s="214" t="str">
        <f t="array" ref="B39">IFERROR(INDEX(Tableau49[reference],SMALL(IF(Tableau49[[N° BON DE COMMANDE ]]='BON DE COMMANDE'!$O$8,ROW(Tableau49[reference])-5),ROW()-32)),"")</f>
        <v/>
      </c>
      <c r="C39" s="215" t="str">
        <f t="array" ref="C39">IFERROR(INDEX(Tableau49[description],SMALL(IF(Tableau49[[N° BON DE COMMANDE ]]='BON DE COMMANDE'!$O$8,ROW(Tableau49[reference])-5),ROW()-32)),"")</f>
        <v/>
      </c>
      <c r="D39" s="216"/>
      <c r="E39" s="216"/>
      <c r="F39" s="216"/>
      <c r="G39" s="216"/>
      <c r="H39" s="216"/>
      <c r="I39" s="217"/>
      <c r="J39" s="168"/>
      <c r="K39" s="214" t="str">
        <f t="array" ref="K39">IFERROR(INDEX(Tableau49[QUANTITE],SMALL(IF(Tableau49[[N° BON DE COMMANDE ]]='BON DE COMMANDE'!$O$8,ROW(Tableau49[reference])-5),ROW()-32)),"")</f>
        <v/>
      </c>
      <c r="L39" s="218"/>
      <c r="M39" s="219" t="str">
        <f t="shared" si="2"/>
        <v xml:space="preserve"> </v>
      </c>
      <c r="N39" s="220">
        <f t="shared" si="0"/>
        <v>0</v>
      </c>
      <c r="O39" s="221"/>
    </row>
    <row r="40" spans="1:15" ht="15" x14ac:dyDescent="0.25">
      <c r="A40" s="41" t="str">
        <f t="shared" si="1"/>
        <v/>
      </c>
      <c r="B40" s="214" t="str">
        <f t="array" ref="B40">IFERROR(INDEX(Tableau49[reference],SMALL(IF(Tableau49[[N° BON DE COMMANDE ]]='BON DE COMMANDE'!$O$8,ROW(Tableau49[reference])-5),ROW()-32)),"")</f>
        <v/>
      </c>
      <c r="C40" s="215" t="str">
        <f t="array" ref="C40">IFERROR(INDEX(Tableau49[description],SMALL(IF(Tableau49[[N° BON DE COMMANDE ]]='BON DE COMMANDE'!$O$8,ROW(Tableau49[reference])-5),ROW()-32)),"")</f>
        <v/>
      </c>
      <c r="D40" s="216"/>
      <c r="E40" s="216"/>
      <c r="F40" s="216"/>
      <c r="G40" s="216"/>
      <c r="H40" s="216"/>
      <c r="I40" s="217"/>
      <c r="J40" s="168"/>
      <c r="K40" s="214" t="str">
        <f t="array" ref="K40">IFERROR(INDEX(Tableau49[QUANTITE],SMALL(IF(Tableau49[[N° BON DE COMMANDE ]]='BON DE COMMANDE'!$O$8,ROW(Tableau49[reference])-5),ROW()-32)),"")</f>
        <v/>
      </c>
      <c r="L40" s="218"/>
      <c r="M40" s="219" t="str">
        <f t="shared" si="2"/>
        <v xml:space="preserve"> </v>
      </c>
      <c r="N40" s="220">
        <f t="shared" si="0"/>
        <v>0</v>
      </c>
      <c r="O40" s="221"/>
    </row>
    <row r="41" spans="1:15" ht="15" x14ac:dyDescent="0.25">
      <c r="A41" s="41" t="str">
        <f t="shared" si="1"/>
        <v/>
      </c>
      <c r="B41" s="214" t="str">
        <f t="array" ref="B41">IFERROR(INDEX(Tableau49[reference],SMALL(IF(Tableau49[[N° BON DE COMMANDE ]]='BON DE COMMANDE'!$O$8,ROW(Tableau49[reference])-5),ROW()-32)),"")</f>
        <v/>
      </c>
      <c r="C41" s="215" t="str">
        <f t="array" ref="C41">IFERROR(INDEX(Tableau49[description],SMALL(IF(Tableau49[[N° BON DE COMMANDE ]]='BON DE COMMANDE'!$O$8,ROW(Tableau49[reference])-5),ROW()-32)),"")</f>
        <v/>
      </c>
      <c r="D41" s="216"/>
      <c r="E41" s="216"/>
      <c r="F41" s="216"/>
      <c r="G41" s="216"/>
      <c r="H41" s="216"/>
      <c r="I41" s="217"/>
      <c r="J41" s="168"/>
      <c r="K41" s="214" t="str">
        <f t="array" ref="K41">IFERROR(INDEX(Tableau49[QUANTITE],SMALL(IF(Tableau49[[N° BON DE COMMANDE ]]='BON DE COMMANDE'!$O$8,ROW(Tableau49[reference])-5),ROW()-32)),"")</f>
        <v/>
      </c>
      <c r="L41" s="218"/>
      <c r="M41" s="219" t="str">
        <f t="shared" si="2"/>
        <v xml:space="preserve"> </v>
      </c>
      <c r="N41" s="220">
        <f t="shared" si="0"/>
        <v>0</v>
      </c>
      <c r="O41" s="221"/>
    </row>
    <row r="42" spans="1:15" ht="15" x14ac:dyDescent="0.25">
      <c r="A42" s="41" t="str">
        <f t="shared" si="1"/>
        <v/>
      </c>
      <c r="B42" s="214" t="str">
        <f t="array" ref="B42">IFERROR(INDEX(Tableau49[reference],SMALL(IF(Tableau49[[N° BON DE COMMANDE ]]='BON DE COMMANDE'!$O$8,ROW(Tableau49[reference])-5),ROW()-32)),"")</f>
        <v/>
      </c>
      <c r="C42" s="215" t="str">
        <f t="array" ref="C42">IFERROR(INDEX(Tableau49[description],SMALL(IF(Tableau49[[N° BON DE COMMANDE ]]='BON DE COMMANDE'!$O$8,ROW(Tableau49[reference])-5),ROW()-32)),"")</f>
        <v/>
      </c>
      <c r="D42" s="216"/>
      <c r="E42" s="216"/>
      <c r="F42" s="216"/>
      <c r="G42" s="216"/>
      <c r="H42" s="216"/>
      <c r="I42" s="217"/>
      <c r="J42" s="168"/>
      <c r="K42" s="214" t="str">
        <f t="array" ref="K42">IFERROR(INDEX(Tableau49[QUANTITE],SMALL(IF(Tableau49[[N° BON DE COMMANDE ]]='BON DE COMMANDE'!$O$8,ROW(Tableau49[reference])-5),ROW()-32)),"")</f>
        <v/>
      </c>
      <c r="L42" s="218"/>
      <c r="M42" s="219" t="str">
        <f t="shared" si="2"/>
        <v xml:space="preserve"> </v>
      </c>
      <c r="N42" s="220">
        <f t="shared" si="0"/>
        <v>0</v>
      </c>
      <c r="O42" s="221"/>
    </row>
    <row r="43" spans="1:15" ht="15" x14ac:dyDescent="0.25">
      <c r="A43" s="41" t="str">
        <f t="shared" si="1"/>
        <v/>
      </c>
      <c r="B43" s="214" t="str">
        <f t="array" ref="B43">IFERROR(INDEX(Tableau49[reference],SMALL(IF(Tableau49[[N° BON DE COMMANDE ]]='BON DE COMMANDE'!$O$8,ROW(Tableau49[reference])-5),ROW()-32)),"")</f>
        <v/>
      </c>
      <c r="C43" s="215" t="str">
        <f t="array" ref="C43">IFERROR(INDEX(Tableau49[description],SMALL(IF(Tableau49[[N° BON DE COMMANDE ]]='BON DE COMMANDE'!$O$8,ROW(Tableau49[reference])-5),ROW()-32)),"")</f>
        <v/>
      </c>
      <c r="D43" s="216"/>
      <c r="E43" s="216"/>
      <c r="F43" s="216"/>
      <c r="G43" s="216"/>
      <c r="H43" s="216"/>
      <c r="I43" s="217"/>
      <c r="J43" s="168"/>
      <c r="K43" s="214" t="str">
        <f t="array" ref="K43">IFERROR(INDEX(Tableau49[QUANTITE],SMALL(IF(Tableau49[[N° BON DE COMMANDE ]]='BON DE COMMANDE'!$O$8,ROW(Tableau49[reference])-5),ROW()-32)),"")</f>
        <v/>
      </c>
      <c r="L43" s="222"/>
      <c r="M43" s="219" t="str">
        <f t="shared" si="2"/>
        <v xml:space="preserve"> </v>
      </c>
      <c r="N43" s="220">
        <f t="shared" si="0"/>
        <v>0</v>
      </c>
      <c r="O43" s="221"/>
    </row>
    <row r="44" spans="1:15" ht="15" x14ac:dyDescent="0.25">
      <c r="A44" s="41" t="str">
        <f t="shared" si="1"/>
        <v/>
      </c>
      <c r="B44" s="214" t="str">
        <f t="array" ref="B44">IFERROR(INDEX(Tableau49[reference],SMALL(IF(Tableau49[[N° BON DE COMMANDE ]]='BON DE COMMANDE'!$O$8,ROW(Tableau49[reference])-5),ROW()-32)),"")</f>
        <v/>
      </c>
      <c r="C44" s="215" t="str">
        <f t="array" ref="C44">IFERROR(INDEX(Tableau49[description],SMALL(IF(Tableau49[[N° BON DE COMMANDE ]]='BON DE COMMANDE'!$O$8,ROW(Tableau49[reference])-5),ROW()-32)),"")</f>
        <v/>
      </c>
      <c r="D44" s="216"/>
      <c r="E44" s="216"/>
      <c r="F44" s="216"/>
      <c r="G44" s="216"/>
      <c r="H44" s="216"/>
      <c r="I44" s="217"/>
      <c r="J44" s="168"/>
      <c r="K44" s="214" t="str">
        <f t="array" ref="K44">IFERROR(INDEX(Tableau49[QUANTITE],SMALL(IF(Tableau49[[N° BON DE COMMANDE ]]='BON DE COMMANDE'!$O$8,ROW(Tableau49[reference])-5),ROW()-32)),"")</f>
        <v/>
      </c>
      <c r="L44" s="222"/>
      <c r="M44" s="219" t="str">
        <f t="shared" si="2"/>
        <v xml:space="preserve"> </v>
      </c>
      <c r="N44" s="220">
        <f t="shared" si="0"/>
        <v>0</v>
      </c>
      <c r="O44" s="221"/>
    </row>
    <row r="45" spans="1:15" ht="15" x14ac:dyDescent="0.25">
      <c r="A45" s="41" t="str">
        <f t="shared" si="1"/>
        <v/>
      </c>
      <c r="B45" s="214" t="str">
        <f t="array" ref="B45">IFERROR(INDEX(Tableau49[reference],SMALL(IF(Tableau49[[N° BON DE COMMANDE ]]='BON DE COMMANDE'!$O$8,ROW(Tableau49[reference])-5),ROW()-32)),"")</f>
        <v/>
      </c>
      <c r="C45" s="215" t="str">
        <f t="array" ref="C45">IFERROR(INDEX(Tableau49[description],SMALL(IF(Tableau49[[N° BON DE COMMANDE ]]='BON DE COMMANDE'!$O$8,ROW(Tableau49[reference])-5),ROW()-32)),"")</f>
        <v/>
      </c>
      <c r="D45" s="216"/>
      <c r="E45" s="216"/>
      <c r="F45" s="216"/>
      <c r="G45" s="216"/>
      <c r="H45" s="216"/>
      <c r="I45" s="217"/>
      <c r="J45" s="168"/>
      <c r="K45" s="214" t="str">
        <f t="array" ref="K45">IFERROR(INDEX(Tableau49[QUANTITE],SMALL(IF(Tableau49[[N° BON DE COMMANDE ]]='BON DE COMMANDE'!$O$8,ROW(Tableau49[reference])-5),ROW()-32)),"")</f>
        <v/>
      </c>
      <c r="L45" s="222"/>
      <c r="M45" s="219" t="str">
        <f t="shared" si="2"/>
        <v xml:space="preserve"> </v>
      </c>
      <c r="N45" s="220">
        <f t="shared" si="0"/>
        <v>0</v>
      </c>
      <c r="O45" s="221"/>
    </row>
    <row r="46" spans="1:15" ht="15" x14ac:dyDescent="0.25">
      <c r="A46" s="41" t="str">
        <f t="shared" si="1"/>
        <v/>
      </c>
      <c r="B46" s="214" t="str">
        <f t="array" ref="B46">IFERROR(INDEX(Tableau49[reference],SMALL(IF(Tableau49[[N° BON DE COMMANDE ]]='BON DE COMMANDE'!$O$8,ROW(Tableau49[reference])-5),ROW()-32)),"")</f>
        <v/>
      </c>
      <c r="C46" s="215" t="str">
        <f t="array" ref="C46">IFERROR(INDEX(Tableau49[description],SMALL(IF(Tableau49[[N° BON DE COMMANDE ]]='BON DE COMMANDE'!$O$8,ROW(Tableau49[reference])-5),ROW()-32)),"")</f>
        <v/>
      </c>
      <c r="D46" s="216"/>
      <c r="E46" s="216"/>
      <c r="F46" s="216"/>
      <c r="G46" s="216"/>
      <c r="H46" s="216"/>
      <c r="I46" s="217"/>
      <c r="J46" s="168"/>
      <c r="K46" s="214" t="str">
        <f t="array" ref="K46">IFERROR(INDEX(Tableau49[QUANTITE],SMALL(IF(Tableau49[[N° BON DE COMMANDE ]]='BON DE COMMANDE'!$O$8,ROW(Tableau49[reference])-5),ROW()-32)),"")</f>
        <v/>
      </c>
      <c r="L46" s="222"/>
      <c r="M46" s="219" t="str">
        <f t="shared" si="2"/>
        <v xml:space="preserve"> </v>
      </c>
      <c r="N46" s="220">
        <f t="shared" si="0"/>
        <v>0</v>
      </c>
      <c r="O46" s="221"/>
    </row>
    <row r="47" spans="1:15" ht="15" x14ac:dyDescent="0.25">
      <c r="A47" s="41" t="str">
        <f t="shared" si="1"/>
        <v/>
      </c>
      <c r="B47" s="214" t="str">
        <f t="array" ref="B47">IFERROR(INDEX(Tableau49[reference],SMALL(IF(Tableau49[[N° BON DE COMMANDE ]]='BON DE COMMANDE'!$O$8,ROW(Tableau49[reference])-5),ROW()-32)),"")</f>
        <v/>
      </c>
      <c r="C47" s="215" t="str">
        <f t="array" ref="C47">IFERROR(INDEX(Tableau49[description],SMALL(IF(Tableau49[[N° BON DE COMMANDE ]]='BON DE COMMANDE'!$O$8,ROW(Tableau49[reference])-5),ROW()-32)),"")</f>
        <v/>
      </c>
      <c r="D47" s="216"/>
      <c r="E47" s="216"/>
      <c r="F47" s="216"/>
      <c r="G47" s="216"/>
      <c r="H47" s="216"/>
      <c r="I47" s="217"/>
      <c r="J47" s="169"/>
      <c r="K47" s="214" t="str">
        <f t="array" ref="K47">IFERROR(INDEX(Tableau49[QUANTITE],SMALL(IF(Tableau49[[N° BON DE COMMANDE ]]='BON DE COMMANDE'!$O$8,ROW(Tableau49[reference])-5),ROW()-32)),"")</f>
        <v/>
      </c>
      <c r="L47" s="222"/>
      <c r="M47" s="219" t="str">
        <f t="shared" si="2"/>
        <v xml:space="preserve"> </v>
      </c>
      <c r="N47" s="220">
        <f t="shared" si="0"/>
        <v>0</v>
      </c>
      <c r="O47" s="221"/>
    </row>
    <row r="48" spans="1:15" ht="15" x14ac:dyDescent="0.25">
      <c r="A48" s="41" t="str">
        <f t="shared" si="1"/>
        <v/>
      </c>
      <c r="B48" s="214" t="str">
        <f t="array" ref="B48">IFERROR(INDEX(Tableau49[reference],SMALL(IF(Tableau49[[N° BON DE COMMANDE ]]='BON DE COMMANDE'!$O$8,ROW(Tableau49[reference])-5),ROW()-32)),"")</f>
        <v/>
      </c>
      <c r="C48" s="215" t="str">
        <f t="array" ref="C48">IFERROR(INDEX(Tableau49[description],SMALL(IF(Tableau49[[N° BON DE COMMANDE ]]='BON DE COMMANDE'!$O$8,ROW(Tableau49[reference])-5),ROW()-32)),"")</f>
        <v/>
      </c>
      <c r="D48" s="216"/>
      <c r="E48" s="216"/>
      <c r="F48" s="216"/>
      <c r="G48" s="216"/>
      <c r="H48" s="216"/>
      <c r="I48" s="217"/>
      <c r="J48" s="169"/>
      <c r="K48" s="214" t="str">
        <f t="array" ref="K48">IFERROR(INDEX(Tableau49[QUANTITE],SMALL(IF(Tableau49[[N° BON DE COMMANDE ]]='BON DE COMMANDE'!$O$8,ROW(Tableau49[reference])-5),ROW()-32)),"")</f>
        <v/>
      </c>
      <c r="L48" s="222"/>
      <c r="M48" s="219" t="str">
        <f t="shared" si="2"/>
        <v xml:space="preserve"> </v>
      </c>
      <c r="N48" s="220">
        <f t="shared" si="0"/>
        <v>0</v>
      </c>
      <c r="O48" s="221"/>
    </row>
    <row r="49" spans="1:15" ht="15" x14ac:dyDescent="0.25">
      <c r="A49" s="41" t="str">
        <f t="shared" si="1"/>
        <v/>
      </c>
      <c r="B49" s="214" t="str">
        <f t="array" ref="B49">IFERROR(INDEX(Tableau49[reference],SMALL(IF(Tableau49[[N° BON DE COMMANDE ]]='BON DE COMMANDE'!$O$8,ROW(Tableau49[reference])-5),ROW()-32)),"")</f>
        <v/>
      </c>
      <c r="C49" s="215" t="str">
        <f t="array" ref="C49">IFERROR(INDEX(Tableau49[description],SMALL(IF(Tableau49[[N° BON DE COMMANDE ]]='BON DE COMMANDE'!$O$8,ROW(Tableau49[reference])-5),ROW()-32)),"")</f>
        <v/>
      </c>
      <c r="D49" s="216"/>
      <c r="E49" s="216"/>
      <c r="F49" s="216"/>
      <c r="G49" s="216"/>
      <c r="H49" s="216"/>
      <c r="I49" s="217"/>
      <c r="J49" s="169"/>
      <c r="K49" s="214" t="str">
        <f t="array" ref="K49">IFERROR(INDEX(Tableau49[QUANTITE],SMALL(IF(Tableau49[[N° BON DE COMMANDE ]]='BON DE COMMANDE'!$O$8,ROW(Tableau49[reference])-5),ROW()-32)),"")</f>
        <v/>
      </c>
      <c r="L49" s="222"/>
      <c r="M49" s="219" t="str">
        <f t="shared" si="2"/>
        <v xml:space="preserve"> </v>
      </c>
      <c r="N49" s="220">
        <f t="shared" si="0"/>
        <v>0</v>
      </c>
      <c r="O49" s="221"/>
    </row>
    <row r="50" spans="1:15" ht="15" x14ac:dyDescent="0.25">
      <c r="A50" s="41" t="str">
        <f t="shared" si="1"/>
        <v/>
      </c>
      <c r="B50" s="214" t="str">
        <f t="array" ref="B50">IFERROR(INDEX(Tableau49[reference],SMALL(IF(Tableau49[[N° BON DE COMMANDE ]]='BON DE COMMANDE'!$O$8,ROW(Tableau49[reference])-5),ROW()-32)),"")</f>
        <v/>
      </c>
      <c r="C50" s="215" t="str">
        <f t="array" ref="C50">IFERROR(INDEX(Tableau49[description],SMALL(IF(Tableau49[[N° BON DE COMMANDE ]]='BON DE COMMANDE'!$O$8,ROW(Tableau49[reference])-5),ROW()-32)),"")</f>
        <v/>
      </c>
      <c r="D50" s="216"/>
      <c r="E50" s="216"/>
      <c r="F50" s="216"/>
      <c r="G50" s="216"/>
      <c r="H50" s="216"/>
      <c r="I50" s="217"/>
      <c r="J50" s="169"/>
      <c r="K50" s="214" t="str">
        <f t="array" ref="K50">IFERROR(INDEX(Tableau49[QUANTITE],SMALL(IF(Tableau49[[N° BON DE COMMANDE ]]='BON DE COMMANDE'!$O$8,ROW(Tableau49[reference])-5),ROW()-32)),"")</f>
        <v/>
      </c>
      <c r="L50" s="222"/>
      <c r="M50" s="219" t="str">
        <f t="shared" si="2"/>
        <v xml:space="preserve"> </v>
      </c>
      <c r="N50" s="220">
        <f t="shared" si="0"/>
        <v>0</v>
      </c>
      <c r="O50" s="221"/>
    </row>
    <row r="51" spans="1:15" ht="15" x14ac:dyDescent="0.25">
      <c r="A51" s="41" t="str">
        <f t="shared" si="1"/>
        <v/>
      </c>
      <c r="B51" s="214" t="str">
        <f t="array" ref="B51">IFERROR(INDEX(Tableau49[reference],SMALL(IF(Tableau49[[N° BON DE COMMANDE ]]='BON DE COMMANDE'!$O$8,ROW(Tableau49[reference])-5),ROW()-32)),"")</f>
        <v/>
      </c>
      <c r="C51" s="215" t="str">
        <f t="array" ref="C51">IFERROR(INDEX(Tableau49[description],SMALL(IF(Tableau49[[N° BON DE COMMANDE ]]='BON DE COMMANDE'!$O$8,ROW(Tableau49[reference])-5),ROW()-32)),"")</f>
        <v/>
      </c>
      <c r="D51" s="216"/>
      <c r="E51" s="216"/>
      <c r="F51" s="216"/>
      <c r="G51" s="216"/>
      <c r="H51" s="216"/>
      <c r="I51" s="217"/>
      <c r="J51" s="169"/>
      <c r="K51" s="214" t="str">
        <f t="array" ref="K51">IFERROR(INDEX(Tableau49[QUANTITE],SMALL(IF(Tableau49[[N° BON DE COMMANDE ]]='BON DE COMMANDE'!$O$8,ROW(Tableau49[reference])-5),ROW()-32)),"")</f>
        <v/>
      </c>
      <c r="L51" s="222"/>
      <c r="M51" s="219" t="str">
        <f t="shared" si="2"/>
        <v xml:space="preserve"> </v>
      </c>
      <c r="N51" s="220">
        <f t="shared" si="0"/>
        <v>0</v>
      </c>
      <c r="O51" s="221"/>
    </row>
    <row r="52" spans="1:15" ht="15" x14ac:dyDescent="0.25">
      <c r="A52" s="41" t="str">
        <f t="shared" si="1"/>
        <v/>
      </c>
      <c r="B52" s="214" t="str">
        <f t="array" ref="B52">IFERROR(INDEX(Tableau49[reference],SMALL(IF(Tableau49[[N° BON DE COMMANDE ]]='BON DE COMMANDE'!$O$8,ROW(Tableau49[reference])-5),ROW()-32)),"")</f>
        <v/>
      </c>
      <c r="C52" s="215" t="str">
        <f t="array" ref="C52">IFERROR(INDEX(Tableau49[description],SMALL(IF(Tableau49[[N° BON DE COMMANDE ]]='BON DE COMMANDE'!$O$8,ROW(Tableau49[reference])-5),ROW()-32)),"")</f>
        <v/>
      </c>
      <c r="D52" s="216"/>
      <c r="E52" s="216"/>
      <c r="F52" s="216"/>
      <c r="G52" s="216"/>
      <c r="H52" s="216"/>
      <c r="I52" s="217"/>
      <c r="J52" s="169"/>
      <c r="K52" s="214" t="str">
        <f t="array" ref="K52">IFERROR(INDEX(Tableau49[QUANTITE],SMALL(IF(Tableau49[[N° BON DE COMMANDE ]]='BON DE COMMANDE'!$O$8,ROW(Tableau49[reference])-5),ROW()-32)),"")</f>
        <v/>
      </c>
      <c r="L52" s="222"/>
      <c r="M52" s="219" t="str">
        <f t="shared" si="2"/>
        <v xml:space="preserve"> </v>
      </c>
      <c r="N52" s="220">
        <f t="shared" si="0"/>
        <v>0</v>
      </c>
      <c r="O52" s="221"/>
    </row>
    <row r="53" spans="1:15" ht="15" x14ac:dyDescent="0.25">
      <c r="A53" s="41" t="str">
        <f t="shared" si="1"/>
        <v/>
      </c>
      <c r="B53" s="214" t="str">
        <f t="array" ref="B53">IFERROR(INDEX(Tableau49[reference],SMALL(IF(Tableau49[[N° BON DE COMMANDE ]]='BON DE COMMANDE'!$O$8,ROW(Tableau49[reference])-5),ROW()-32)),"")</f>
        <v/>
      </c>
      <c r="C53" s="215" t="str">
        <f t="array" ref="C53">IFERROR(INDEX(Tableau49[description],SMALL(IF(Tableau49[[N° BON DE COMMANDE ]]='BON DE COMMANDE'!$O$8,ROW(Tableau49[reference])-5),ROW()-32)),"")</f>
        <v/>
      </c>
      <c r="D53" s="216"/>
      <c r="E53" s="216"/>
      <c r="F53" s="216"/>
      <c r="G53" s="216"/>
      <c r="H53" s="216"/>
      <c r="I53" s="217"/>
      <c r="J53" s="169"/>
      <c r="K53" s="214" t="str">
        <f t="array" ref="K53">IFERROR(INDEX(Tableau49[QUANTITE],SMALL(IF(Tableau49[[N° BON DE COMMANDE ]]='BON DE COMMANDE'!$O$8,ROW(Tableau49[reference])-5),ROW()-32)),"")</f>
        <v/>
      </c>
      <c r="L53" s="222"/>
      <c r="M53" s="219" t="str">
        <f t="shared" si="2"/>
        <v xml:space="preserve"> </v>
      </c>
      <c r="N53" s="220">
        <f t="shared" si="0"/>
        <v>0</v>
      </c>
      <c r="O53" s="221"/>
    </row>
    <row r="54" spans="1:15" ht="15" x14ac:dyDescent="0.25">
      <c r="A54" s="41" t="str">
        <f t="shared" si="1"/>
        <v/>
      </c>
      <c r="B54" s="214" t="str">
        <f t="array" ref="B54">IFERROR(INDEX(Tableau49[reference],SMALL(IF(Tableau49[[N° BON DE COMMANDE ]]='BON DE COMMANDE'!$O$8,ROW(Tableau49[reference])-5),ROW()-32)),"")</f>
        <v/>
      </c>
      <c r="C54" s="215" t="str">
        <f t="array" ref="C54">IFERROR(INDEX(Tableau49[description],SMALL(IF(Tableau49[[N° BON DE COMMANDE ]]='BON DE COMMANDE'!$O$8,ROW(Tableau49[reference])-5),ROW()-32)),"")</f>
        <v/>
      </c>
      <c r="D54" s="216"/>
      <c r="E54" s="216"/>
      <c r="F54" s="216"/>
      <c r="G54" s="216"/>
      <c r="H54" s="216"/>
      <c r="I54" s="217"/>
      <c r="J54" s="169"/>
      <c r="K54" s="214" t="str">
        <f t="array" ref="K54">IFERROR(INDEX(Tableau49[QUANTITE],SMALL(IF(Tableau49[[N° BON DE COMMANDE ]]='BON DE COMMANDE'!$O$8,ROW(Tableau49[reference])-5),ROW()-32)),"")</f>
        <v/>
      </c>
      <c r="L54" s="222"/>
      <c r="M54" s="219" t="str">
        <f t="shared" si="2"/>
        <v xml:space="preserve"> </v>
      </c>
      <c r="N54" s="220">
        <f t="shared" si="0"/>
        <v>0</v>
      </c>
      <c r="O54" s="221"/>
    </row>
    <row r="55" spans="1:15" ht="15" x14ac:dyDescent="0.25">
      <c r="A55" s="41" t="str">
        <f t="shared" si="1"/>
        <v/>
      </c>
      <c r="B55" s="214" t="str">
        <f t="array" ref="B55">IFERROR(INDEX(Tableau49[reference],SMALL(IF(Tableau49[[N° BON DE COMMANDE ]]='BON DE COMMANDE'!$O$8,ROW(Tableau49[reference])-5),ROW()-32)),"")</f>
        <v/>
      </c>
      <c r="C55" s="215" t="str">
        <f t="array" ref="C55">IFERROR(INDEX(Tableau49[description],SMALL(IF(Tableau49[[N° BON DE COMMANDE ]]='BON DE COMMANDE'!$O$8,ROW(Tableau49[reference])-5),ROW()-32)),"")</f>
        <v/>
      </c>
      <c r="D55" s="216"/>
      <c r="E55" s="216"/>
      <c r="F55" s="216"/>
      <c r="G55" s="216"/>
      <c r="H55" s="216"/>
      <c r="I55" s="217"/>
      <c r="J55" s="169"/>
      <c r="K55" s="214" t="str">
        <f t="array" ref="K55">IFERROR(INDEX(Tableau49[QUANTITE],SMALL(IF(Tableau49[[N° BON DE COMMANDE ]]='BON DE COMMANDE'!$O$8,ROW(Tableau49[reference])-5),ROW()-32)),"")</f>
        <v/>
      </c>
      <c r="L55" s="222"/>
      <c r="M55" s="219" t="str">
        <f t="shared" si="2"/>
        <v xml:space="preserve"> </v>
      </c>
      <c r="N55" s="220">
        <f t="shared" si="0"/>
        <v>0</v>
      </c>
      <c r="O55" s="221"/>
    </row>
    <row r="56" spans="1:15" ht="15" x14ac:dyDescent="0.25">
      <c r="A56" s="41" t="str">
        <f t="shared" si="1"/>
        <v/>
      </c>
      <c r="B56" s="214" t="str">
        <f t="array" ref="B56">IFERROR(INDEX(Tableau49[reference],SMALL(IF(Tableau49[[N° BON DE COMMANDE ]]='BON DE COMMANDE'!$O$8,ROW(Tableau49[reference])-5),ROW()-32)),"")</f>
        <v/>
      </c>
      <c r="C56" s="215" t="str">
        <f t="array" ref="C56">IFERROR(INDEX(Tableau49[description],SMALL(IF(Tableau49[[N° BON DE COMMANDE ]]='BON DE COMMANDE'!$O$8,ROW(Tableau49[reference])-5),ROW()-32)),"")</f>
        <v/>
      </c>
      <c r="D56" s="216"/>
      <c r="E56" s="216"/>
      <c r="F56" s="216"/>
      <c r="G56" s="216"/>
      <c r="H56" s="216"/>
      <c r="I56" s="217"/>
      <c r="J56" s="169"/>
      <c r="K56" s="214" t="str">
        <f t="array" ref="K56">IFERROR(INDEX(Tableau49[QUANTITE],SMALL(IF(Tableau49[[N° BON DE COMMANDE ]]='BON DE COMMANDE'!$O$8,ROW(Tableau49[reference])-5),ROW()-32)),"")</f>
        <v/>
      </c>
      <c r="L56" s="222"/>
      <c r="M56" s="219" t="str">
        <f t="shared" si="2"/>
        <v xml:space="preserve"> </v>
      </c>
      <c r="N56" s="220">
        <f t="shared" ref="N56:N62" si="3">L56-(L56*(O56))</f>
        <v>0</v>
      </c>
      <c r="O56" s="221"/>
    </row>
    <row r="57" spans="1:15" ht="15" x14ac:dyDescent="0.25">
      <c r="A57" s="41" t="str">
        <f t="shared" si="1"/>
        <v/>
      </c>
      <c r="B57" s="214" t="str">
        <f t="array" ref="B57">IFERROR(INDEX(Tableau49[reference],SMALL(IF(Tableau49[[N° BON DE COMMANDE ]]='BON DE COMMANDE'!$O$8,ROW(Tableau49[reference])-5),ROW()-32)),"")</f>
        <v/>
      </c>
      <c r="C57" s="215" t="str">
        <f t="array" ref="C57">IFERROR(INDEX(Tableau49[description],SMALL(IF(Tableau49[[N° BON DE COMMANDE ]]='BON DE COMMANDE'!$O$8,ROW(Tableau49[reference])-5),ROW()-32)),"")</f>
        <v/>
      </c>
      <c r="D57" s="216"/>
      <c r="E57" s="216"/>
      <c r="F57" s="216"/>
      <c r="G57" s="216"/>
      <c r="H57" s="216"/>
      <c r="I57" s="217"/>
      <c r="J57" s="169"/>
      <c r="K57" s="214" t="str">
        <f t="array" ref="K57">IFERROR(INDEX(Tableau49[QUANTITE],SMALL(IF(Tableau49[[N° BON DE COMMANDE ]]='BON DE COMMANDE'!$O$8,ROW(Tableau49[reference])-5),ROW()-32)),"")</f>
        <v/>
      </c>
      <c r="L57" s="222"/>
      <c r="M57" s="219" t="str">
        <f t="shared" si="2"/>
        <v xml:space="preserve"> </v>
      </c>
      <c r="N57" s="220">
        <f t="shared" si="3"/>
        <v>0</v>
      </c>
      <c r="O57" s="221"/>
    </row>
    <row r="58" spans="1:15" ht="15" x14ac:dyDescent="0.25">
      <c r="A58" s="41" t="str">
        <f t="shared" si="1"/>
        <v/>
      </c>
      <c r="B58" s="214" t="str">
        <f t="array" ref="B58">IFERROR(INDEX(Tableau49[reference],SMALL(IF(Tableau49[[N° BON DE COMMANDE ]]='BON DE COMMANDE'!$O$8,ROW(Tableau49[reference])-5),ROW()-32)),"")</f>
        <v/>
      </c>
      <c r="C58" s="215" t="str">
        <f t="array" ref="C58">IFERROR(INDEX(Tableau49[description],SMALL(IF(Tableau49[[N° BON DE COMMANDE ]]='BON DE COMMANDE'!$O$8,ROW(Tableau49[reference])-5),ROW()-32)),"")</f>
        <v/>
      </c>
      <c r="D58" s="216"/>
      <c r="E58" s="216"/>
      <c r="F58" s="216"/>
      <c r="G58" s="216"/>
      <c r="H58" s="216"/>
      <c r="I58" s="217"/>
      <c r="J58" s="169"/>
      <c r="K58" s="214" t="str">
        <f t="array" ref="K58">IFERROR(INDEX(Tableau49[QUANTITE],SMALL(IF(Tableau49[[N° BON DE COMMANDE ]]='BON DE COMMANDE'!$O$8,ROW(Tableau49[reference])-5),ROW()-32)),"")</f>
        <v/>
      </c>
      <c r="L58" s="222"/>
      <c r="M58" s="219" t="str">
        <f t="shared" si="2"/>
        <v xml:space="preserve"> </v>
      </c>
      <c r="N58" s="220">
        <f t="shared" si="3"/>
        <v>0</v>
      </c>
      <c r="O58" s="221"/>
    </row>
    <row r="59" spans="1:15" ht="15" x14ac:dyDescent="0.25">
      <c r="A59" s="41" t="str">
        <f t="shared" si="1"/>
        <v/>
      </c>
      <c r="B59" s="214" t="str">
        <f t="array" ref="B59">IFERROR(INDEX(Tableau49[reference],SMALL(IF(Tableau49[[N° BON DE COMMANDE ]]='BON DE COMMANDE'!$O$8,ROW(Tableau49[reference])-5),ROW()-32)),"")</f>
        <v/>
      </c>
      <c r="C59" s="215" t="str">
        <f t="array" ref="C59">IFERROR(INDEX(Tableau49[description],SMALL(IF(Tableau49[[N° BON DE COMMANDE ]]='BON DE COMMANDE'!$O$8,ROW(Tableau49[reference])-5),ROW()-32)),"")</f>
        <v/>
      </c>
      <c r="D59" s="216"/>
      <c r="E59" s="216"/>
      <c r="F59" s="216"/>
      <c r="G59" s="216"/>
      <c r="H59" s="216"/>
      <c r="I59" s="217"/>
      <c r="J59" s="169"/>
      <c r="K59" s="214" t="str">
        <f t="array" ref="K59">IFERROR(INDEX(Tableau49[QUANTITE],SMALL(IF(Tableau49[[N° BON DE COMMANDE ]]='BON DE COMMANDE'!$O$8,ROW(Tableau49[reference])-5),ROW()-32)),"")</f>
        <v/>
      </c>
      <c r="L59" s="222"/>
      <c r="M59" s="219" t="str">
        <f t="shared" si="2"/>
        <v xml:space="preserve"> </v>
      </c>
      <c r="N59" s="220">
        <f t="shared" si="3"/>
        <v>0</v>
      </c>
      <c r="O59" s="221"/>
    </row>
    <row r="60" spans="1:15" ht="15" x14ac:dyDescent="0.25">
      <c r="A60" s="41" t="str">
        <f t="shared" si="1"/>
        <v/>
      </c>
      <c r="B60" s="214" t="str">
        <f t="array" ref="B60">IFERROR(INDEX(Tableau49[reference],SMALL(IF(Tableau49[[N° BON DE COMMANDE ]]='BON DE COMMANDE'!$O$8,ROW(Tableau49[reference])-5),ROW()-32)),"")</f>
        <v/>
      </c>
      <c r="C60" s="215" t="str">
        <f t="array" ref="C60">IFERROR(INDEX(Tableau49[description],SMALL(IF(Tableau49[[N° BON DE COMMANDE ]]='BON DE COMMANDE'!$O$8,ROW(Tableau49[reference])-5),ROW()-32)),"")</f>
        <v/>
      </c>
      <c r="D60" s="216"/>
      <c r="E60" s="216"/>
      <c r="F60" s="216"/>
      <c r="G60" s="216"/>
      <c r="H60" s="216"/>
      <c r="I60" s="217"/>
      <c r="J60" s="169"/>
      <c r="K60" s="214" t="str">
        <f t="array" ref="K60">IFERROR(INDEX(Tableau49[QUANTITE],SMALL(IF(Tableau49[[N° BON DE COMMANDE ]]='BON DE COMMANDE'!$O$8,ROW(Tableau49[reference])-5),ROW()-32)),"")</f>
        <v/>
      </c>
      <c r="L60" s="222"/>
      <c r="M60" s="219" t="str">
        <f t="shared" si="2"/>
        <v xml:space="preserve"> </v>
      </c>
      <c r="N60" s="220">
        <f t="shared" si="3"/>
        <v>0</v>
      </c>
      <c r="O60" s="221"/>
    </row>
    <row r="61" spans="1:15" ht="15" x14ac:dyDescent="0.25">
      <c r="A61" s="41" t="str">
        <f t="shared" si="1"/>
        <v/>
      </c>
      <c r="B61" s="214" t="str">
        <f t="array" ref="B61">IFERROR(INDEX(Tableau49[reference],SMALL(IF(Tableau49[[N° BON DE COMMANDE ]]='BON DE COMMANDE'!$O$8,ROW(Tableau49[reference])-5),ROW()-32)),"")</f>
        <v/>
      </c>
      <c r="C61" s="215" t="str">
        <f t="array" ref="C61">IFERROR(INDEX(Tableau49[description],SMALL(IF(Tableau49[[N° BON DE COMMANDE ]]='BON DE COMMANDE'!$O$8,ROW(Tableau49[reference])-5),ROW()-32)),"")</f>
        <v/>
      </c>
      <c r="D61" s="216"/>
      <c r="E61" s="216"/>
      <c r="F61" s="216"/>
      <c r="G61" s="216"/>
      <c r="H61" s="216"/>
      <c r="I61" s="217"/>
      <c r="J61" s="169"/>
      <c r="K61" s="214" t="str">
        <f t="array" ref="K61">IFERROR(INDEX(Tableau49[QUANTITE],SMALL(IF(Tableau49[[N° BON DE COMMANDE ]]='BON DE COMMANDE'!$O$8,ROW(Tableau49[reference])-5),ROW()-32)),"")</f>
        <v/>
      </c>
      <c r="L61" s="222"/>
      <c r="M61" s="219" t="str">
        <f t="shared" si="2"/>
        <v xml:space="preserve"> </v>
      </c>
      <c r="N61" s="220">
        <f t="shared" si="3"/>
        <v>0</v>
      </c>
      <c r="O61" s="221"/>
    </row>
    <row r="62" spans="1:15" ht="15.6" thickBot="1" x14ac:dyDescent="0.3">
      <c r="A62" s="41" t="str">
        <f t="shared" si="1"/>
        <v/>
      </c>
      <c r="B62" s="223" t="str">
        <f t="array" ref="B62">IFERROR(INDEX(Tableau49[reference],SMALL(IF(Tableau49[[N° BON DE COMMANDE ]]='BON DE COMMANDE'!$O$8,ROW(Tableau49[reference])-5),ROW()-32)),"")</f>
        <v/>
      </c>
      <c r="C62" s="224" t="str">
        <f t="array" ref="C62">IFERROR(INDEX(Tableau49[description],SMALL(IF(Tableau49[[N° BON DE COMMANDE ]]='BON DE COMMANDE'!$O$8,ROW(Tableau49[reference])-5),ROW()-32)),"")</f>
        <v/>
      </c>
      <c r="D62" s="225"/>
      <c r="E62" s="225"/>
      <c r="F62" s="225"/>
      <c r="G62" s="225"/>
      <c r="H62" s="225"/>
      <c r="I62" s="226"/>
      <c r="J62" s="227"/>
      <c r="K62" s="223" t="str">
        <f t="array" ref="K62">IFERROR(INDEX(Tableau49[QUANTITE],SMALL(IF(Tableau49[[N° BON DE COMMANDE ]]='BON DE COMMANDE'!$O$8,ROW(Tableau49[reference])-5),ROW()-32)),"")</f>
        <v/>
      </c>
      <c r="L62" s="228"/>
      <c r="M62" s="229" t="str">
        <f t="shared" si="2"/>
        <v xml:space="preserve"> </v>
      </c>
      <c r="N62" s="220">
        <f t="shared" si="3"/>
        <v>0</v>
      </c>
      <c r="O62" s="221"/>
    </row>
    <row r="63" spans="1:15" ht="16.2" thickBot="1" x14ac:dyDescent="0.35">
      <c r="A63" s="41"/>
      <c r="B63" s="230"/>
      <c r="C63" s="111"/>
      <c r="D63" s="111"/>
      <c r="E63" s="111"/>
      <c r="F63" s="111"/>
      <c r="G63" s="111"/>
      <c r="H63" s="111"/>
      <c r="I63" s="111"/>
      <c r="J63" s="111"/>
      <c r="K63" s="231"/>
      <c r="L63" s="166" t="s">
        <v>312</v>
      </c>
      <c r="M63" s="232">
        <f>SUM(M33:M62)</f>
        <v>0</v>
      </c>
      <c r="N63" s="149"/>
      <c r="O63" s="233"/>
    </row>
    <row r="64" spans="1:15" ht="16.2" thickBot="1" x14ac:dyDescent="0.35">
      <c r="A64" s="234"/>
      <c r="B64" s="235"/>
      <c r="C64" s="236"/>
      <c r="D64" s="236"/>
      <c r="E64" s="236"/>
      <c r="F64" s="236"/>
      <c r="G64" s="236"/>
      <c r="H64" s="236"/>
      <c r="I64" s="237"/>
      <c r="J64" s="236"/>
      <c r="K64" s="236"/>
      <c r="L64" s="236"/>
      <c r="M64" s="238"/>
      <c r="N64" s="149" t="s">
        <v>313</v>
      </c>
      <c r="O64" s="233"/>
    </row>
    <row r="65" spans="1:15" ht="15" x14ac:dyDescent="0.25">
      <c r="A65" s="234"/>
      <c r="B65" s="251"/>
      <c r="C65" s="252"/>
      <c r="D65" s="252"/>
      <c r="E65" s="252"/>
      <c r="F65" s="252"/>
      <c r="G65" s="252"/>
      <c r="H65" s="252"/>
      <c r="I65" s="252"/>
      <c r="J65" s="252"/>
      <c r="K65" s="252"/>
      <c r="L65" s="252"/>
      <c r="M65" s="252"/>
      <c r="N65" s="252"/>
      <c r="O65" s="253"/>
    </row>
    <row r="66" spans="1:15" ht="15.6" x14ac:dyDescent="0.3">
      <c r="A66" s="234"/>
      <c r="B66" s="43" t="s">
        <v>314</v>
      </c>
      <c r="C66" s="138"/>
      <c r="D66" s="138"/>
      <c r="E66" s="281">
        <v>43836</v>
      </c>
      <c r="F66" s="281"/>
      <c r="G66" s="150"/>
      <c r="H66" s="243"/>
      <c r="I66" s="243"/>
      <c r="J66" s="243"/>
      <c r="K66" s="243"/>
      <c r="L66" s="243"/>
      <c r="M66" s="243"/>
      <c r="N66" s="243"/>
      <c r="O66" s="254"/>
    </row>
    <row r="67" spans="1:15" ht="15.6" x14ac:dyDescent="0.3">
      <c r="A67" s="234"/>
      <c r="B67" s="162" t="s">
        <v>315</v>
      </c>
      <c r="C67" s="142"/>
      <c r="D67" s="142"/>
      <c r="E67" s="151" t="s">
        <v>316</v>
      </c>
      <c r="F67" s="141"/>
      <c r="G67" s="243"/>
      <c r="H67" s="243"/>
      <c r="I67" s="243"/>
      <c r="J67" s="243"/>
      <c r="K67" s="243"/>
      <c r="L67" s="243"/>
      <c r="M67" s="243"/>
      <c r="N67" s="243"/>
      <c r="O67" s="254"/>
    </row>
    <row r="68" spans="1:15" ht="16.2" thickBot="1" x14ac:dyDescent="0.35">
      <c r="A68" s="234"/>
      <c r="B68" s="152"/>
      <c r="C68" s="153"/>
      <c r="D68" s="153"/>
      <c r="E68" s="153"/>
      <c r="F68" s="153"/>
      <c r="G68" s="255"/>
      <c r="H68" s="255"/>
      <c r="I68" s="255"/>
      <c r="J68" s="255"/>
      <c r="K68" s="255"/>
      <c r="L68" s="255"/>
      <c r="M68" s="255"/>
      <c r="N68" s="255"/>
      <c r="O68" s="238"/>
    </row>
    <row r="69" spans="1:15" ht="15.6" x14ac:dyDescent="0.3">
      <c r="A69" s="234"/>
      <c r="B69" s="251"/>
      <c r="C69" s="252"/>
      <c r="D69" s="252"/>
      <c r="E69" s="252"/>
      <c r="F69" s="154"/>
      <c r="G69" s="155"/>
      <c r="H69" s="155"/>
      <c r="I69" s="252"/>
      <c r="J69" s="155"/>
      <c r="K69" s="252"/>
      <c r="L69" s="155"/>
      <c r="M69" s="252"/>
      <c r="N69" s="252"/>
      <c r="O69" s="253"/>
    </row>
    <row r="70" spans="1:15" ht="15.6" x14ac:dyDescent="0.3">
      <c r="A70" s="234"/>
      <c r="B70" s="43" t="s">
        <v>317</v>
      </c>
      <c r="C70" s="136"/>
      <c r="D70" s="243"/>
      <c r="E70" s="243"/>
      <c r="F70" s="243"/>
      <c r="G70" s="243"/>
      <c r="H70" s="243"/>
      <c r="I70" s="243"/>
      <c r="J70" s="243"/>
      <c r="K70" s="138" t="s">
        <v>318</v>
      </c>
      <c r="L70" s="138"/>
      <c r="M70" s="243"/>
      <c r="N70" s="243"/>
      <c r="O70" s="254"/>
    </row>
    <row r="71" spans="1:15" ht="15.6" x14ac:dyDescent="0.3">
      <c r="A71" s="234"/>
      <c r="B71" s="162" t="s">
        <v>319</v>
      </c>
      <c r="C71" s="156"/>
      <c r="D71" s="157"/>
      <c r="E71" s="157" t="s">
        <v>320</v>
      </c>
      <c r="F71" s="256"/>
      <c r="G71" s="257"/>
      <c r="H71" s="243"/>
      <c r="I71" s="243"/>
      <c r="J71" s="243"/>
      <c r="K71" s="144" t="s">
        <v>321</v>
      </c>
      <c r="L71" s="258"/>
      <c r="M71" s="157" t="s">
        <v>322</v>
      </c>
      <c r="N71" s="257"/>
      <c r="O71" s="259"/>
    </row>
    <row r="72" spans="1:15" ht="16.2" thickBot="1" x14ac:dyDescent="0.35">
      <c r="A72" s="234"/>
      <c r="B72" s="152"/>
      <c r="C72" s="158"/>
      <c r="D72" s="153"/>
      <c r="E72" s="153"/>
      <c r="F72" s="153"/>
      <c r="G72" s="158"/>
      <c r="H72" s="153"/>
      <c r="I72" s="153"/>
      <c r="J72" s="153"/>
      <c r="K72" s="255"/>
      <c r="L72" s="159"/>
      <c r="M72" s="255"/>
      <c r="N72" s="255"/>
      <c r="O72" s="238"/>
    </row>
    <row r="73" spans="1:15" ht="15.6" x14ac:dyDescent="0.3">
      <c r="A73" s="234"/>
      <c r="B73" s="251"/>
      <c r="C73" s="252"/>
      <c r="D73" s="252"/>
      <c r="E73" s="252"/>
      <c r="F73" s="154"/>
      <c r="G73" s="155"/>
      <c r="H73" s="155"/>
      <c r="I73" s="252"/>
      <c r="J73" s="155"/>
      <c r="K73" s="252"/>
      <c r="L73" s="155"/>
      <c r="M73" s="252"/>
      <c r="N73" s="252"/>
      <c r="O73" s="253"/>
    </row>
    <row r="74" spans="1:15" ht="15.6" x14ac:dyDescent="0.3">
      <c r="A74" s="234"/>
      <c r="B74" s="43" t="s">
        <v>323</v>
      </c>
      <c r="C74" s="160" t="s">
        <v>324</v>
      </c>
      <c r="D74" s="257"/>
      <c r="E74" s="257"/>
      <c r="F74" s="257"/>
      <c r="G74" s="257"/>
      <c r="H74" s="257"/>
      <c r="I74" s="257"/>
      <c r="J74" s="257"/>
      <c r="K74" s="257"/>
      <c r="L74" s="257"/>
      <c r="M74" s="257"/>
      <c r="N74" s="257"/>
      <c r="O74" s="259"/>
    </row>
    <row r="75" spans="1:15" ht="31.2" customHeight="1" x14ac:dyDescent="0.3">
      <c r="A75" s="234"/>
      <c r="B75" s="162" t="s">
        <v>325</v>
      </c>
      <c r="C75" s="160" t="s">
        <v>326</v>
      </c>
      <c r="D75" s="157"/>
      <c r="E75" s="161" t="e">
        <f>#REF!</f>
        <v>#REF!</v>
      </c>
      <c r="F75" s="286" t="str">
        <f>N13</f>
        <v>MC-2019-007</v>
      </c>
      <c r="G75" s="286"/>
      <c r="H75" s="257"/>
      <c r="I75" s="277">
        <f>M15</f>
        <v>0</v>
      </c>
      <c r="J75" s="277"/>
      <c r="K75" s="277"/>
      <c r="L75" s="277"/>
      <c r="M75" s="257"/>
      <c r="N75" s="257"/>
      <c r="O75" s="259"/>
    </row>
    <row r="76" spans="1:15" ht="16.2" thickBot="1" x14ac:dyDescent="0.35">
      <c r="A76" s="234"/>
      <c r="B76" s="152"/>
      <c r="C76" s="158"/>
      <c r="D76" s="153"/>
      <c r="E76" s="153"/>
      <c r="F76" s="153"/>
      <c r="G76" s="158"/>
      <c r="H76" s="153"/>
      <c r="I76" s="153"/>
      <c r="J76" s="153"/>
      <c r="K76" s="255"/>
      <c r="L76" s="159"/>
      <c r="M76" s="255"/>
      <c r="N76" s="255"/>
      <c r="O76" s="238"/>
    </row>
    <row r="77" spans="1:15" ht="15" x14ac:dyDescent="0.25">
      <c r="A77" s="234"/>
      <c r="B77" s="251"/>
      <c r="C77" s="252"/>
      <c r="D77" s="252"/>
      <c r="E77" s="252"/>
      <c r="F77" s="252"/>
      <c r="G77" s="252"/>
      <c r="H77" s="252"/>
      <c r="I77" s="252"/>
      <c r="J77" s="252"/>
      <c r="K77" s="252"/>
      <c r="L77" s="252"/>
      <c r="M77" s="252"/>
      <c r="N77" s="252"/>
      <c r="O77" s="253"/>
    </row>
    <row r="78" spans="1:15" ht="15.6" x14ac:dyDescent="0.3">
      <c r="A78" s="234"/>
      <c r="B78" s="43" t="s">
        <v>327</v>
      </c>
      <c r="C78" s="243"/>
      <c r="D78" s="243"/>
      <c r="E78" s="243"/>
      <c r="F78" s="143" t="s">
        <v>328</v>
      </c>
      <c r="G78" s="278" t="s">
        <v>543</v>
      </c>
      <c r="H78" s="278"/>
      <c r="I78" s="278"/>
      <c r="J78" s="278"/>
      <c r="K78" s="141"/>
      <c r="L78" s="143" t="s">
        <v>329</v>
      </c>
      <c r="M78" s="279"/>
      <c r="N78" s="279"/>
      <c r="O78" s="280"/>
    </row>
    <row r="79" spans="1:15" ht="15" x14ac:dyDescent="0.25">
      <c r="A79" s="234"/>
      <c r="B79" s="162" t="s">
        <v>330</v>
      </c>
      <c r="C79" s="243"/>
      <c r="D79" s="243"/>
      <c r="E79" s="243"/>
      <c r="F79" s="144" t="s">
        <v>331</v>
      </c>
      <c r="G79" s="243"/>
      <c r="H79" s="243"/>
      <c r="I79" s="243"/>
      <c r="J79" s="243"/>
      <c r="K79" s="141"/>
      <c r="L79" s="144" t="s">
        <v>332</v>
      </c>
      <c r="M79" s="279"/>
      <c r="N79" s="279"/>
      <c r="O79" s="280"/>
    </row>
    <row r="80" spans="1:15" ht="15.6" thickBot="1" x14ac:dyDescent="0.3">
      <c r="A80" s="234"/>
      <c r="B80" s="260"/>
      <c r="C80" s="255"/>
      <c r="D80" s="255"/>
      <c r="E80" s="255"/>
      <c r="F80" s="255"/>
      <c r="G80" s="255"/>
      <c r="H80" s="255"/>
      <c r="I80" s="255"/>
      <c r="J80" s="255"/>
      <c r="K80" s="255"/>
      <c r="L80" s="255"/>
      <c r="M80" s="255"/>
      <c r="N80" s="255"/>
      <c r="O80" s="238"/>
    </row>
    <row r="81" spans="1:16" x14ac:dyDescent="0.25">
      <c r="A81" s="234"/>
    </row>
    <row r="82" spans="1:16" x14ac:dyDescent="0.25">
      <c r="A82" s="234"/>
    </row>
    <row r="83" spans="1:16" x14ac:dyDescent="0.25">
      <c r="A83" s="234"/>
      <c r="B83" s="111"/>
      <c r="C83" s="111"/>
      <c r="D83" s="111"/>
      <c r="E83" s="111"/>
      <c r="F83" s="111"/>
      <c r="G83" s="111"/>
      <c r="H83" s="111"/>
      <c r="I83" s="111"/>
      <c r="J83" s="111"/>
      <c r="K83" s="111"/>
      <c r="L83" s="111"/>
      <c r="M83" s="111"/>
      <c r="N83" s="111"/>
      <c r="O83" s="111"/>
    </row>
    <row r="84" spans="1:16" ht="15" x14ac:dyDescent="0.25">
      <c r="A84" s="234"/>
      <c r="B84" s="95"/>
      <c r="C84" s="134"/>
      <c r="D84" s="134"/>
      <c r="E84" s="134"/>
      <c r="F84" s="134"/>
      <c r="G84" s="134"/>
      <c r="H84" s="111"/>
      <c r="I84" s="111"/>
      <c r="J84" s="111"/>
      <c r="K84" s="111"/>
      <c r="L84" s="95"/>
      <c r="M84" s="111"/>
      <c r="N84" s="135"/>
      <c r="O84" s="135"/>
    </row>
    <row r="85" spans="1:16" x14ac:dyDescent="0.25">
      <c r="A85" s="234"/>
      <c r="B85" s="110"/>
      <c r="C85" s="216"/>
      <c r="D85" s="216"/>
      <c r="E85" s="216"/>
      <c r="F85" s="216"/>
      <c r="G85" s="216"/>
      <c r="H85" s="111"/>
      <c r="I85" s="111"/>
      <c r="J85" s="111"/>
      <c r="K85" s="111"/>
      <c r="L85" s="110"/>
      <c r="M85" s="111"/>
      <c r="N85" s="111"/>
      <c r="O85" s="111"/>
      <c r="P85" s="239"/>
    </row>
    <row r="86" spans="1:16" x14ac:dyDescent="0.25">
      <c r="A86" s="234"/>
      <c r="B86" s="95"/>
      <c r="C86" s="130"/>
      <c r="D86" s="130"/>
      <c r="E86" s="130"/>
      <c r="F86" s="130"/>
      <c r="G86" s="130"/>
      <c r="H86" s="111"/>
      <c r="I86" s="111"/>
      <c r="J86" s="111"/>
      <c r="K86" s="111"/>
      <c r="L86" s="95"/>
      <c r="M86" s="111"/>
      <c r="N86" s="111"/>
      <c r="O86" s="111"/>
      <c r="P86" s="239"/>
    </row>
    <row r="87" spans="1:16" x14ac:dyDescent="0.25">
      <c r="A87" s="234"/>
      <c r="B87" s="110"/>
      <c r="C87" s="130"/>
      <c r="D87" s="130"/>
      <c r="E87" s="130"/>
      <c r="F87" s="130"/>
      <c r="G87" s="130"/>
      <c r="H87" s="111"/>
      <c r="I87" s="111"/>
      <c r="J87" s="111"/>
      <c r="K87" s="111"/>
      <c r="L87" s="110"/>
      <c r="M87" s="111"/>
      <c r="N87" s="111"/>
      <c r="O87" s="111"/>
      <c r="P87" s="239"/>
    </row>
    <row r="88" spans="1:16" x14ac:dyDescent="0.25">
      <c r="A88" s="234"/>
      <c r="B88" s="111"/>
      <c r="C88" s="95"/>
      <c r="D88" s="111"/>
      <c r="E88" s="111"/>
      <c r="F88" s="111"/>
      <c r="G88" s="111"/>
      <c r="H88" s="111"/>
      <c r="I88" s="111"/>
      <c r="J88" s="111"/>
      <c r="K88" s="111"/>
      <c r="L88" s="95"/>
      <c r="M88" s="127"/>
      <c r="N88" s="127"/>
      <c r="O88" s="111"/>
      <c r="P88" s="239"/>
    </row>
    <row r="89" spans="1:16" x14ac:dyDescent="0.25">
      <c r="A89" s="234"/>
      <c r="B89" s="111"/>
      <c r="C89" s="111"/>
      <c r="D89" s="111"/>
      <c r="E89" s="111"/>
      <c r="F89" s="111"/>
      <c r="G89" s="111"/>
      <c r="H89" s="111"/>
      <c r="I89" s="111"/>
      <c r="J89" s="111"/>
      <c r="K89" s="111"/>
      <c r="L89" s="110"/>
      <c r="M89" s="111"/>
      <c r="N89" s="111"/>
      <c r="O89" s="111"/>
      <c r="P89" s="239"/>
    </row>
    <row r="90" spans="1:16" x14ac:dyDescent="0.25">
      <c r="A90" s="234"/>
      <c r="B90" s="95"/>
      <c r="C90" s="112"/>
      <c r="D90" s="113"/>
      <c r="E90" s="113"/>
      <c r="F90" s="95"/>
      <c r="G90" s="95"/>
      <c r="H90" s="131"/>
      <c r="I90" s="131"/>
      <c r="J90" s="95"/>
      <c r="K90" s="111"/>
      <c r="L90" s="95"/>
      <c r="M90" s="111"/>
      <c r="N90" s="111"/>
      <c r="O90" s="111"/>
      <c r="P90" s="239"/>
    </row>
    <row r="91" spans="1:16" ht="15" x14ac:dyDescent="0.25">
      <c r="A91" s="234"/>
      <c r="B91" s="110"/>
      <c r="C91" s="114"/>
      <c r="D91" s="114"/>
      <c r="E91" s="114"/>
      <c r="F91" s="114"/>
      <c r="G91" s="110"/>
      <c r="H91" s="115"/>
      <c r="I91" s="114"/>
      <c r="J91" s="114"/>
      <c r="K91" s="111"/>
      <c r="L91" s="95"/>
      <c r="M91" s="132"/>
      <c r="N91" s="132"/>
      <c r="O91" s="132"/>
      <c r="P91" s="239"/>
    </row>
    <row r="92" spans="1:16" x14ac:dyDescent="0.25">
      <c r="A92" s="234"/>
      <c r="B92" s="111"/>
      <c r="C92" s="111"/>
      <c r="D92" s="111"/>
      <c r="E92" s="111"/>
      <c r="F92" s="111"/>
      <c r="G92" s="111"/>
      <c r="H92" s="111"/>
      <c r="I92" s="111"/>
      <c r="J92" s="111"/>
      <c r="K92" s="111"/>
      <c r="L92" s="110"/>
      <c r="M92" s="111"/>
      <c r="N92" s="111"/>
      <c r="O92" s="111"/>
      <c r="P92" s="239"/>
    </row>
    <row r="93" spans="1:16" x14ac:dyDescent="0.25">
      <c r="A93" s="234"/>
      <c r="B93" s="95"/>
      <c r="C93" s="95"/>
      <c r="D93" s="95"/>
      <c r="E93" s="95"/>
      <c r="F93" s="95"/>
      <c r="G93" s="95"/>
      <c r="H93" s="111"/>
      <c r="I93" s="95"/>
      <c r="J93" s="111"/>
      <c r="K93" s="111"/>
      <c r="L93" s="116"/>
      <c r="M93" s="133"/>
      <c r="N93" s="133"/>
      <c r="O93" s="133"/>
      <c r="P93" s="239"/>
    </row>
    <row r="94" spans="1:16" x14ac:dyDescent="0.25">
      <c r="A94" s="234"/>
      <c r="B94" s="110"/>
      <c r="C94" s="114"/>
      <c r="D94" s="117"/>
      <c r="E94" s="117"/>
      <c r="F94" s="117"/>
      <c r="G94" s="110"/>
      <c r="H94" s="111"/>
      <c r="I94" s="95"/>
      <c r="J94" s="111"/>
      <c r="K94" s="111"/>
      <c r="L94" s="114"/>
      <c r="M94" s="127"/>
      <c r="N94" s="127"/>
      <c r="O94" s="127"/>
      <c r="P94" s="239"/>
    </row>
    <row r="95" spans="1:16" x14ac:dyDescent="0.25">
      <c r="A95" s="234"/>
      <c r="B95" s="110"/>
      <c r="C95" s="114"/>
      <c r="D95" s="117"/>
      <c r="E95" s="117"/>
      <c r="F95" s="117"/>
      <c r="G95" s="110"/>
      <c r="H95" s="111"/>
      <c r="I95" s="95"/>
      <c r="J95" s="111"/>
      <c r="K95" s="111"/>
      <c r="L95" s="114"/>
      <c r="M95" s="261"/>
      <c r="N95" s="261"/>
      <c r="O95" s="261"/>
      <c r="P95" s="239"/>
    </row>
    <row r="96" spans="1:16" x14ac:dyDescent="0.25">
      <c r="A96" s="239"/>
      <c r="B96" s="111"/>
      <c r="C96" s="111"/>
      <c r="D96" s="111"/>
      <c r="E96" s="111"/>
      <c r="F96" s="111"/>
      <c r="G96" s="111"/>
      <c r="H96" s="97"/>
      <c r="I96" s="97"/>
      <c r="J96" s="97"/>
      <c r="K96" s="111"/>
      <c r="L96" s="111"/>
      <c r="M96" s="111"/>
      <c r="N96" s="111"/>
      <c r="O96" s="111"/>
      <c r="P96" s="239"/>
    </row>
    <row r="97" spans="1:16" x14ac:dyDescent="0.25">
      <c r="A97" s="239"/>
      <c r="B97" s="111"/>
      <c r="C97" s="111"/>
      <c r="D97" s="111"/>
      <c r="E97" s="111"/>
      <c r="F97" s="97"/>
      <c r="G97" s="111"/>
      <c r="H97" s="97"/>
      <c r="I97" s="97"/>
      <c r="J97" s="97"/>
      <c r="K97" s="111"/>
      <c r="L97" s="111"/>
      <c r="M97" s="95"/>
      <c r="N97" s="95"/>
      <c r="O97" s="95"/>
      <c r="P97" s="239"/>
    </row>
    <row r="98" spans="1:16" x14ac:dyDescent="0.25">
      <c r="A98" s="239"/>
      <c r="B98" s="111"/>
      <c r="C98" s="262"/>
      <c r="D98" s="262"/>
      <c r="E98" s="262"/>
      <c r="F98" s="99"/>
      <c r="G98" s="111"/>
      <c r="H98" s="97"/>
      <c r="I98" s="97"/>
      <c r="J98" s="97"/>
      <c r="K98" s="111"/>
      <c r="L98" s="111"/>
      <c r="M98" s="115"/>
      <c r="N98" s="114"/>
      <c r="O98" s="114"/>
      <c r="P98" s="239"/>
    </row>
    <row r="99" spans="1:16" x14ac:dyDescent="0.25">
      <c r="A99" s="239"/>
      <c r="B99" s="111"/>
      <c r="C99" s="111"/>
      <c r="D99" s="111"/>
      <c r="E99" s="111"/>
      <c r="F99" s="111"/>
      <c r="G99" s="111"/>
      <c r="H99" s="99"/>
      <c r="I99" s="99"/>
      <c r="J99" s="99"/>
      <c r="K99" s="111"/>
      <c r="L99" s="111"/>
      <c r="M99" s="114"/>
      <c r="N99" s="114"/>
      <c r="O99" s="114"/>
      <c r="P99" s="239"/>
    </row>
    <row r="100" spans="1:16" x14ac:dyDescent="0.25">
      <c r="A100" s="239"/>
      <c r="B100" s="111"/>
      <c r="C100" s="111"/>
      <c r="D100" s="111"/>
      <c r="E100" s="111"/>
      <c r="F100" s="99"/>
      <c r="G100" s="111"/>
      <c r="H100" s="99"/>
      <c r="I100" s="99"/>
      <c r="J100" s="99"/>
      <c r="K100" s="111"/>
      <c r="L100" s="111"/>
      <c r="M100" s="114"/>
      <c r="N100" s="114"/>
      <c r="O100" s="114"/>
      <c r="P100" s="239"/>
    </row>
    <row r="101" spans="1:16" x14ac:dyDescent="0.25">
      <c r="A101" s="239"/>
      <c r="B101" s="97"/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239"/>
    </row>
    <row r="102" spans="1:16" x14ac:dyDescent="0.25">
      <c r="A102" s="239"/>
      <c r="B102" s="118"/>
      <c r="C102" s="99"/>
      <c r="D102" s="99"/>
      <c r="E102" s="99"/>
      <c r="F102" s="99"/>
      <c r="G102" s="99"/>
      <c r="H102" s="99"/>
      <c r="I102" s="99"/>
      <c r="J102" s="118"/>
      <c r="K102" s="263"/>
      <c r="L102" s="118"/>
      <c r="M102" s="118"/>
      <c r="N102" s="119"/>
      <c r="O102" s="119"/>
      <c r="P102" s="239"/>
    </row>
    <row r="103" spans="1:16" x14ac:dyDescent="0.25">
      <c r="A103" s="239"/>
      <c r="B103" s="99"/>
      <c r="C103" s="99"/>
      <c r="D103" s="99"/>
      <c r="E103" s="99"/>
      <c r="F103" s="99"/>
      <c r="G103" s="99"/>
      <c r="H103" s="99"/>
      <c r="I103" s="99"/>
      <c r="J103" s="99"/>
      <c r="K103" s="261"/>
      <c r="L103" s="99"/>
      <c r="M103" s="99"/>
      <c r="N103" s="99"/>
      <c r="O103" s="99"/>
      <c r="P103" s="239"/>
    </row>
    <row r="104" spans="1:16" x14ac:dyDescent="0.25">
      <c r="A104" s="239"/>
      <c r="B104" s="261"/>
      <c r="C104" s="91"/>
      <c r="D104" s="92"/>
      <c r="E104" s="92"/>
      <c r="F104" s="92"/>
      <c r="G104" s="92"/>
      <c r="H104" s="92"/>
      <c r="I104" s="92"/>
      <c r="J104" s="105"/>
      <c r="K104" s="261"/>
      <c r="L104" s="264"/>
      <c r="M104" s="265"/>
      <c r="N104" s="265"/>
      <c r="O104" s="266"/>
      <c r="P104" s="239"/>
    </row>
    <row r="105" spans="1:16" x14ac:dyDescent="0.25">
      <c r="A105" s="239"/>
      <c r="B105" s="261"/>
      <c r="C105" s="91"/>
      <c r="D105" s="92"/>
      <c r="E105" s="92"/>
      <c r="F105" s="92"/>
      <c r="G105" s="92"/>
      <c r="H105" s="92"/>
      <c r="I105" s="92"/>
      <c r="J105" s="105"/>
      <c r="K105" s="261"/>
      <c r="L105" s="264"/>
      <c r="M105" s="265"/>
      <c r="N105" s="265"/>
      <c r="O105" s="266"/>
      <c r="P105" s="239"/>
    </row>
    <row r="106" spans="1:16" x14ac:dyDescent="0.25">
      <c r="A106" s="239"/>
      <c r="B106" s="261"/>
      <c r="C106" s="91"/>
      <c r="D106" s="92"/>
      <c r="E106" s="92"/>
      <c r="F106" s="92"/>
      <c r="G106" s="92"/>
      <c r="H106" s="92"/>
      <c r="I106" s="92"/>
      <c r="J106" s="105"/>
      <c r="K106" s="261"/>
      <c r="L106" s="264"/>
      <c r="M106" s="265"/>
      <c r="N106" s="265"/>
      <c r="O106" s="266"/>
      <c r="P106" s="239"/>
    </row>
    <row r="107" spans="1:16" x14ac:dyDescent="0.25">
      <c r="A107" s="239"/>
      <c r="B107" s="261"/>
      <c r="C107" s="91"/>
      <c r="D107" s="92"/>
      <c r="E107" s="92"/>
      <c r="F107" s="92"/>
      <c r="G107" s="92"/>
      <c r="H107" s="92"/>
      <c r="I107" s="92"/>
      <c r="J107" s="105"/>
      <c r="K107" s="261"/>
      <c r="L107" s="264"/>
      <c r="M107" s="265"/>
      <c r="N107" s="265"/>
      <c r="O107" s="266"/>
      <c r="P107" s="239"/>
    </row>
    <row r="108" spans="1:16" x14ac:dyDescent="0.25">
      <c r="A108" s="239"/>
      <c r="B108" s="261"/>
      <c r="C108" s="91"/>
      <c r="D108" s="92"/>
      <c r="E108" s="92"/>
      <c r="F108" s="92"/>
      <c r="G108" s="92"/>
      <c r="H108" s="92"/>
      <c r="I108" s="92"/>
      <c r="J108" s="105"/>
      <c r="K108" s="261"/>
      <c r="L108" s="264"/>
      <c r="M108" s="265"/>
      <c r="N108" s="265"/>
      <c r="O108" s="266"/>
      <c r="P108" s="239"/>
    </row>
    <row r="109" spans="1:16" x14ac:dyDescent="0.25">
      <c r="A109" s="239"/>
      <c r="B109" s="261"/>
      <c r="C109" s="91"/>
      <c r="D109" s="111"/>
      <c r="E109" s="111"/>
      <c r="F109" s="111"/>
      <c r="G109" s="111"/>
      <c r="H109" s="111"/>
      <c r="I109" s="111"/>
      <c r="J109" s="105"/>
      <c r="K109" s="261"/>
      <c r="L109" s="264"/>
      <c r="M109" s="265"/>
      <c r="N109" s="265"/>
      <c r="O109" s="266"/>
      <c r="P109" s="239"/>
    </row>
    <row r="110" spans="1:16" x14ac:dyDescent="0.25">
      <c r="A110" s="239"/>
      <c r="B110" s="261"/>
      <c r="C110" s="91"/>
      <c r="D110" s="111"/>
      <c r="E110" s="111"/>
      <c r="F110" s="111"/>
      <c r="G110" s="111"/>
      <c r="H110" s="111"/>
      <c r="I110" s="111"/>
      <c r="J110" s="105"/>
      <c r="K110" s="261"/>
      <c r="L110" s="264"/>
      <c r="M110" s="265"/>
      <c r="N110" s="265"/>
      <c r="O110" s="266"/>
      <c r="P110" s="239"/>
    </row>
    <row r="111" spans="1:16" x14ac:dyDescent="0.25">
      <c r="A111" s="239"/>
      <c r="B111" s="261"/>
      <c r="C111" s="91"/>
      <c r="D111" s="267"/>
      <c r="E111" s="267"/>
      <c r="F111" s="267"/>
      <c r="G111" s="267"/>
      <c r="H111" s="267"/>
      <c r="I111" s="267"/>
      <c r="J111" s="105"/>
      <c r="K111" s="261"/>
      <c r="L111" s="264"/>
      <c r="M111" s="265"/>
      <c r="N111" s="265"/>
      <c r="O111" s="266"/>
      <c r="P111" s="239"/>
    </row>
    <row r="112" spans="1:16" x14ac:dyDescent="0.25">
      <c r="A112" s="239"/>
      <c r="B112" s="261"/>
      <c r="C112" s="91"/>
      <c r="D112" s="93"/>
      <c r="E112" s="93"/>
      <c r="F112" s="93"/>
      <c r="G112" s="93"/>
      <c r="H112" s="93"/>
      <c r="I112" s="93"/>
      <c r="J112" s="105"/>
      <c r="K112" s="261"/>
      <c r="L112" s="264"/>
      <c r="M112" s="265"/>
      <c r="N112" s="265"/>
      <c r="O112" s="266"/>
      <c r="P112" s="239"/>
    </row>
    <row r="113" spans="1:16" x14ac:dyDescent="0.25">
      <c r="A113" s="239"/>
      <c r="B113" s="261"/>
      <c r="C113" s="91"/>
      <c r="D113" s="94"/>
      <c r="E113" s="94"/>
      <c r="F113" s="94"/>
      <c r="G113" s="94"/>
      <c r="H113" s="94"/>
      <c r="I113" s="94"/>
      <c r="J113" s="105"/>
      <c r="K113" s="261"/>
      <c r="L113" s="264"/>
      <c r="M113" s="265"/>
      <c r="N113" s="265"/>
      <c r="O113" s="266"/>
      <c r="P113" s="239"/>
    </row>
    <row r="114" spans="1:16" x14ac:dyDescent="0.25">
      <c r="A114" s="239"/>
      <c r="B114" s="261"/>
      <c r="C114" s="91"/>
      <c r="D114" s="94"/>
      <c r="E114" s="94"/>
      <c r="F114" s="94"/>
      <c r="G114" s="94"/>
      <c r="H114" s="94"/>
      <c r="I114" s="94"/>
      <c r="J114" s="105"/>
      <c r="K114" s="261"/>
      <c r="L114" s="268"/>
      <c r="M114" s="265"/>
      <c r="N114" s="265"/>
      <c r="O114" s="266"/>
      <c r="P114" s="239"/>
    </row>
    <row r="115" spans="1:16" x14ac:dyDescent="0.25">
      <c r="A115" s="239"/>
      <c r="B115" s="261"/>
      <c r="C115" s="91"/>
      <c r="D115" s="95"/>
      <c r="E115" s="95"/>
      <c r="F115" s="95"/>
      <c r="G115" s="111"/>
      <c r="H115" s="111"/>
      <c r="I115" s="111"/>
      <c r="J115" s="105"/>
      <c r="K115" s="261"/>
      <c r="L115" s="268"/>
      <c r="M115" s="265"/>
      <c r="N115" s="265"/>
      <c r="O115" s="266"/>
      <c r="P115" s="239"/>
    </row>
    <row r="116" spans="1:16" x14ac:dyDescent="0.25">
      <c r="A116" s="239"/>
      <c r="B116" s="261"/>
      <c r="C116" s="91"/>
      <c r="D116" s="95"/>
      <c r="E116" s="95"/>
      <c r="F116" s="95"/>
      <c r="G116" s="111"/>
      <c r="H116" s="111"/>
      <c r="I116" s="111"/>
      <c r="J116" s="105"/>
      <c r="K116" s="261"/>
      <c r="L116" s="268"/>
      <c r="M116" s="265"/>
      <c r="N116" s="265"/>
      <c r="O116" s="266"/>
      <c r="P116" s="239"/>
    </row>
    <row r="117" spans="1:16" x14ac:dyDescent="0.25">
      <c r="A117" s="239"/>
      <c r="B117" s="261"/>
      <c r="C117" s="91"/>
      <c r="D117" s="95"/>
      <c r="E117" s="95"/>
      <c r="F117" s="95"/>
      <c r="G117" s="111"/>
      <c r="H117" s="111"/>
      <c r="I117" s="111"/>
      <c r="J117" s="105"/>
      <c r="K117" s="261"/>
      <c r="L117" s="268"/>
      <c r="M117" s="265"/>
      <c r="N117" s="265"/>
      <c r="O117" s="266"/>
      <c r="P117" s="239"/>
    </row>
    <row r="118" spans="1:16" x14ac:dyDescent="0.25">
      <c r="A118" s="239"/>
      <c r="B118" s="269"/>
      <c r="C118" s="120"/>
      <c r="D118" s="111"/>
      <c r="E118" s="111"/>
      <c r="F118" s="111"/>
      <c r="G118" s="111"/>
      <c r="H118" s="111"/>
      <c r="I118" s="111"/>
      <c r="J118" s="106"/>
      <c r="K118" s="269"/>
      <c r="L118" s="268"/>
      <c r="M118" s="265"/>
      <c r="N118" s="265"/>
      <c r="O118" s="266"/>
      <c r="P118" s="239"/>
    </row>
    <row r="119" spans="1:16" x14ac:dyDescent="0.25">
      <c r="A119" s="239"/>
      <c r="B119" s="269"/>
      <c r="C119" s="120"/>
      <c r="D119" s="111"/>
      <c r="E119" s="111"/>
      <c r="F119" s="111"/>
      <c r="G119" s="111"/>
      <c r="H119" s="111"/>
      <c r="I119" s="111"/>
      <c r="J119" s="106"/>
      <c r="K119" s="269"/>
      <c r="L119" s="268"/>
      <c r="M119" s="265"/>
      <c r="N119" s="265"/>
      <c r="O119" s="266"/>
      <c r="P119" s="239"/>
    </row>
    <row r="120" spans="1:16" x14ac:dyDescent="0.25">
      <c r="A120" s="239"/>
      <c r="B120" s="269"/>
      <c r="C120" s="120"/>
      <c r="D120" s="111"/>
      <c r="E120" s="111"/>
      <c r="F120" s="111"/>
      <c r="G120" s="111"/>
      <c r="H120" s="111"/>
      <c r="I120" s="111"/>
      <c r="J120" s="106"/>
      <c r="K120" s="269"/>
      <c r="L120" s="268"/>
      <c r="M120" s="265"/>
      <c r="N120" s="265"/>
      <c r="O120" s="266"/>
      <c r="P120" s="239"/>
    </row>
    <row r="121" spans="1:16" x14ac:dyDescent="0.25">
      <c r="A121" s="239"/>
      <c r="B121" s="269"/>
      <c r="C121" s="120"/>
      <c r="D121" s="111"/>
      <c r="E121" s="111"/>
      <c r="F121" s="111"/>
      <c r="G121" s="111"/>
      <c r="H121" s="111"/>
      <c r="I121" s="111"/>
      <c r="J121" s="106"/>
      <c r="K121" s="269"/>
      <c r="L121" s="268"/>
      <c r="M121" s="265"/>
      <c r="N121" s="265"/>
      <c r="O121" s="266"/>
      <c r="P121" s="239"/>
    </row>
    <row r="122" spans="1:16" x14ac:dyDescent="0.25">
      <c r="A122" s="239"/>
      <c r="B122" s="269"/>
      <c r="C122" s="120"/>
      <c r="D122" s="111"/>
      <c r="E122" s="111"/>
      <c r="F122" s="111"/>
      <c r="G122" s="111"/>
      <c r="H122" s="111"/>
      <c r="I122" s="111"/>
      <c r="J122" s="106"/>
      <c r="K122" s="269"/>
      <c r="L122" s="268"/>
      <c r="M122" s="265"/>
      <c r="N122" s="265"/>
      <c r="O122" s="266"/>
      <c r="P122" s="239"/>
    </row>
    <row r="123" spans="1:16" x14ac:dyDescent="0.25">
      <c r="A123" s="239"/>
      <c r="B123" s="269"/>
      <c r="C123" s="120"/>
      <c r="D123" s="111"/>
      <c r="E123" s="111"/>
      <c r="F123" s="111"/>
      <c r="G123" s="111"/>
      <c r="H123" s="111"/>
      <c r="I123" s="111"/>
      <c r="J123" s="106"/>
      <c r="K123" s="269"/>
      <c r="L123" s="268"/>
      <c r="M123" s="265"/>
      <c r="N123" s="265"/>
      <c r="O123" s="266"/>
      <c r="P123" s="239"/>
    </row>
    <row r="124" spans="1:16" x14ac:dyDescent="0.25">
      <c r="A124" s="239"/>
      <c r="B124" s="269"/>
      <c r="C124" s="120"/>
      <c r="D124" s="111"/>
      <c r="E124" s="111"/>
      <c r="F124" s="111"/>
      <c r="G124" s="111"/>
      <c r="H124" s="111"/>
      <c r="I124" s="111"/>
      <c r="J124" s="106"/>
      <c r="K124" s="269"/>
      <c r="L124" s="268"/>
      <c r="M124" s="265"/>
      <c r="N124" s="265"/>
      <c r="O124" s="266"/>
      <c r="P124" s="239"/>
    </row>
    <row r="125" spans="1:16" x14ac:dyDescent="0.25">
      <c r="A125" s="239"/>
      <c r="B125" s="269"/>
      <c r="C125" s="120"/>
      <c r="D125" s="111"/>
      <c r="E125" s="111"/>
      <c r="F125" s="111"/>
      <c r="G125" s="111"/>
      <c r="H125" s="111"/>
      <c r="I125" s="111"/>
      <c r="J125" s="106"/>
      <c r="K125" s="269"/>
      <c r="L125" s="268"/>
      <c r="M125" s="265"/>
      <c r="N125" s="265"/>
      <c r="O125" s="266"/>
      <c r="P125" s="239"/>
    </row>
    <row r="126" spans="1:16" x14ac:dyDescent="0.25">
      <c r="A126" s="239"/>
      <c r="B126" s="269"/>
      <c r="C126" s="120"/>
      <c r="D126" s="111"/>
      <c r="E126" s="111"/>
      <c r="F126" s="111"/>
      <c r="G126" s="111"/>
      <c r="H126" s="111"/>
      <c r="I126" s="111"/>
      <c r="J126" s="106"/>
      <c r="K126" s="269"/>
      <c r="L126" s="268"/>
      <c r="M126" s="265"/>
      <c r="N126" s="265"/>
      <c r="O126" s="266"/>
      <c r="P126" s="239"/>
    </row>
    <row r="127" spans="1:16" x14ac:dyDescent="0.25">
      <c r="A127" s="239"/>
      <c r="B127" s="269"/>
      <c r="C127" s="120"/>
      <c r="D127" s="111"/>
      <c r="E127" s="111"/>
      <c r="F127" s="111"/>
      <c r="G127" s="111"/>
      <c r="H127" s="111"/>
      <c r="I127" s="111"/>
      <c r="J127" s="106"/>
      <c r="K127" s="269"/>
      <c r="L127" s="268"/>
      <c r="M127" s="265"/>
      <c r="N127" s="265"/>
      <c r="O127" s="266"/>
      <c r="P127" s="239"/>
    </row>
    <row r="128" spans="1:16" x14ac:dyDescent="0.25">
      <c r="A128" s="239"/>
      <c r="B128" s="106"/>
      <c r="C128" s="120"/>
      <c r="D128" s="111"/>
      <c r="E128" s="111"/>
      <c r="F128" s="111"/>
      <c r="G128" s="111"/>
      <c r="H128" s="111"/>
      <c r="I128" s="111"/>
      <c r="J128" s="106"/>
      <c r="K128" s="269"/>
      <c r="L128" s="268"/>
      <c r="M128" s="265"/>
      <c r="N128" s="265"/>
      <c r="O128" s="266"/>
      <c r="P128" s="239"/>
    </row>
    <row r="129" spans="1:16" x14ac:dyDescent="0.25">
      <c r="A129" s="239"/>
      <c r="B129" s="107"/>
      <c r="C129" s="120"/>
      <c r="D129" s="111"/>
      <c r="E129" s="111"/>
      <c r="F129" s="111"/>
      <c r="G129" s="111"/>
      <c r="H129" s="111"/>
      <c r="I129" s="111"/>
      <c r="J129" s="106"/>
      <c r="K129" s="269"/>
      <c r="L129" s="268"/>
      <c r="M129" s="265"/>
      <c r="N129" s="265"/>
      <c r="O129" s="266"/>
      <c r="P129" s="239"/>
    </row>
    <row r="130" spans="1:16" x14ac:dyDescent="0.25">
      <c r="A130" s="239"/>
      <c r="B130" s="107"/>
      <c r="C130" s="120"/>
      <c r="D130" s="111"/>
      <c r="E130" s="111"/>
      <c r="F130" s="111"/>
      <c r="G130" s="111"/>
      <c r="H130" s="111"/>
      <c r="I130" s="111"/>
      <c r="J130" s="106"/>
      <c r="K130" s="269"/>
      <c r="L130" s="268"/>
      <c r="M130" s="265"/>
      <c r="N130" s="265"/>
      <c r="O130" s="266"/>
      <c r="P130" s="239"/>
    </row>
    <row r="131" spans="1:16" x14ac:dyDescent="0.25">
      <c r="A131" s="239"/>
      <c r="B131" s="107"/>
      <c r="C131" s="120"/>
      <c r="D131" s="111"/>
      <c r="E131" s="111"/>
      <c r="F131" s="111"/>
      <c r="G131" s="111"/>
      <c r="H131" s="111"/>
      <c r="I131" s="111"/>
      <c r="J131" s="106"/>
      <c r="K131" s="269"/>
      <c r="L131" s="268"/>
      <c r="M131" s="265"/>
      <c r="N131" s="265"/>
      <c r="O131" s="266"/>
      <c r="P131" s="239"/>
    </row>
    <row r="132" spans="1:16" x14ac:dyDescent="0.25">
      <c r="A132" s="239"/>
      <c r="B132" s="270"/>
      <c r="C132" s="120"/>
      <c r="D132" s="111"/>
      <c r="E132" s="111"/>
      <c r="F132" s="111"/>
      <c r="G132" s="111"/>
      <c r="H132" s="111"/>
      <c r="I132" s="111"/>
      <c r="J132" s="271"/>
      <c r="K132" s="271"/>
      <c r="L132" s="268"/>
      <c r="M132" s="265"/>
      <c r="N132" s="265"/>
      <c r="O132" s="266"/>
      <c r="P132" s="239"/>
    </row>
    <row r="133" spans="1:16" x14ac:dyDescent="0.25">
      <c r="A133" s="239"/>
      <c r="B133" s="111"/>
      <c r="C133" s="111"/>
      <c r="D133" s="111"/>
      <c r="E133" s="111"/>
      <c r="F133" s="111"/>
      <c r="G133" s="111"/>
      <c r="H133" s="111"/>
      <c r="I133" s="111"/>
      <c r="J133" s="111"/>
      <c r="K133" s="111"/>
      <c r="L133" s="121"/>
      <c r="M133" s="265"/>
      <c r="N133" s="122"/>
      <c r="O133" s="266"/>
      <c r="P133" s="239"/>
    </row>
    <row r="134" spans="1:16" x14ac:dyDescent="0.25">
      <c r="A134" s="239"/>
      <c r="B134" s="111"/>
      <c r="C134" s="111"/>
      <c r="D134" s="111"/>
      <c r="E134" s="111"/>
      <c r="F134" s="111"/>
      <c r="G134" s="111"/>
      <c r="H134" s="111"/>
      <c r="I134" s="272"/>
      <c r="J134" s="111"/>
      <c r="K134" s="111"/>
      <c r="L134" s="111"/>
      <c r="M134" s="111"/>
      <c r="N134" s="122"/>
      <c r="O134" s="266"/>
      <c r="P134" s="239"/>
    </row>
    <row r="135" spans="1:16" x14ac:dyDescent="0.25">
      <c r="A135" s="239"/>
      <c r="B135" s="216"/>
      <c r="C135" s="216"/>
      <c r="D135" s="216"/>
      <c r="E135" s="216"/>
      <c r="F135" s="216"/>
      <c r="G135" s="216"/>
      <c r="H135" s="216"/>
      <c r="I135" s="216"/>
      <c r="J135" s="216"/>
      <c r="K135" s="216"/>
      <c r="L135" s="216"/>
      <c r="M135" s="216"/>
      <c r="N135" s="216"/>
      <c r="O135" s="216"/>
      <c r="P135" s="239"/>
    </row>
    <row r="136" spans="1:16" x14ac:dyDescent="0.25">
      <c r="A136" s="239"/>
      <c r="B136" s="111"/>
      <c r="C136" s="111"/>
      <c r="D136" s="111"/>
      <c r="E136" s="111"/>
      <c r="F136" s="111"/>
      <c r="G136" s="111"/>
      <c r="H136" s="111"/>
      <c r="I136" s="111"/>
      <c r="J136" s="111"/>
      <c r="K136" s="111"/>
      <c r="L136" s="111"/>
      <c r="M136" s="111"/>
      <c r="N136" s="111"/>
      <c r="O136" s="111"/>
      <c r="P136" s="239"/>
    </row>
    <row r="137" spans="1:16" x14ac:dyDescent="0.25">
      <c r="A137" s="239"/>
      <c r="B137" s="95"/>
      <c r="C137" s="95"/>
      <c r="D137" s="95"/>
      <c r="E137" s="95"/>
      <c r="F137" s="128"/>
      <c r="G137" s="128"/>
      <c r="H137" s="111"/>
      <c r="I137" s="111"/>
      <c r="J137" s="111"/>
      <c r="K137" s="111"/>
      <c r="L137" s="111"/>
      <c r="M137" s="111"/>
      <c r="N137" s="111"/>
      <c r="O137" s="111"/>
      <c r="P137" s="239"/>
    </row>
    <row r="138" spans="1:16" x14ac:dyDescent="0.25">
      <c r="A138" s="239"/>
      <c r="B138" s="110"/>
      <c r="C138" s="114"/>
      <c r="D138" s="114"/>
      <c r="E138" s="114"/>
      <c r="F138" s="114"/>
      <c r="G138" s="111"/>
      <c r="H138" s="111"/>
      <c r="I138" s="111"/>
      <c r="J138" s="111"/>
      <c r="K138" s="111"/>
      <c r="L138" s="111"/>
      <c r="M138" s="111"/>
      <c r="N138" s="111"/>
      <c r="O138" s="111"/>
      <c r="P138" s="239"/>
    </row>
    <row r="139" spans="1:16" x14ac:dyDescent="0.25">
      <c r="A139" s="239"/>
      <c r="B139" s="114"/>
      <c r="C139" s="114"/>
      <c r="D139" s="114"/>
      <c r="E139" s="114"/>
      <c r="F139" s="114"/>
      <c r="G139" s="111"/>
      <c r="H139" s="111"/>
      <c r="I139" s="111"/>
      <c r="J139" s="111"/>
      <c r="K139" s="111"/>
      <c r="L139" s="111"/>
      <c r="M139" s="111"/>
      <c r="N139" s="111"/>
      <c r="O139" s="111"/>
      <c r="P139" s="239"/>
    </row>
    <row r="140" spans="1:16" x14ac:dyDescent="0.25">
      <c r="A140" s="239"/>
      <c r="B140" s="111"/>
      <c r="C140" s="111"/>
      <c r="D140" s="111"/>
      <c r="E140" s="111"/>
      <c r="F140" s="99"/>
      <c r="G140" s="114"/>
      <c r="H140" s="114"/>
      <c r="I140" s="111"/>
      <c r="J140" s="114"/>
      <c r="K140" s="111"/>
      <c r="L140" s="114"/>
      <c r="M140" s="111"/>
      <c r="N140" s="111"/>
      <c r="O140" s="111"/>
      <c r="P140" s="239"/>
    </row>
    <row r="141" spans="1:16" x14ac:dyDescent="0.25">
      <c r="A141" s="239"/>
      <c r="B141" s="95"/>
      <c r="C141" s="97"/>
      <c r="D141" s="111"/>
      <c r="E141" s="111"/>
      <c r="F141" s="111"/>
      <c r="G141" s="111"/>
      <c r="H141" s="111"/>
      <c r="I141" s="111"/>
      <c r="J141" s="111"/>
      <c r="K141" s="95"/>
      <c r="L141" s="95"/>
      <c r="M141" s="111"/>
      <c r="N141" s="111"/>
      <c r="O141" s="111"/>
      <c r="P141" s="239"/>
    </row>
    <row r="142" spans="1:16" x14ac:dyDescent="0.25">
      <c r="A142" s="239"/>
      <c r="B142" s="110"/>
      <c r="C142" s="99"/>
      <c r="D142" s="95"/>
      <c r="E142" s="95"/>
      <c r="F142" s="216"/>
      <c r="G142" s="111"/>
      <c r="H142" s="111"/>
      <c r="I142" s="111"/>
      <c r="J142" s="111"/>
      <c r="K142" s="110"/>
      <c r="L142" s="111"/>
      <c r="M142" s="95"/>
      <c r="N142" s="111"/>
      <c r="O142" s="111"/>
      <c r="P142" s="239"/>
    </row>
    <row r="143" spans="1:16" x14ac:dyDescent="0.25">
      <c r="A143" s="239"/>
      <c r="B143" s="114"/>
      <c r="C143" s="99"/>
      <c r="D143" s="114"/>
      <c r="E143" s="114"/>
      <c r="F143" s="114"/>
      <c r="G143" s="99"/>
      <c r="H143" s="114"/>
      <c r="I143" s="114"/>
      <c r="J143" s="114"/>
      <c r="K143" s="111"/>
      <c r="L143" s="123"/>
      <c r="M143" s="111"/>
      <c r="N143" s="111"/>
      <c r="O143" s="111"/>
      <c r="P143" s="239"/>
    </row>
    <row r="144" spans="1:16" x14ac:dyDescent="0.25">
      <c r="A144" s="239"/>
      <c r="B144" s="111"/>
      <c r="C144" s="111"/>
      <c r="D144" s="111"/>
      <c r="E144" s="111"/>
      <c r="F144" s="99"/>
      <c r="G144" s="114"/>
      <c r="H144" s="114"/>
      <c r="I144" s="111"/>
      <c r="J144" s="114"/>
      <c r="K144" s="111"/>
      <c r="L144" s="114"/>
      <c r="M144" s="111"/>
      <c r="N144" s="111"/>
      <c r="O144" s="111"/>
      <c r="P144" s="239"/>
    </row>
    <row r="145" spans="1:16" x14ac:dyDescent="0.25">
      <c r="A145" s="239"/>
      <c r="B145" s="95"/>
      <c r="C145" s="124"/>
      <c r="D145" s="111"/>
      <c r="E145" s="111"/>
      <c r="F145" s="111"/>
      <c r="G145" s="111"/>
      <c r="H145" s="111"/>
      <c r="I145" s="111"/>
      <c r="J145" s="111"/>
      <c r="K145" s="111"/>
      <c r="L145" s="111"/>
      <c r="M145" s="111"/>
      <c r="N145" s="111"/>
      <c r="O145" s="111"/>
      <c r="P145" s="239"/>
    </row>
    <row r="146" spans="1:16" x14ac:dyDescent="0.25">
      <c r="A146" s="239"/>
      <c r="B146" s="110"/>
      <c r="C146" s="124"/>
      <c r="D146" s="95"/>
      <c r="E146" s="125"/>
      <c r="F146" s="125"/>
      <c r="G146" s="125"/>
      <c r="H146" s="111"/>
      <c r="I146" s="273"/>
      <c r="J146" s="273"/>
      <c r="K146" s="273"/>
      <c r="L146" s="273"/>
      <c r="M146" s="111"/>
      <c r="N146" s="111"/>
      <c r="O146" s="111"/>
      <c r="P146" s="239"/>
    </row>
    <row r="147" spans="1:16" x14ac:dyDescent="0.25">
      <c r="A147" s="239"/>
      <c r="B147" s="114"/>
      <c r="C147" s="99"/>
      <c r="D147" s="114"/>
      <c r="E147" s="114"/>
      <c r="F147" s="114"/>
      <c r="G147" s="99"/>
      <c r="H147" s="114"/>
      <c r="I147" s="114"/>
      <c r="J147" s="114"/>
      <c r="K147" s="111"/>
      <c r="L147" s="123"/>
      <c r="M147" s="111"/>
      <c r="N147" s="111"/>
      <c r="O147" s="111"/>
      <c r="P147" s="239"/>
    </row>
    <row r="148" spans="1:16" x14ac:dyDescent="0.25">
      <c r="A148" s="239"/>
      <c r="B148" s="111"/>
      <c r="C148" s="111"/>
      <c r="D148" s="111"/>
      <c r="E148" s="111"/>
      <c r="F148" s="111"/>
      <c r="G148" s="111"/>
      <c r="H148" s="111"/>
      <c r="I148" s="111"/>
      <c r="J148" s="111"/>
      <c r="K148" s="111"/>
      <c r="L148" s="111"/>
      <c r="M148" s="111"/>
      <c r="N148" s="111"/>
      <c r="O148" s="111"/>
      <c r="P148" s="239"/>
    </row>
    <row r="149" spans="1:16" ht="15.6" x14ac:dyDescent="0.3">
      <c r="A149" s="239"/>
      <c r="B149" s="126"/>
      <c r="C149" s="111"/>
      <c r="D149" s="111"/>
      <c r="E149" s="111"/>
      <c r="F149" s="117"/>
      <c r="G149" s="129"/>
      <c r="H149" s="129"/>
      <c r="I149" s="129"/>
      <c r="J149" s="129"/>
      <c r="K149" s="216"/>
      <c r="L149" s="117"/>
      <c r="M149" s="216"/>
      <c r="N149" s="216"/>
      <c r="O149" s="111"/>
      <c r="P149" s="239"/>
    </row>
    <row r="150" spans="1:16" x14ac:dyDescent="0.25">
      <c r="A150" s="239"/>
      <c r="B150" s="110"/>
      <c r="C150" s="111"/>
      <c r="D150" s="111"/>
      <c r="E150" s="111"/>
      <c r="F150" s="110"/>
      <c r="G150" s="111"/>
      <c r="H150" s="111"/>
      <c r="I150" s="111"/>
      <c r="J150" s="111"/>
      <c r="K150" s="216"/>
      <c r="L150" s="110"/>
      <c r="M150" s="216"/>
      <c r="N150" s="216"/>
      <c r="O150" s="111"/>
      <c r="P150" s="239"/>
    </row>
    <row r="151" spans="1:16" x14ac:dyDescent="0.25">
      <c r="A151" s="239"/>
      <c r="B151" s="111"/>
      <c r="C151" s="111"/>
      <c r="D151" s="111"/>
      <c r="E151" s="111"/>
      <c r="F151" s="111"/>
      <c r="G151" s="111"/>
      <c r="H151" s="111"/>
      <c r="I151" s="111"/>
      <c r="J151" s="111"/>
      <c r="K151" s="111"/>
      <c r="L151" s="111"/>
      <c r="M151" s="111"/>
      <c r="N151" s="111"/>
      <c r="O151" s="111"/>
      <c r="P151" s="239"/>
    </row>
    <row r="152" spans="1:16" x14ac:dyDescent="0.25">
      <c r="A152" s="239"/>
      <c r="B152" s="239"/>
      <c r="C152" s="239"/>
      <c r="D152" s="239"/>
      <c r="E152" s="239"/>
      <c r="F152" s="239"/>
      <c r="G152" s="239"/>
      <c r="H152" s="239"/>
      <c r="I152" s="239"/>
      <c r="J152" s="239"/>
      <c r="K152" s="239"/>
      <c r="L152" s="239"/>
      <c r="M152" s="239"/>
      <c r="N152" s="239"/>
      <c r="O152" s="239"/>
      <c r="P152" s="239"/>
    </row>
  </sheetData>
  <mergeCells count="17">
    <mergeCell ref="N15:O15"/>
    <mergeCell ref="F2:N4"/>
    <mergeCell ref="C11:E11"/>
    <mergeCell ref="N11:O11"/>
    <mergeCell ref="C13:E13"/>
    <mergeCell ref="C14:E14"/>
    <mergeCell ref="G5:I5"/>
    <mergeCell ref="I75:L75"/>
    <mergeCell ref="G78:J78"/>
    <mergeCell ref="M78:O79"/>
    <mergeCell ref="E66:F66"/>
    <mergeCell ref="C17:D17"/>
    <mergeCell ref="H17:I17"/>
    <mergeCell ref="M18:O18"/>
    <mergeCell ref="M20:O20"/>
    <mergeCell ref="M21:O21"/>
    <mergeCell ref="F75:G75"/>
  </mergeCells>
  <conditionalFormatting sqref="B104:B105 B107">
    <cfRule type="expression" dxfId="3" priority="1">
      <formula>$B104=1</formula>
    </cfRule>
    <cfRule type="expression" dxfId="2" priority="2">
      <formula>$K104="oui"</formula>
    </cfRule>
  </conditionalFormatting>
  <conditionalFormatting sqref="B33:B62">
    <cfRule type="expression" dxfId="1" priority="3">
      <formula>$B33=1</formula>
    </cfRule>
    <cfRule type="expression" dxfId="0" priority="4">
      <formula>$K33="oui"</formula>
    </cfRule>
  </conditionalFormatting>
  <dataValidations count="1">
    <dataValidation type="list" allowBlank="1" showInputMessage="1" showErrorMessage="1" sqref="O8" xr:uid="{9FEA98F1-06B4-40C2-BD64-AFC0BC7AB013}">
      <formula1>order_id</formula1>
    </dataValidation>
  </dataValidations>
  <pageMargins left="0.23622047244094491" right="0.23622047244094491" top="0.74803149606299213" bottom="0.74803149606299213" header="0.31496062992125984" footer="0.31496062992125984"/>
  <pageSetup paperSize="9" scale="52" orientation="portrait" r:id="rId1"/>
  <drawing r:id="rId2"/>
  <legacyDrawing r:id="rId3"/>
  <controls>
    <mc:AlternateContent xmlns:mc="http://schemas.openxmlformats.org/markup-compatibility/2006">
      <mc:Choice Requires="x14">
        <control shapeId="56327" r:id="rId4" name="CommandButton1">
          <controlPr defaultSize="0" autoLine="0" r:id="rId5">
            <anchor moveWithCells="1">
              <from>
                <xdr:col>16</xdr:col>
                <xdr:colOff>548640</xdr:colOff>
                <xdr:row>5</xdr:row>
                <xdr:rowOff>0</xdr:rowOff>
              </from>
              <to>
                <xdr:col>21</xdr:col>
                <xdr:colOff>45720</xdr:colOff>
                <xdr:row>8</xdr:row>
                <xdr:rowOff>160020</xdr:rowOff>
              </to>
            </anchor>
          </controlPr>
        </control>
      </mc:Choice>
      <mc:Fallback>
        <control shapeId="56327" r:id="rId4" name="CommandButton1"/>
      </mc:Fallback>
    </mc:AlternateContent>
    <mc:AlternateContent xmlns:mc="http://schemas.openxmlformats.org/markup-compatibility/2006">
      <mc:Choice Requires="x14">
        <control shapeId="56332" r:id="rId6" name="Button 12">
          <controlPr defaultSize="0" print="0" autoFill="0" autoPict="0" macro="[0]!Bouton12_Cliquer">
            <anchor moveWithCells="1" sizeWithCells="1">
              <from>
                <xdr:col>16</xdr:col>
                <xdr:colOff>525780</xdr:colOff>
                <xdr:row>9</xdr:row>
                <xdr:rowOff>190500</xdr:rowOff>
              </from>
              <to>
                <xdr:col>21</xdr:col>
                <xdr:colOff>30480</xdr:colOff>
                <xdr:row>13</xdr:row>
                <xdr:rowOff>68580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BEDA81C-4387-470B-93E6-75C3702DE790}">
          <x14:formula1>
            <xm:f>REGLAGE!$B$5:$B$10</xm:f>
          </x14:formula1>
          <xm:sqref>M18:O18</xm:sqref>
        </x14:dataValidation>
        <x14:dataValidation type="list" allowBlank="1" showInputMessage="1" showErrorMessage="1" xr:uid="{94DDF731-1488-471D-9223-8DDB74EC0ECF}">
          <x14:formula1>
            <xm:f>REGLAGE!$J$4:$J$10</xm:f>
          </x14:formula1>
          <xm:sqref>N15:O15</xm:sqref>
        </x14:dataValidation>
        <x14:dataValidation type="list" allowBlank="1" showInputMessage="1" showErrorMessage="1" xr:uid="{4C248A6F-2552-4887-871A-72A5FD7C18F1}">
          <x14:formula1>
            <xm:f>REGLAGE!$B$16:$B$23</xm:f>
          </x14:formula1>
          <xm:sqref>C11:E11</xm:sqref>
        </x14:dataValidation>
        <x14:dataValidation type="list" allowBlank="1" showInputMessage="1" showErrorMessage="1" xr:uid="{11CFA23D-F923-4CD9-969E-33C9352CF5DB}">
          <x14:formula1>
            <xm:f>REGLAGE!$L$4:$L$12</xm:f>
          </x14:formula1>
          <xm:sqref>G149:J149 G78:J78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2">
    <tabColor theme="5" tint="0.59999389629810485"/>
  </sheetPr>
  <dimension ref="B1:T68"/>
  <sheetViews>
    <sheetView showGridLines="0" zoomScale="80" zoomScaleNormal="80" workbookViewId="0">
      <selection activeCell="I15" sqref="I15"/>
    </sheetView>
  </sheetViews>
  <sheetFormatPr baseColWidth="10" defaultRowHeight="14.4" x14ac:dyDescent="0.3"/>
  <cols>
    <col min="1" max="1" width="3.88671875" customWidth="1"/>
    <col min="2" max="2" width="21.44140625" customWidth="1"/>
    <col min="3" max="3" width="28" customWidth="1"/>
    <col min="4" max="4" width="23" customWidth="1"/>
    <col min="5" max="6" width="15" customWidth="1"/>
    <col min="7" max="7" width="28.44140625" customWidth="1"/>
    <col min="8" max="8" width="4.109375" customWidth="1"/>
    <col min="9" max="9" width="4.5546875" customWidth="1"/>
    <col min="10" max="10" width="28.109375" customWidth="1"/>
    <col min="11" max="11" width="3.33203125" customWidth="1"/>
    <col min="12" max="12" width="27.5546875" style="8" customWidth="1"/>
    <col min="13" max="13" width="2.5546875" customWidth="1"/>
    <col min="14" max="14" width="11.5546875" style="16"/>
    <col min="15" max="15" width="4.5546875" customWidth="1"/>
    <col min="16" max="16" width="30.33203125" customWidth="1"/>
    <col min="20" max="20" width="19.88671875" customWidth="1"/>
  </cols>
  <sheetData>
    <row r="1" spans="2:20" ht="133.19999999999999" customHeight="1" x14ac:dyDescent="0.3">
      <c r="C1" s="293" t="s">
        <v>558</v>
      </c>
      <c r="D1" s="293"/>
    </row>
    <row r="2" spans="2:20" x14ac:dyDescent="0.3">
      <c r="C2" s="4"/>
      <c r="D2" s="4"/>
      <c r="E2" s="1"/>
      <c r="F2" s="8"/>
      <c r="G2" s="4"/>
      <c r="H2" s="4"/>
      <c r="J2" s="8"/>
    </row>
    <row r="3" spans="2:20" ht="18" x14ac:dyDescent="0.35">
      <c r="B3" s="176" t="s">
        <v>232</v>
      </c>
      <c r="C3" s="4"/>
      <c r="D3" s="4"/>
      <c r="E3" s="4"/>
      <c r="F3" s="8"/>
      <c r="G3" s="4"/>
      <c r="H3" s="1"/>
      <c r="I3" s="3"/>
      <c r="J3" s="178" t="s">
        <v>7</v>
      </c>
      <c r="L3" s="179" t="s">
        <v>233</v>
      </c>
      <c r="N3" s="180" t="s">
        <v>234</v>
      </c>
      <c r="P3" s="174" t="s">
        <v>236</v>
      </c>
      <c r="Q3" s="174"/>
      <c r="R3" s="174"/>
      <c r="S3" s="174"/>
      <c r="T3" s="174"/>
    </row>
    <row r="4" spans="2:20" x14ac:dyDescent="0.3">
      <c r="B4" s="5" t="s">
        <v>225</v>
      </c>
      <c r="C4" s="5" t="s">
        <v>226</v>
      </c>
      <c r="D4" s="5" t="s">
        <v>227</v>
      </c>
      <c r="E4" s="5" t="s">
        <v>228</v>
      </c>
      <c r="F4" s="9" t="s">
        <v>230</v>
      </c>
      <c r="G4" s="5" t="s">
        <v>229</v>
      </c>
      <c r="H4" s="4"/>
      <c r="J4" s="8" t="s">
        <v>559</v>
      </c>
      <c r="L4" s="17" t="s">
        <v>543</v>
      </c>
      <c r="N4" s="87" t="s">
        <v>546</v>
      </c>
      <c r="P4" s="174" t="s">
        <v>6</v>
      </c>
      <c r="Q4" s="174" t="s">
        <v>243</v>
      </c>
      <c r="R4" s="174">
        <v>1</v>
      </c>
      <c r="S4" s="174"/>
      <c r="T4" s="174" t="str">
        <f>Q4&amp;TEXT(R4,"0000")</f>
        <v>ALC-0001</v>
      </c>
    </row>
    <row r="5" spans="2:20" x14ac:dyDescent="0.3">
      <c r="B5" s="8" t="s">
        <v>588</v>
      </c>
      <c r="C5" s="4" t="s">
        <v>589</v>
      </c>
      <c r="D5" s="4" t="s">
        <v>590</v>
      </c>
      <c r="E5" s="295">
        <v>377855567</v>
      </c>
      <c r="F5" s="8"/>
      <c r="G5" s="4"/>
      <c r="H5" s="4"/>
      <c r="J5" s="8" t="s">
        <v>246</v>
      </c>
      <c r="L5" s="17" t="s">
        <v>544</v>
      </c>
      <c r="N5" s="88" t="s">
        <v>547</v>
      </c>
      <c r="P5" s="174" t="s">
        <v>244</v>
      </c>
      <c r="Q5" s="174" t="s">
        <v>245</v>
      </c>
      <c r="R5" s="174">
        <v>1</v>
      </c>
      <c r="S5" s="174"/>
      <c r="T5" s="174" t="str">
        <f>Q5&amp;TEXT(R5,"00")</f>
        <v>ART. N°01</v>
      </c>
    </row>
    <row r="6" spans="2:20" x14ac:dyDescent="0.3">
      <c r="B6" s="8" t="s">
        <v>591</v>
      </c>
      <c r="C6" s="4" t="s">
        <v>589</v>
      </c>
      <c r="D6" s="4" t="s">
        <v>590</v>
      </c>
      <c r="E6" s="295">
        <v>377855568</v>
      </c>
      <c r="F6" s="8"/>
      <c r="G6" s="4"/>
      <c r="H6" s="4"/>
      <c r="J6" s="8" t="s">
        <v>581</v>
      </c>
      <c r="L6" s="17" t="s">
        <v>545</v>
      </c>
      <c r="N6" s="87" t="s">
        <v>548</v>
      </c>
      <c r="P6" s="174" t="s">
        <v>262</v>
      </c>
      <c r="Q6" s="174" t="s">
        <v>263</v>
      </c>
      <c r="R6" s="174">
        <v>1</v>
      </c>
      <c r="S6" s="174"/>
      <c r="T6" s="174" t="str">
        <f>Q6&amp;TEXT(R6,"0000")</f>
        <v>SRA-0001</v>
      </c>
    </row>
    <row r="7" spans="2:20" x14ac:dyDescent="0.3">
      <c r="B7" s="8"/>
      <c r="C7" s="4"/>
      <c r="D7" s="4"/>
      <c r="E7" s="295"/>
      <c r="F7" s="8"/>
      <c r="G7" s="4"/>
      <c r="H7" s="4"/>
      <c r="J7" s="8" t="s">
        <v>247</v>
      </c>
      <c r="L7" s="17" t="s">
        <v>237</v>
      </c>
      <c r="N7" s="88" t="s">
        <v>251</v>
      </c>
      <c r="P7" s="174"/>
      <c r="Q7" s="174" t="str">
        <f ca="1">CONCATENATE("MC-",YEAR(NOW()))</f>
        <v>MC-2019</v>
      </c>
      <c r="R7" s="175">
        <v>1</v>
      </c>
      <c r="S7" s="174"/>
      <c r="T7" s="174" t="str">
        <f ca="1">Q7&amp;TEXT(R7,"-000")</f>
        <v>MC-2019-001</v>
      </c>
    </row>
    <row r="8" spans="2:20" x14ac:dyDescent="0.3">
      <c r="B8" s="8"/>
      <c r="C8" s="4"/>
      <c r="D8" s="4"/>
      <c r="E8" s="295"/>
      <c r="F8" s="8"/>
      <c r="G8" s="4"/>
      <c r="H8" s="4"/>
      <c r="J8" s="8" t="s">
        <v>248</v>
      </c>
      <c r="L8" s="17" t="s">
        <v>238</v>
      </c>
      <c r="N8" s="87" t="s">
        <v>252</v>
      </c>
      <c r="P8" s="175" t="s">
        <v>554</v>
      </c>
      <c r="Q8" s="174" t="str">
        <f ca="1">CONCATENATE("RC-",YEAR(NOW()))</f>
        <v>RC-2019</v>
      </c>
      <c r="R8" s="175">
        <v>1</v>
      </c>
      <c r="S8" s="174"/>
      <c r="T8" s="174" t="str">
        <f ca="1">Q8&amp;TEXT(R8,"-000")</f>
        <v>RC-2019-001</v>
      </c>
    </row>
    <row r="9" spans="2:20" x14ac:dyDescent="0.3">
      <c r="B9" s="8"/>
      <c r="C9" s="4"/>
      <c r="D9" s="4"/>
      <c r="E9" s="295"/>
      <c r="F9" s="8"/>
      <c r="G9" s="4"/>
      <c r="H9" s="4"/>
      <c r="J9" s="8" t="s">
        <v>249</v>
      </c>
      <c r="L9" s="17" t="s">
        <v>239</v>
      </c>
      <c r="N9" s="88" t="s">
        <v>253</v>
      </c>
      <c r="P9" s="174"/>
      <c r="Q9" s="174" t="str">
        <f ca="1">CONCATENATE("SRA-",YEAR(NOW()))</f>
        <v>SRA-2019</v>
      </c>
      <c r="R9" s="174">
        <v>5</v>
      </c>
      <c r="S9" s="174"/>
      <c r="T9" s="174" t="str">
        <f ca="1">Q9&amp;TEXT(R9,"-000")</f>
        <v>SRA-2019-005</v>
      </c>
    </row>
    <row r="10" spans="2:20" x14ac:dyDescent="0.3">
      <c r="B10" s="8"/>
      <c r="C10" s="8"/>
      <c r="D10" s="8"/>
      <c r="E10" s="296"/>
      <c r="F10" s="8"/>
      <c r="G10" s="8"/>
      <c r="H10" s="8"/>
      <c r="J10" s="8" t="s">
        <v>250</v>
      </c>
      <c r="L10" s="17" t="s">
        <v>240</v>
      </c>
      <c r="N10" s="87" t="s">
        <v>254</v>
      </c>
      <c r="P10" s="304" t="str">
        <f ca="1">CONCATENATE("N° MC-",YEAR(NOW()))</f>
        <v>N° MC-2019</v>
      </c>
      <c r="R10" s="174"/>
      <c r="S10" s="174"/>
      <c r="T10" s="174"/>
    </row>
    <row r="11" spans="2:20" x14ac:dyDescent="0.3">
      <c r="B11" s="8"/>
      <c r="C11" s="1"/>
      <c r="D11" s="1"/>
      <c r="E11" s="1"/>
      <c r="F11" s="8"/>
      <c r="G11" s="1"/>
      <c r="H11" s="8"/>
      <c r="L11" s="17" t="s">
        <v>241</v>
      </c>
      <c r="N11" s="88" t="s">
        <v>255</v>
      </c>
      <c r="P11" s="174"/>
      <c r="Q11" s="174"/>
      <c r="R11" s="174"/>
      <c r="S11" s="174"/>
      <c r="T11" s="174"/>
    </row>
    <row r="12" spans="2:20" x14ac:dyDescent="0.3">
      <c r="B12" s="8"/>
      <c r="C12" s="4"/>
      <c r="D12" s="4"/>
      <c r="E12" s="4"/>
      <c r="F12" s="8"/>
      <c r="G12" s="4"/>
      <c r="H12" s="4"/>
      <c r="J12" s="8"/>
      <c r="L12" s="17" t="s">
        <v>242</v>
      </c>
      <c r="N12" s="87" t="s">
        <v>256</v>
      </c>
      <c r="P12" s="174"/>
      <c r="Q12" s="174"/>
      <c r="R12" s="174"/>
      <c r="S12" s="174"/>
      <c r="T12" s="174"/>
    </row>
    <row r="13" spans="2:20" x14ac:dyDescent="0.3">
      <c r="B13" s="8"/>
      <c r="C13" s="4"/>
      <c r="D13" s="4"/>
      <c r="E13" s="4"/>
      <c r="F13" s="8"/>
      <c r="G13" s="4"/>
      <c r="H13" s="4"/>
      <c r="J13" s="8"/>
      <c r="L13" s="17"/>
      <c r="N13" s="11"/>
      <c r="P13" s="174"/>
      <c r="Q13" s="174"/>
      <c r="R13" s="174"/>
      <c r="S13" s="174"/>
      <c r="T13" s="174"/>
    </row>
    <row r="14" spans="2:20" ht="18" x14ac:dyDescent="0.35">
      <c r="B14" s="177" t="s">
        <v>231</v>
      </c>
      <c r="C14" s="4"/>
      <c r="D14" s="4"/>
      <c r="E14" s="4"/>
      <c r="F14" s="8"/>
      <c r="G14" s="4"/>
      <c r="H14" s="4"/>
      <c r="J14" s="8"/>
      <c r="L14" s="17"/>
      <c r="N14" s="11"/>
      <c r="P14" s="174"/>
      <c r="Q14" s="174"/>
      <c r="R14" s="174"/>
      <c r="S14" s="174"/>
      <c r="T14" s="174"/>
    </row>
    <row r="15" spans="2:20" x14ac:dyDescent="0.3">
      <c r="B15" s="5" t="s">
        <v>225</v>
      </c>
      <c r="C15" s="5" t="s">
        <v>226</v>
      </c>
      <c r="D15" s="5" t="s">
        <v>227</v>
      </c>
      <c r="E15" s="5" t="s">
        <v>228</v>
      </c>
      <c r="F15" s="9" t="s">
        <v>230</v>
      </c>
      <c r="G15" s="5" t="s">
        <v>229</v>
      </c>
      <c r="H15" s="4"/>
      <c r="J15" s="8"/>
      <c r="L15" s="17"/>
      <c r="N15" s="11"/>
      <c r="P15" s="174"/>
      <c r="Q15" s="174"/>
      <c r="R15" s="174"/>
      <c r="S15" s="174"/>
      <c r="T15" s="174"/>
    </row>
    <row r="16" spans="2:20" x14ac:dyDescent="0.3">
      <c r="B16" s="4" t="s">
        <v>559</v>
      </c>
      <c r="C16" s="4"/>
      <c r="D16" s="4"/>
      <c r="E16" s="295"/>
      <c r="F16" s="299"/>
      <c r="G16" s="4"/>
      <c r="H16" s="4"/>
      <c r="J16" s="8"/>
      <c r="L16" s="17"/>
      <c r="N16" s="11"/>
      <c r="P16" s="174"/>
      <c r="Q16" s="174"/>
      <c r="R16" s="174"/>
      <c r="S16" s="174"/>
      <c r="T16" s="174"/>
    </row>
    <row r="17" spans="2:20" x14ac:dyDescent="0.3">
      <c r="B17" t="s">
        <v>336</v>
      </c>
      <c r="C17" s="2" t="s">
        <v>567</v>
      </c>
      <c r="D17" s="298" t="s">
        <v>568</v>
      </c>
      <c r="E17" s="297">
        <v>388574130</v>
      </c>
      <c r="F17" s="297">
        <v>388574278</v>
      </c>
      <c r="G17" s="10"/>
      <c r="H17" s="4"/>
      <c r="J17" s="11"/>
      <c r="L17" s="17"/>
      <c r="N17" s="11"/>
      <c r="P17" s="174"/>
      <c r="Q17" s="174"/>
      <c r="R17" s="174"/>
      <c r="S17" s="174"/>
      <c r="T17" s="174"/>
    </row>
    <row r="18" spans="2:20" x14ac:dyDescent="0.3">
      <c r="B18" t="s">
        <v>336</v>
      </c>
      <c r="C18" s="2" t="s">
        <v>582</v>
      </c>
      <c r="D18" s="298" t="s">
        <v>568</v>
      </c>
      <c r="E18" s="297">
        <v>388574130</v>
      </c>
      <c r="F18" s="297">
        <v>388574278</v>
      </c>
      <c r="G18" s="10"/>
      <c r="H18" s="4"/>
      <c r="J18" s="11"/>
      <c r="L18" s="17"/>
      <c r="N18" s="11"/>
      <c r="P18" s="8"/>
      <c r="Q18" s="8"/>
      <c r="R18" s="8"/>
      <c r="S18" s="8"/>
      <c r="T18" s="8"/>
    </row>
    <row r="19" spans="2:20" x14ac:dyDescent="0.3">
      <c r="B19" t="s">
        <v>336</v>
      </c>
      <c r="C19" s="2" t="s">
        <v>583</v>
      </c>
      <c r="D19" s="298" t="s">
        <v>568</v>
      </c>
      <c r="E19" s="297">
        <v>388574130</v>
      </c>
      <c r="F19" s="297">
        <v>388574278</v>
      </c>
      <c r="G19" s="10"/>
      <c r="H19" s="4"/>
      <c r="J19" s="11"/>
      <c r="L19" s="17"/>
      <c r="N19" s="11"/>
    </row>
    <row r="20" spans="2:20" x14ac:dyDescent="0.3">
      <c r="B20" t="s">
        <v>336</v>
      </c>
      <c r="C20" s="2" t="s">
        <v>584</v>
      </c>
      <c r="D20" s="298" t="s">
        <v>568</v>
      </c>
      <c r="E20" s="297">
        <v>388574130</v>
      </c>
      <c r="F20" s="297">
        <v>388574278</v>
      </c>
      <c r="G20" s="10"/>
      <c r="H20" s="8"/>
      <c r="J20" s="11"/>
      <c r="L20" s="17"/>
      <c r="N20" s="11"/>
    </row>
    <row r="21" spans="2:20" x14ac:dyDescent="0.3">
      <c r="B21" t="s">
        <v>336</v>
      </c>
      <c r="C21" s="2" t="s">
        <v>585</v>
      </c>
      <c r="D21" s="298" t="s">
        <v>568</v>
      </c>
      <c r="E21" s="297">
        <v>388574130</v>
      </c>
      <c r="F21" s="297">
        <v>388574278</v>
      </c>
      <c r="G21" s="10"/>
      <c r="H21" s="1"/>
      <c r="J21" s="11"/>
      <c r="L21" s="17"/>
      <c r="N21" s="11"/>
    </row>
    <row r="22" spans="2:20" x14ac:dyDescent="0.3">
      <c r="B22" t="s">
        <v>336</v>
      </c>
      <c r="C22" s="2" t="s">
        <v>586</v>
      </c>
      <c r="D22" s="298" t="s">
        <v>568</v>
      </c>
      <c r="E22" s="297">
        <v>388574130</v>
      </c>
      <c r="F22" s="297">
        <v>388574278</v>
      </c>
      <c r="G22" s="10"/>
      <c r="H22" s="4"/>
      <c r="J22" s="11"/>
      <c r="L22" s="17"/>
      <c r="N22" s="11"/>
    </row>
    <row r="23" spans="2:20" x14ac:dyDescent="0.3">
      <c r="B23" t="s">
        <v>336</v>
      </c>
      <c r="C23" s="2" t="s">
        <v>587</v>
      </c>
      <c r="D23" s="298" t="s">
        <v>568</v>
      </c>
      <c r="E23" s="297">
        <v>388574130</v>
      </c>
      <c r="F23" s="297">
        <v>388574278</v>
      </c>
      <c r="G23" s="10"/>
      <c r="H23" s="4"/>
      <c r="J23" s="11"/>
      <c r="L23" s="17"/>
      <c r="N23" s="11"/>
    </row>
    <row r="24" spans="2:20" x14ac:dyDescent="0.3">
      <c r="B24" s="8"/>
      <c r="C24" s="4"/>
      <c r="D24" s="4"/>
      <c r="E24" s="4"/>
      <c r="F24" s="8"/>
      <c r="G24" s="4"/>
      <c r="H24" s="4"/>
      <c r="J24" s="11"/>
      <c r="L24" s="17"/>
      <c r="N24" s="11"/>
    </row>
    <row r="25" spans="2:20" x14ac:dyDescent="0.3">
      <c r="B25" s="8"/>
      <c r="C25" s="4"/>
      <c r="D25" s="4"/>
      <c r="E25" s="4"/>
      <c r="F25" s="8"/>
      <c r="G25" s="4"/>
      <c r="H25" s="4"/>
      <c r="J25" s="11"/>
      <c r="L25" s="17"/>
      <c r="N25" s="11"/>
    </row>
    <row r="26" spans="2:20" x14ac:dyDescent="0.3">
      <c r="B26" s="8"/>
      <c r="C26" s="4"/>
      <c r="D26" s="4"/>
      <c r="E26" s="4"/>
      <c r="F26" s="8"/>
      <c r="G26" s="4"/>
      <c r="H26" s="4"/>
      <c r="J26" s="11"/>
      <c r="L26" s="17"/>
      <c r="N26" s="11"/>
    </row>
    <row r="27" spans="2:20" x14ac:dyDescent="0.3">
      <c r="B27" s="8"/>
      <c r="C27" s="4"/>
      <c r="D27" s="4"/>
      <c r="E27" s="4"/>
      <c r="F27" s="8"/>
      <c r="G27" s="4"/>
      <c r="H27" s="4"/>
      <c r="J27" s="11"/>
      <c r="L27" s="17"/>
      <c r="N27" s="11"/>
    </row>
    <row r="28" spans="2:20" x14ac:dyDescent="0.3">
      <c r="B28" s="8"/>
      <c r="C28" s="4"/>
      <c r="D28" s="4"/>
      <c r="E28" s="4"/>
      <c r="F28" s="8"/>
      <c r="G28" s="4"/>
      <c r="H28" s="4"/>
      <c r="J28" s="11"/>
      <c r="L28" s="17"/>
      <c r="N28" s="11"/>
    </row>
    <row r="29" spans="2:20" x14ac:dyDescent="0.3">
      <c r="B29" s="8"/>
      <c r="C29" s="4"/>
      <c r="D29" s="4"/>
      <c r="E29" s="4"/>
      <c r="F29" s="8"/>
      <c r="G29" s="4"/>
      <c r="H29" s="1"/>
      <c r="J29" s="11"/>
      <c r="L29" s="17"/>
      <c r="N29" s="11"/>
    </row>
    <row r="30" spans="2:20" x14ac:dyDescent="0.3">
      <c r="B30" s="8"/>
      <c r="C30" s="4"/>
      <c r="D30" s="4"/>
      <c r="E30" s="4"/>
      <c r="F30" s="8"/>
      <c r="G30" s="4"/>
      <c r="H30" s="4"/>
      <c r="J30" s="11"/>
      <c r="L30" s="17"/>
      <c r="N30" s="11"/>
    </row>
    <row r="31" spans="2:20" x14ac:dyDescent="0.3">
      <c r="B31" s="8"/>
      <c r="C31" s="4"/>
      <c r="D31" s="4"/>
      <c r="E31" s="4"/>
      <c r="F31" s="8"/>
      <c r="G31" s="4"/>
      <c r="H31" s="4"/>
      <c r="J31" s="11"/>
      <c r="L31" s="17"/>
      <c r="N31" s="11"/>
    </row>
    <row r="32" spans="2:20" x14ac:dyDescent="0.3">
      <c r="B32" s="8"/>
      <c r="C32" s="4"/>
      <c r="D32" s="4"/>
      <c r="E32" s="4"/>
      <c r="F32" s="8"/>
      <c r="G32" s="4"/>
      <c r="H32" s="4"/>
      <c r="J32" s="11"/>
      <c r="L32" s="17"/>
      <c r="N32" s="11"/>
    </row>
    <row r="33" spans="2:14" x14ac:dyDescent="0.3">
      <c r="B33" s="8"/>
      <c r="C33" s="4"/>
      <c r="D33" s="4"/>
      <c r="E33" s="4"/>
      <c r="F33" s="8"/>
      <c r="G33" s="4"/>
      <c r="H33" s="4"/>
      <c r="J33" s="11"/>
      <c r="L33" s="17"/>
      <c r="N33" s="11"/>
    </row>
    <row r="34" spans="2:14" x14ac:dyDescent="0.3">
      <c r="H34" s="4"/>
      <c r="J34" s="11"/>
      <c r="L34" s="17"/>
      <c r="N34" s="11"/>
    </row>
    <row r="35" spans="2:14" x14ac:dyDescent="0.3">
      <c r="H35" s="4"/>
      <c r="J35" s="11"/>
      <c r="L35" s="17"/>
      <c r="N35" s="11"/>
    </row>
    <row r="36" spans="2:14" x14ac:dyDescent="0.3">
      <c r="H36" s="4"/>
      <c r="J36" s="11"/>
      <c r="L36" s="17"/>
      <c r="N36" s="11"/>
    </row>
    <row r="37" spans="2:14" x14ac:dyDescent="0.3">
      <c r="H37" s="4"/>
      <c r="J37" s="11"/>
      <c r="L37" s="17"/>
      <c r="N37" s="11"/>
    </row>
    <row r="38" spans="2:14" x14ac:dyDescent="0.3">
      <c r="H38" s="1"/>
      <c r="J38" s="11"/>
      <c r="L38" s="17"/>
      <c r="N38" s="11"/>
    </row>
    <row r="39" spans="2:14" x14ac:dyDescent="0.3">
      <c r="H39" s="4"/>
      <c r="J39" s="11"/>
      <c r="L39" s="17"/>
      <c r="N39" s="11"/>
    </row>
    <row r="40" spans="2:14" x14ac:dyDescent="0.3">
      <c r="H40" s="4"/>
      <c r="J40" s="11"/>
      <c r="L40" s="17"/>
      <c r="N40" s="11"/>
    </row>
    <row r="41" spans="2:14" x14ac:dyDescent="0.3">
      <c r="H41" s="4"/>
      <c r="J41" s="11"/>
      <c r="L41" s="17"/>
      <c r="N41" s="11"/>
    </row>
    <row r="42" spans="2:14" x14ac:dyDescent="0.3">
      <c r="H42" s="4"/>
      <c r="J42" s="11"/>
      <c r="L42" s="17"/>
      <c r="N42" s="11"/>
    </row>
    <row r="43" spans="2:14" x14ac:dyDescent="0.3">
      <c r="B43" s="8"/>
      <c r="C43" s="8"/>
      <c r="D43" s="8"/>
      <c r="E43" s="8"/>
      <c r="F43" s="8"/>
      <c r="G43" s="4"/>
      <c r="H43" s="4"/>
      <c r="J43" s="11"/>
      <c r="L43" s="17"/>
      <c r="N43" s="11"/>
    </row>
    <row r="44" spans="2:14" x14ac:dyDescent="0.3">
      <c r="B44" s="8"/>
      <c r="C44" s="8"/>
      <c r="D44" s="8"/>
      <c r="E44" s="8"/>
      <c r="F44" s="8"/>
      <c r="G44" s="4"/>
      <c r="H44" s="4"/>
      <c r="J44" s="11"/>
      <c r="L44" s="17"/>
      <c r="N44" s="11"/>
    </row>
    <row r="45" spans="2:14" x14ac:dyDescent="0.3">
      <c r="B45" s="8"/>
      <c r="C45" s="8"/>
      <c r="D45" s="8"/>
      <c r="E45" s="8"/>
      <c r="F45" s="8"/>
      <c r="G45" s="4"/>
      <c r="H45" s="4"/>
      <c r="J45" s="11"/>
      <c r="L45" s="17"/>
      <c r="N45" s="11"/>
    </row>
    <row r="46" spans="2:14" x14ac:dyDescent="0.3">
      <c r="B46" s="8"/>
      <c r="C46" s="8"/>
      <c r="D46" s="8"/>
      <c r="E46" s="8"/>
      <c r="F46" s="8"/>
      <c r="G46" s="4"/>
      <c r="H46" s="4"/>
      <c r="J46" s="11"/>
      <c r="L46" s="17"/>
      <c r="N46" s="11"/>
    </row>
    <row r="47" spans="2:14" x14ac:dyDescent="0.3">
      <c r="B47" s="8"/>
      <c r="C47" s="8"/>
      <c r="D47" s="8"/>
      <c r="E47" s="8"/>
      <c r="F47" s="8"/>
      <c r="G47" s="1"/>
      <c r="H47" s="1"/>
      <c r="J47" s="11"/>
      <c r="L47" s="17"/>
      <c r="N47" s="11"/>
    </row>
    <row r="48" spans="2:14" x14ac:dyDescent="0.3">
      <c r="B48" s="8"/>
      <c r="C48" s="8"/>
      <c r="D48" s="8"/>
      <c r="E48" s="8"/>
      <c r="F48" s="8"/>
      <c r="G48" s="4"/>
      <c r="H48" s="4"/>
      <c r="J48" s="8"/>
      <c r="L48" s="17"/>
    </row>
    <row r="49" spans="2:12" x14ac:dyDescent="0.3">
      <c r="B49" s="8"/>
      <c r="C49" s="8"/>
      <c r="D49" s="8"/>
      <c r="E49" s="8"/>
      <c r="F49" s="8"/>
      <c r="G49" s="4"/>
      <c r="H49" s="4"/>
      <c r="J49" s="8"/>
      <c r="L49" s="17"/>
    </row>
    <row r="50" spans="2:12" x14ac:dyDescent="0.3">
      <c r="B50" s="8"/>
      <c r="C50" s="8"/>
      <c r="D50" s="8"/>
      <c r="E50" s="8"/>
      <c r="F50" s="8"/>
      <c r="G50" s="4"/>
      <c r="H50" s="4"/>
      <c r="J50" s="8"/>
      <c r="L50" s="17"/>
    </row>
    <row r="51" spans="2:12" x14ac:dyDescent="0.3">
      <c r="B51" s="8"/>
      <c r="C51" s="8"/>
      <c r="D51" s="8"/>
      <c r="E51" s="8"/>
      <c r="F51" s="8"/>
      <c r="G51" s="4"/>
      <c r="H51" s="4"/>
    </row>
    <row r="52" spans="2:12" x14ac:dyDescent="0.3">
      <c r="B52" s="8"/>
      <c r="C52" s="8"/>
      <c r="D52" s="8"/>
      <c r="E52" s="8"/>
      <c r="F52" s="8"/>
      <c r="G52" s="4"/>
      <c r="H52" s="4"/>
    </row>
    <row r="53" spans="2:12" x14ac:dyDescent="0.3">
      <c r="B53" s="8"/>
      <c r="C53" s="8"/>
      <c r="D53" s="8"/>
      <c r="E53" s="8"/>
      <c r="F53" s="8"/>
      <c r="G53" s="4"/>
      <c r="H53" s="4"/>
    </row>
    <row r="54" spans="2:12" x14ac:dyDescent="0.3">
      <c r="B54" s="8"/>
      <c r="C54" s="8"/>
      <c r="D54" s="8"/>
      <c r="E54" s="8"/>
      <c r="F54" s="8"/>
      <c r="G54" s="4"/>
      <c r="H54" s="4"/>
    </row>
    <row r="55" spans="2:12" x14ac:dyDescent="0.3">
      <c r="B55" s="8"/>
      <c r="C55" s="8"/>
      <c r="D55" s="8"/>
      <c r="E55" s="8"/>
      <c r="F55" s="8"/>
      <c r="G55" s="4"/>
      <c r="H55" s="4"/>
    </row>
    <row r="56" spans="2:12" x14ac:dyDescent="0.3">
      <c r="B56" s="8"/>
      <c r="C56" s="8"/>
      <c r="D56" s="8"/>
      <c r="E56" s="8"/>
      <c r="F56" s="8"/>
      <c r="G56" s="1"/>
      <c r="H56" s="1"/>
    </row>
    <row r="57" spans="2:12" x14ac:dyDescent="0.3">
      <c r="B57" s="8"/>
      <c r="C57" s="8"/>
      <c r="D57" s="8"/>
      <c r="E57" s="8"/>
      <c r="F57" s="8"/>
      <c r="G57" s="4"/>
      <c r="H57" s="4"/>
    </row>
    <row r="58" spans="2:12" x14ac:dyDescent="0.3">
      <c r="B58" s="8"/>
      <c r="C58" s="8"/>
      <c r="D58" s="8"/>
      <c r="E58" s="8"/>
      <c r="F58" s="8"/>
      <c r="G58" s="4"/>
      <c r="H58" s="4"/>
    </row>
    <row r="59" spans="2:12" x14ac:dyDescent="0.3">
      <c r="B59" s="8"/>
      <c r="C59" s="8"/>
      <c r="D59" s="8"/>
      <c r="E59" s="8"/>
      <c r="F59" s="8"/>
      <c r="G59" s="4"/>
      <c r="H59" s="4"/>
    </row>
    <row r="60" spans="2:12" x14ac:dyDescent="0.3">
      <c r="B60" s="8"/>
      <c r="C60" s="8"/>
      <c r="D60" s="8"/>
      <c r="E60" s="8"/>
      <c r="F60" s="8"/>
      <c r="G60" s="4"/>
      <c r="H60" s="4"/>
    </row>
    <row r="61" spans="2:12" x14ac:dyDescent="0.3">
      <c r="B61" s="8"/>
      <c r="C61" s="8"/>
      <c r="D61" s="8"/>
      <c r="E61" s="8"/>
      <c r="F61" s="8"/>
      <c r="G61" s="8"/>
      <c r="H61" s="8"/>
    </row>
    <row r="62" spans="2:12" x14ac:dyDescent="0.3">
      <c r="B62" s="8"/>
      <c r="C62" s="8"/>
      <c r="D62" s="8"/>
      <c r="E62" s="8"/>
      <c r="F62" s="8"/>
      <c r="G62" s="4"/>
      <c r="H62" s="4"/>
    </row>
    <row r="63" spans="2:12" x14ac:dyDescent="0.3">
      <c r="B63" s="8"/>
      <c r="C63" s="8"/>
      <c r="D63" s="8"/>
      <c r="E63" s="8"/>
      <c r="F63" s="8"/>
      <c r="G63" s="4"/>
      <c r="H63" s="4"/>
    </row>
    <row r="64" spans="2:12" x14ac:dyDescent="0.3">
      <c r="B64" s="8"/>
      <c r="C64" s="8"/>
      <c r="D64" s="8"/>
      <c r="E64" s="8"/>
      <c r="F64" s="8"/>
      <c r="G64" s="4"/>
      <c r="H64" s="4"/>
    </row>
    <row r="65" spans="2:8" x14ac:dyDescent="0.3">
      <c r="B65" s="8"/>
      <c r="C65" s="8"/>
      <c r="D65" s="8"/>
      <c r="E65" s="8"/>
      <c r="F65" s="8"/>
      <c r="G65" s="4"/>
      <c r="H65" s="4"/>
    </row>
    <row r="66" spans="2:8" x14ac:dyDescent="0.3">
      <c r="B66" s="8"/>
      <c r="C66" s="8"/>
      <c r="D66" s="8"/>
      <c r="E66" s="8"/>
      <c r="F66" s="8"/>
      <c r="G66" s="4"/>
      <c r="H66" s="4"/>
    </row>
    <row r="67" spans="2:8" x14ac:dyDescent="0.3">
      <c r="B67" s="8"/>
      <c r="C67" s="8"/>
      <c r="D67" s="8"/>
      <c r="E67" s="8"/>
      <c r="F67" s="8"/>
      <c r="G67" s="4"/>
      <c r="H67" s="4"/>
    </row>
    <row r="68" spans="2:8" x14ac:dyDescent="0.3">
      <c r="B68" s="8"/>
      <c r="C68" s="8"/>
      <c r="D68" s="8"/>
      <c r="E68" s="8"/>
      <c r="F68" s="8"/>
      <c r="G68" s="4"/>
      <c r="H68" s="4"/>
    </row>
  </sheetData>
  <mergeCells count="1">
    <mergeCell ref="C1:D1"/>
  </mergeCells>
  <phoneticPr fontId="3" type="noConversion"/>
  <pageMargins left="0.7" right="0.7" top="0.75" bottom="0.75" header="0.3" footer="0.3"/>
  <pageSetup paperSize="9" orientation="portrait" horizontalDpi="300" verticalDpi="300" r:id="rId1"/>
  <ignoredErrors>
    <ignoredError sqref="T5" formula="1"/>
  </ignoredErrors>
  <drawing r:id="rId2"/>
  <tableParts count="5">
    <tablePart r:id="rId3"/>
    <tablePart r:id="rId4"/>
    <tablePart r:id="rId5"/>
    <tablePart r:id="rId6"/>
    <tablePart r:id="rId7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">
    <tabColor theme="5" tint="0.59999389629810485"/>
  </sheetPr>
  <dimension ref="C1:G13"/>
  <sheetViews>
    <sheetView workbookViewId="0">
      <selection activeCell="P23" sqref="P23"/>
    </sheetView>
  </sheetViews>
  <sheetFormatPr baseColWidth="10" defaultRowHeight="14.4" x14ac:dyDescent="0.3"/>
  <sheetData>
    <row r="1" spans="3:7" x14ac:dyDescent="0.3">
      <c r="C1" s="19" t="s">
        <v>264</v>
      </c>
    </row>
    <row r="2" spans="3:7" x14ac:dyDescent="0.3">
      <c r="C2" t="s">
        <v>265</v>
      </c>
    </row>
    <row r="3" spans="3:7" x14ac:dyDescent="0.3">
      <c r="C3" t="s">
        <v>266</v>
      </c>
      <c r="G3" s="20" t="s">
        <v>269</v>
      </c>
    </row>
    <row r="4" spans="3:7" x14ac:dyDescent="0.3">
      <c r="C4" t="s">
        <v>267</v>
      </c>
    </row>
    <row r="5" spans="3:7" x14ac:dyDescent="0.3">
      <c r="C5" t="s">
        <v>268</v>
      </c>
    </row>
    <row r="6" spans="3:7" x14ac:dyDescent="0.3">
      <c r="C6" t="s">
        <v>336</v>
      </c>
    </row>
    <row r="7" spans="3:7" x14ac:dyDescent="0.3">
      <c r="C7" t="s">
        <v>535</v>
      </c>
    </row>
    <row r="8" spans="3:7" x14ac:dyDescent="0.3">
      <c r="C8" t="s">
        <v>536</v>
      </c>
    </row>
    <row r="9" spans="3:7" x14ac:dyDescent="0.3">
      <c r="C9" t="s">
        <v>537</v>
      </c>
    </row>
    <row r="10" spans="3:7" x14ac:dyDescent="0.3">
      <c r="C10" t="s">
        <v>538</v>
      </c>
    </row>
    <row r="11" spans="3:7" x14ac:dyDescent="0.3">
      <c r="C11" t="s">
        <v>540</v>
      </c>
    </row>
    <row r="12" spans="3:7" x14ac:dyDescent="0.3">
      <c r="C12" t="s">
        <v>541</v>
      </c>
    </row>
    <row r="13" spans="3:7" x14ac:dyDescent="0.3">
      <c r="C13" t="s">
        <v>542</v>
      </c>
    </row>
  </sheetData>
  <phoneticPr fontId="3" type="noConversion"/>
  <hyperlinks>
    <hyperlink ref="G3" r:id="rId1" xr:uid="{00000000-0004-0000-0800-000000000000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12</vt:i4>
      </vt:variant>
    </vt:vector>
  </HeadingPairs>
  <TitlesOfParts>
    <vt:vector size="30" baseType="lpstr">
      <vt:lpstr>WAGO</vt:lpstr>
      <vt:lpstr>FILS</vt:lpstr>
      <vt:lpstr>GOULOTTE</vt:lpstr>
      <vt:lpstr>WURTH</vt:lpstr>
      <vt:lpstr>SOCOMEC</vt:lpstr>
      <vt:lpstr>CAPRIS</vt:lpstr>
      <vt:lpstr>LEGRAND</vt:lpstr>
      <vt:lpstr>SCHNEIDER</vt:lpstr>
      <vt:lpstr>SIEMENS</vt:lpstr>
      <vt:lpstr>Feuil1</vt:lpstr>
      <vt:lpstr>Feuil2</vt:lpstr>
      <vt:lpstr>Feuil3</vt:lpstr>
      <vt:lpstr>ENTREE-COMMANDE</vt:lpstr>
      <vt:lpstr>SORTIE-RETOUR-ARTICLE</vt:lpstr>
      <vt:lpstr>Order</vt:lpstr>
      <vt:lpstr>BON DE COMMANDE</vt:lpstr>
      <vt:lpstr>REGLAGE</vt:lpstr>
      <vt:lpstr>Liste des types</vt:lpstr>
      <vt:lpstr>affaire</vt:lpstr>
      <vt:lpstr>bon_de_cdel</vt:lpstr>
      <vt:lpstr>employer</vt:lpstr>
      <vt:lpstr>FILS!fils_descrip</vt:lpstr>
      <vt:lpstr>FILS!fils_ref</vt:lpstr>
      <vt:lpstr>fournisseur</vt:lpstr>
      <vt:lpstr>id_reference</vt:lpstr>
      <vt:lpstr>order_id</vt:lpstr>
      <vt:lpstr>WAGO!wago</vt:lpstr>
      <vt:lpstr>WAGO!wago_descrip</vt:lpstr>
      <vt:lpstr>WAGO!wago_ref</vt:lpstr>
      <vt:lpstr>'BON DE COMMANDE'!Zone_d_impression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Kannen</dc:creator>
  <cp:lastModifiedBy>Kannen</cp:lastModifiedBy>
  <cp:lastPrinted>2019-12-28T23:20:11Z</cp:lastPrinted>
  <dcterms:created xsi:type="dcterms:W3CDTF">2019-12-19T21:26:50Z</dcterms:created>
  <dcterms:modified xsi:type="dcterms:W3CDTF">2019-12-29T18:57:17Z</dcterms:modified>
</cp:coreProperties>
</file>