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8_{FBBA8B4C-276A-49D3-B434-937F0747EC68}" xr6:coauthVersionLast="47" xr6:coauthVersionMax="47" xr10:uidLastSave="{00000000-0000-0000-0000-000000000000}"/>
  <bookViews>
    <workbookView xWindow="6495" yWindow="105" windowWidth="15000" windowHeight="12090" xr2:uid="{00000000-000D-0000-FFFF-FFFF00000000}"/>
  </bookViews>
  <sheets>
    <sheet name="Feuil1" sheetId="1" r:id="rId1"/>
    <sheet name="Paramètres" sheetId="2" r:id="rId2"/>
  </sheets>
  <definedNames>
    <definedName name="_Annee">Feuil1!$C$12</definedName>
    <definedName name="_JourPaques">Paramètres!$E$4</definedName>
    <definedName name="_Mois">Feuil1!$C$13</definedName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4" i="1" l="1"/>
  <c r="E45" i="1"/>
  <c r="E46" i="1"/>
  <c r="E47" i="1"/>
  <c r="E48" i="1"/>
  <c r="E49" i="1"/>
  <c r="E50" i="1"/>
  <c r="E35" i="1"/>
  <c r="E36" i="1"/>
  <c r="E37" i="1"/>
  <c r="E38" i="1"/>
  <c r="E39" i="1"/>
  <c r="E40" i="1"/>
  <c r="E41" i="1"/>
  <c r="E42" i="1"/>
  <c r="E43" i="1"/>
  <c r="E34" i="1"/>
  <c r="E33" i="1"/>
  <c r="E32" i="1"/>
  <c r="E31" i="1"/>
  <c r="E30" i="1"/>
  <c r="E29" i="1"/>
  <c r="E28" i="1"/>
  <c r="E27" i="1"/>
  <c r="E24" i="1"/>
  <c r="E23" i="1"/>
  <c r="E22" i="1"/>
  <c r="E21" i="1"/>
  <c r="E20" i="1"/>
  <c r="E26" i="1"/>
  <c r="E25" i="1"/>
  <c r="D20" i="1"/>
  <c r="C20" i="1" s="1"/>
  <c r="N12" i="1"/>
  <c r="E15" i="2"/>
  <c r="E14" i="2"/>
  <c r="E13" i="2"/>
  <c r="E12" i="2"/>
  <c r="E11" i="2"/>
  <c r="E7" i="2"/>
  <c r="E4" i="2"/>
  <c r="E10" i="2" s="1"/>
  <c r="E6" i="2"/>
  <c r="E3" i="2"/>
  <c r="L14" i="1" l="1"/>
  <c r="M14" i="1" s="1"/>
  <c r="L8" i="1"/>
  <c r="L13" i="1"/>
  <c r="N13" i="1" s="1"/>
  <c r="E8" i="2"/>
  <c r="E5" i="2"/>
  <c r="E9" i="2"/>
  <c r="D21" i="1"/>
  <c r="N14" i="1" l="1"/>
  <c r="N15" i="1" s="1"/>
  <c r="D22" i="1"/>
  <c r="C21" i="1"/>
  <c r="G21" i="1" l="1"/>
  <c r="D23" i="1"/>
  <c r="C22" i="1"/>
  <c r="G22" i="1" l="1"/>
  <c r="D24" i="1"/>
  <c r="C23" i="1"/>
  <c r="G23" i="1" l="1"/>
  <c r="D25" i="1"/>
  <c r="C24" i="1"/>
  <c r="G24" i="1" l="1"/>
  <c r="D26" i="1"/>
  <c r="C25" i="1"/>
  <c r="G25" i="1" l="1"/>
  <c r="D27" i="1"/>
  <c r="C26" i="1"/>
  <c r="G26" i="1" l="1"/>
  <c r="D28" i="1"/>
  <c r="C27" i="1"/>
  <c r="G27" i="1" l="1"/>
  <c r="D29" i="1"/>
  <c r="C28" i="1"/>
  <c r="G28" i="1" l="1"/>
  <c r="D30" i="1"/>
  <c r="C29" i="1"/>
  <c r="G29" i="1" l="1"/>
  <c r="D31" i="1"/>
  <c r="C30" i="1"/>
  <c r="G30" i="1" l="1"/>
  <c r="D32" i="1"/>
  <c r="C31" i="1"/>
  <c r="G31" i="1" l="1"/>
  <c r="D33" i="1"/>
  <c r="C32" i="1"/>
  <c r="G32" i="1" l="1"/>
  <c r="D34" i="1"/>
  <c r="C33" i="1"/>
  <c r="L6" i="1"/>
  <c r="F51" i="1"/>
  <c r="L7" i="1" s="1"/>
  <c r="M9" i="1" s="1"/>
  <c r="G20" i="1"/>
  <c r="I21" i="1"/>
  <c r="J22" i="1"/>
  <c r="J23" i="1"/>
  <c r="J24" i="1"/>
  <c r="J25" i="1"/>
  <c r="J26" i="1"/>
  <c r="I27" i="1"/>
  <c r="J28" i="1"/>
  <c r="J29" i="1"/>
  <c r="J30" i="1"/>
  <c r="I31" i="1"/>
  <c r="J32" i="1"/>
  <c r="J33" i="1"/>
  <c r="J20" i="1"/>
  <c r="G33" i="1" l="1"/>
  <c r="H15" i="1"/>
  <c r="D35" i="1"/>
  <c r="C34" i="1"/>
  <c r="J34" i="1"/>
  <c r="I25" i="1"/>
  <c r="I29" i="1"/>
  <c r="I23" i="1"/>
  <c r="I22" i="1"/>
  <c r="I33" i="1"/>
  <c r="J21" i="1"/>
  <c r="I26" i="1"/>
  <c r="I30" i="1"/>
  <c r="I32" i="1"/>
  <c r="I28" i="1"/>
  <c r="J31" i="1"/>
  <c r="J27" i="1"/>
  <c r="I24" i="1"/>
  <c r="I20" i="1"/>
  <c r="G34" i="1" l="1"/>
  <c r="I34" i="1"/>
  <c r="D36" i="1"/>
  <c r="C35" i="1"/>
  <c r="G35" i="1" l="1"/>
  <c r="I35" i="1"/>
  <c r="J35" i="1"/>
  <c r="D37" i="1"/>
  <c r="C36" i="1"/>
  <c r="G36" i="1" l="1"/>
  <c r="J36" i="1"/>
  <c r="I36" i="1"/>
  <c r="D38" i="1"/>
  <c r="C37" i="1"/>
  <c r="J37" i="1"/>
  <c r="G37" i="1" l="1"/>
  <c r="D39" i="1"/>
  <c r="C38" i="1"/>
  <c r="G38" i="1" l="1"/>
  <c r="J38" i="1"/>
  <c r="I38" i="1"/>
  <c r="D40" i="1"/>
  <c r="C39" i="1"/>
  <c r="G39" i="1" l="1"/>
  <c r="D41" i="1"/>
  <c r="C40" i="1"/>
  <c r="I39" i="1"/>
  <c r="J39" i="1"/>
  <c r="G40" i="1" l="1"/>
  <c r="I40" i="1"/>
  <c r="J40" i="1"/>
  <c r="D42" i="1"/>
  <c r="C41" i="1"/>
  <c r="G41" i="1" l="1"/>
  <c r="D43" i="1"/>
  <c r="C42" i="1"/>
  <c r="J41" i="1"/>
  <c r="I41" i="1"/>
  <c r="G42" i="1" l="1"/>
  <c r="J42" i="1"/>
  <c r="I42" i="1"/>
  <c r="D44" i="1"/>
  <c r="C43" i="1"/>
  <c r="G43" i="1" l="1"/>
  <c r="D45" i="1"/>
  <c r="C44" i="1"/>
  <c r="I43" i="1"/>
  <c r="J43" i="1"/>
  <c r="G44" i="1" l="1"/>
  <c r="I44" i="1"/>
  <c r="J44" i="1"/>
  <c r="D46" i="1"/>
  <c r="C45" i="1"/>
  <c r="I45" i="1"/>
  <c r="G45" i="1" l="1"/>
  <c r="D47" i="1"/>
  <c r="C46" i="1"/>
  <c r="I46" i="1"/>
  <c r="G46" i="1" l="1"/>
  <c r="C47" i="1"/>
  <c r="D48" i="1"/>
  <c r="I47" i="1"/>
  <c r="G47" i="1" l="1"/>
  <c r="C48" i="1"/>
  <c r="D49" i="1"/>
  <c r="G48" i="1" l="1"/>
  <c r="I48" i="1"/>
  <c r="J48" i="1"/>
  <c r="D50" i="1"/>
  <c r="C49" i="1"/>
  <c r="G49" i="1" l="1"/>
  <c r="C50" i="1"/>
  <c r="J49" i="1"/>
  <c r="I49" i="1"/>
  <c r="G50" i="1" l="1"/>
  <c r="E51" i="1"/>
  <c r="I50" i="1"/>
  <c r="J50" i="1"/>
</calcChain>
</file>

<file path=xl/sharedStrings.xml><?xml version="1.0" encoding="utf-8"?>
<sst xmlns="http://schemas.openxmlformats.org/spreadsheetml/2006/main" count="69" uniqueCount="58">
  <si>
    <t>CA à réaliser</t>
  </si>
  <si>
    <t>CA réalisé</t>
  </si>
  <si>
    <t>Mai</t>
  </si>
  <si>
    <t>Objectif</t>
  </si>
  <si>
    <t>Ecart</t>
  </si>
  <si>
    <t>CA restant</t>
  </si>
  <si>
    <t>Travaillé</t>
  </si>
  <si>
    <t>Non-travaillé</t>
  </si>
  <si>
    <t>Jours fériés</t>
  </si>
  <si>
    <t>Dimanches</t>
  </si>
  <si>
    <t>Lundis</t>
  </si>
  <si>
    <t xml:space="preserve"> </t>
  </si>
  <si>
    <t>Calcul de moyenne à réaliser</t>
  </si>
  <si>
    <t>Moyenne à faire</t>
  </si>
  <si>
    <t xml:space="preserve">Jours fériés = dimanches </t>
  </si>
  <si>
    <t>CA mensuel à réaliser</t>
  </si>
  <si>
    <t>Nbre dimanches restant</t>
  </si>
  <si>
    <t>/dimanche</t>
  </si>
  <si>
    <t>Nbre de jours restant</t>
  </si>
  <si>
    <t>/jour</t>
  </si>
  <si>
    <t>Système actuel</t>
  </si>
  <si>
    <t>Il faut entrer le CA cumulé tous les jours</t>
  </si>
  <si>
    <t>et ôter 1 jour,</t>
  </si>
  <si>
    <t>jour</t>
  </si>
  <si>
    <t>Réalisation</t>
  </si>
  <si>
    <t>x</t>
  </si>
  <si>
    <t>vacances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</si>
  <si>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</si>
  <si>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</si>
  <si>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</si>
  <si>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</si>
  <si>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</si>
  <si>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</si>
  <si>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</si>
  <si>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</si>
  <si>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</si>
  <si>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</si>
  <si>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</si>
  <si>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</si>
  <si>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</si>
  <si>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Date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</si>
  <si>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</si>
  <si>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</si>
  <si>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</si>
  <si>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</si>
  <si>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</si>
  <si>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</si>
  <si>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</si>
  <si>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</si>
  <si>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</si>
  <si>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</si>
  <si>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</si>
  <si>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</si>
  <si>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</si>
  <si>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https://forum.formuleexcel.com/t/creer-un-tableau-dobjectif-journalier-evolutif/15361</t>
  </si>
  <si>
    <t>Objectif mensuel</t>
  </si>
  <si>
    <t>Nb dimanche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</si>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</sst>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d"/>
    <numFmt numFmtId="166" formatCode="#,##0.00;\-#,##0.00;"/>
  </numFmts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2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3" fontId="2" fillId="0" borderId="5" xfId="0" applyNumberFormat="1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6" xfId="0" applyBorder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center" vertical="center"/>
    </xf>
    <xf numFmtId="0" fontId="3" fillId="0" borderId="5" xfId="0" applyFont="1" applyBorder="1" applyAlignment="1">
      <alignment vertical="center"/>
    </xf>
    <xf numFmtId="10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vertical="center"/>
    </xf>
    <xf numFmtId="0" fontId="0" fillId="0" borderId="5" xfId="0" applyBorder="1" applyAlignment="1">
      <alignment vertical="center"/>
    </xf>
    <xf numFmtId="4" fontId="4" fillId="0" borderId="0" xfId="0" applyNumberFormat="1" applyFont="1" applyAlignment="1">
      <alignment horizontal="right" vertical="center"/>
    </xf>
    <xf numFmtId="3" fontId="3" fillId="0" borderId="1" xfId="0" applyNumberFormat="1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3" fontId="2" fillId="0" borderId="0" xfId="0" applyNumberFormat="1" applyFont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3" fontId="0" fillId="0" borderId="1" xfId="0" applyNumberFormat="1" applyBorder="1" applyAlignment="1">
      <alignment vertical="center"/>
    </xf>
    <xf numFmtId="3" fontId="0" fillId="0" borderId="0" xfId="0" applyNumberFormat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3" fontId="6" fillId="0" borderId="0" xfId="0" applyNumberFormat="1" applyFont="1" applyAlignment="1">
      <alignment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 indent="1"/>
    </xf>
    <xf numFmtId="165" fontId="0" fillId="0" borderId="0" xfId="0" applyNumberFormat="1" applyAlignment="1">
      <alignment horizontal="right" vertical="center" indent="1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vertical="center"/>
    </xf>
    <xf numFmtId="0" fontId="9" fillId="0" borderId="0" xfId="1" applyAlignment="1">
      <alignment vertical="center"/>
    </xf>
    <xf numFmtId="166" fontId="0" fillId="0" borderId="0" xfId="0" applyNumberFormat="1" applyAlignment="1">
      <alignment vertical="center"/>
    </xf>
    <xf numFmtId="4" fontId="10" fillId="0" borderId="0" xfId="0" applyNumberFormat="1" applyFont="1" applyAlignment="1">
      <alignment vertical="center"/>
    </xf>
  </cellXfs>
  <cellStyles count="2">
    <cellStyle name="Lien hypertexte" xfId="1" builtinId="8"/>
    <cellStyle name="Normal" xfId="0" builtinId="0"/>
  </cellStyles>
  <dxfs count="5"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C$12" max="2050" min="2023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9525</xdr:rowOff>
        </xdr:from>
        <xdr:to>
          <xdr:col>3</xdr:col>
          <xdr:colOff>190500</xdr:colOff>
          <xdr:row>12</xdr:row>
          <xdr:rowOff>9525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6DA8ED-29ED-45FB-AB72-8C7F726C01CB}" name="t_Mois" displayName="t_Mois" ref="B2:B14" totalsRowShown="0" headerRowDxfId="4" dataDxfId="3">
  <autoFilter ref="B2:B14" xr:uid="{836DA8ED-29ED-45FB-AB72-8C7F726C01CB}">
    <filterColumn colId="0" hiddenButton="1"/>
  </autoFilter>
  <tableColumns count="1">
    <tableColumn id="1" xr3:uid="{7C6DA76E-CDD4-49E4-9B59-A920CD542E84}" name="Mois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034A04C-3FDD-4914-B7B7-783907694012}" name="t_Feries" displayName="t_Feries" ref="D2:E15" totalsRowShown="0">
  <autoFilter ref="D2:E15" xr:uid="{3034A04C-3FDD-4914-B7B7-783907694012}">
    <filterColumn colId="0" hiddenButton="1"/>
    <filterColumn colId="1" hiddenButton="1"/>
  </autoFilter>
  <tableColumns count="2">
    <tableColumn id="1" xr3:uid="{63A67BB8-857F-48A8-9A0C-DE45D422600B}" name="Jours fériés" dataDxfId="1"/>
    <tableColumn id="3" xr3:uid="{5B261AD4-1D04-4D07-8BFF-2498E940650F}" name="Dat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formuleexcel.com/t/creer-un-tableau-dobjectif-journalier-evolutif/15361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U51"/>
  <sheetViews>
    <sheetView showGridLines="0" tabSelected="1" topLeftCell="A4" workbookViewId="0">
      <selection activeCell="M35" sqref="M35"/>
    </sheetView>
  </sheetViews>
  <sheetFormatPr baseColWidth="10" defaultColWidth="9.140625" defaultRowHeight="15" x14ac:dyDescent="0.25"/>
  <cols>
    <col min="1" max="1" width="9.5703125" style="1" bestFit="1" customWidth="1"/>
    <col min="2" max="2" width="9.140625" style="3"/>
    <col min="3" max="3" width="11.140625" style="1" bestFit="1" customWidth="1"/>
    <col min="4" max="4" width="4.85546875" style="1" customWidth="1"/>
    <col min="5" max="5" width="9.85546875" style="1" bestFit="1" customWidth="1"/>
    <col min="6" max="6" width="9.5703125" style="1" bestFit="1" customWidth="1"/>
    <col min="7" max="8" width="9.140625" style="1"/>
    <col min="9" max="10" width="12.7109375" style="1" customWidth="1"/>
    <col min="11" max="11" width="11.7109375" style="1" customWidth="1"/>
    <col min="12" max="12" width="9.140625" style="1"/>
    <col min="13" max="13" width="9.28515625" style="1" bestFit="1" customWidth="1"/>
    <col min="14" max="14" width="9.85546875" style="1" bestFit="1" customWidth="1"/>
    <col min="15" max="16384" width="9.140625" style="1"/>
  </cols>
  <sheetData>
    <row r="2" spans="2:21" x14ac:dyDescent="0.25">
      <c r="D2" s="4"/>
      <c r="J2" s="5"/>
      <c r="K2" s="6" t="s">
        <v>12</v>
      </c>
      <c r="L2" s="7"/>
      <c r="M2" s="7"/>
      <c r="N2" s="7"/>
      <c r="O2" s="7"/>
      <c r="P2" s="7"/>
      <c r="Q2" s="7"/>
      <c r="R2" s="7"/>
      <c r="S2" s="8"/>
    </row>
    <row r="3" spans="2:21" x14ac:dyDescent="0.25">
      <c r="J3" s="9"/>
      <c r="K3" s="10"/>
      <c r="S3" s="11"/>
    </row>
    <row r="4" spans="2:21" x14ac:dyDescent="0.25">
      <c r="F4" s="1" t="s">
        <v>20</v>
      </c>
      <c r="J4" s="9"/>
      <c r="K4" s="12"/>
      <c r="L4" s="13" t="s">
        <v>2</v>
      </c>
      <c r="M4" s="10"/>
      <c r="N4" s="10"/>
      <c r="S4" s="11"/>
    </row>
    <row r="5" spans="2:21" x14ac:dyDescent="0.25">
      <c r="J5" s="14"/>
      <c r="M5" s="15" t="s">
        <v>13</v>
      </c>
      <c r="N5" s="16"/>
      <c r="O5" s="1" t="s">
        <v>14</v>
      </c>
      <c r="Q5" s="1" t="s">
        <v>14</v>
      </c>
      <c r="S5" s="11"/>
      <c r="U5" s="37" t="s">
        <v>54</v>
      </c>
    </row>
    <row r="6" spans="2:21" x14ac:dyDescent="0.25">
      <c r="F6" s="1" t="s">
        <v>21</v>
      </c>
      <c r="J6" s="17"/>
      <c r="K6" s="18" t="s">
        <v>15</v>
      </c>
      <c r="L6" s="19">
        <f>E15</f>
        <v>150000</v>
      </c>
      <c r="S6" s="11"/>
    </row>
    <row r="7" spans="2:21" x14ac:dyDescent="0.25">
      <c r="F7" s="1" t="s">
        <v>22</v>
      </c>
      <c r="J7" s="17"/>
      <c r="K7" s="18" t="s">
        <v>1</v>
      </c>
      <c r="L7" s="19">
        <f>F51</f>
        <v>0</v>
      </c>
      <c r="S7" s="11"/>
    </row>
    <row r="8" spans="2:21" x14ac:dyDescent="0.25">
      <c r="D8" s="4"/>
      <c r="J8" s="17"/>
      <c r="K8" s="18" t="s">
        <v>16</v>
      </c>
      <c r="L8" s="20">
        <f>NETWORKDAYS.INTL(D20,EOMONTH(D20,0),"1111110")</f>
        <v>4</v>
      </c>
      <c r="M8" s="21">
        <v>3500</v>
      </c>
      <c r="N8" s="22" t="s">
        <v>17</v>
      </c>
      <c r="S8" s="11"/>
    </row>
    <row r="9" spans="2:21" x14ac:dyDescent="0.25">
      <c r="J9" s="17"/>
      <c r="K9" s="18" t="s">
        <v>18</v>
      </c>
      <c r="L9" s="20">
        <v>12</v>
      </c>
      <c r="M9" s="23">
        <f>((L6-L7)-(L8*M8))/L9</f>
        <v>11333.333333333334</v>
      </c>
      <c r="N9" s="16" t="s">
        <v>19</v>
      </c>
      <c r="S9" s="11"/>
    </row>
    <row r="10" spans="2:21" x14ac:dyDescent="0.25">
      <c r="D10" s="4"/>
      <c r="J10" s="24"/>
      <c r="K10" s="25"/>
      <c r="L10" s="25"/>
      <c r="M10" s="25"/>
      <c r="N10" s="25"/>
      <c r="O10" s="25"/>
      <c r="P10" s="25"/>
      <c r="Q10" s="25"/>
      <c r="R10" s="25"/>
      <c r="S10" s="26"/>
    </row>
    <row r="12" spans="2:21" x14ac:dyDescent="0.25">
      <c r="B12" s="2" t="s">
        <v>39</v>
      </c>
      <c r="C12" s="2">
        <v>2023</v>
      </c>
      <c r="K12" s="1" t="s">
        <v>55</v>
      </c>
      <c r="M12" s="36"/>
      <c r="N12" s="36">
        <f>E15</f>
        <v>150000</v>
      </c>
    </row>
    <row r="13" spans="2:21" x14ac:dyDescent="0.25">
      <c r="B13" s="2" t="s">
        <v>38</v>
      </c>
      <c r="C13" s="2" t="s">
        <v>2</v>
      </c>
      <c r="K13" s="1" t="s">
        <v>56</v>
      </c>
      <c r="L13" s="1">
        <f>NETWORKDAYS.INTL(D20,EOMONTH(D20,0),"1111110")</f>
        <v>4</v>
      </c>
      <c r="M13" s="36">
        <v>3500</v>
      </c>
      <c r="N13" s="36">
        <f>M13*L13</f>
        <v>14000</v>
      </c>
    </row>
    <row r="14" spans="2:21" x14ac:dyDescent="0.25">
      <c r="K14" s="1" t="s">
        <v>57</v>
      </c>
      <c r="L14" s="1">
        <f>NETWORKDAYS.INTL(D20,EOMONTH(D20,0),1,t_Feries[Date])-NETWORKDAYS.INTL(D20,EOMONTH(D20,0),"0111111",t_Feries[Date])</f>
        <v>17</v>
      </c>
      <c r="M14" s="36">
        <f>ROUND((N12-N13)/L14,3)</f>
        <v>8000</v>
      </c>
      <c r="N14" s="36">
        <f>M14*L14</f>
        <v>136000</v>
      </c>
    </row>
    <row r="15" spans="2:21" x14ac:dyDescent="0.25">
      <c r="B15" s="1" t="s">
        <v>0</v>
      </c>
      <c r="E15" s="27">
        <v>150000</v>
      </c>
      <c r="G15" s="1" t="s">
        <v>5</v>
      </c>
      <c r="H15" s="27">
        <f>E15-F51</f>
        <v>150000</v>
      </c>
      <c r="M15" s="36"/>
      <c r="N15" s="36">
        <f>SUM(N13:N14)</f>
        <v>150000</v>
      </c>
    </row>
    <row r="16" spans="2:21" x14ac:dyDescent="0.25">
      <c r="E16" s="28"/>
      <c r="J16" s="1" t="s">
        <v>8</v>
      </c>
    </row>
    <row r="17" spans="1:14" x14ac:dyDescent="0.25">
      <c r="E17" s="28"/>
      <c r="I17" s="1" t="s">
        <v>8</v>
      </c>
      <c r="J17" s="1" t="s">
        <v>10</v>
      </c>
    </row>
    <row r="18" spans="1:14" x14ac:dyDescent="0.25">
      <c r="E18" s="3" t="s">
        <v>3</v>
      </c>
      <c r="F18" s="3" t="s">
        <v>24</v>
      </c>
      <c r="G18" s="3"/>
      <c r="I18" s="1" t="s">
        <v>9</v>
      </c>
      <c r="J18" s="1" t="s">
        <v>7</v>
      </c>
      <c r="N18" s="1" t="s">
        <v>11</v>
      </c>
    </row>
    <row r="19" spans="1:14" x14ac:dyDescent="0.25">
      <c r="A19" s="29" t="s">
        <v>2</v>
      </c>
      <c r="E19" s="3" t="s">
        <v>23</v>
      </c>
      <c r="F19" s="3" t="s">
        <v>23</v>
      </c>
      <c r="G19" s="3" t="s">
        <v>4</v>
      </c>
      <c r="I19" s="1" t="s">
        <v>6</v>
      </c>
      <c r="J19" s="1" t="s">
        <v>26</v>
      </c>
    </row>
    <row r="20" spans="1:14" x14ac:dyDescent="0.25">
      <c r="C20" s="33">
        <f>D20</f>
        <v>45047</v>
      </c>
      <c r="D20" s="34">
        <f>DATE(C12,MONTH(C13&amp;1),1)</f>
        <v>45047</v>
      </c>
      <c r="E20" s="38">
        <f>IFERROR(IF(WEEKDAY(C20,2)=7,$M$13,IF(AND(WEEKDAY(D20,2)&gt;1,WEEKDAY(D20,2)&lt;7,COUNTIF(t_Feries[Date],D20)=0),$M$14,0)),0)</f>
        <v>0</v>
      </c>
      <c r="F20" s="38"/>
      <c r="G20" s="38">
        <f>F20-E20</f>
        <v>0</v>
      </c>
      <c r="I20" s="3" t="str">
        <f t="shared" ref="I20:I25" si="0">IF(B20=7,"x"," ")</f>
        <v xml:space="preserve"> </v>
      </c>
      <c r="J20" s="3" t="str">
        <f t="shared" ref="J20:J44" si="1">IF(B20=1,"x"," ")</f>
        <v xml:space="preserve"> </v>
      </c>
    </row>
    <row r="21" spans="1:14" x14ac:dyDescent="0.25">
      <c r="C21" s="33">
        <f t="shared" ref="C21:C50" si="2">D21</f>
        <v>45048</v>
      </c>
      <c r="D21" s="35">
        <f>D20+1</f>
        <v>45048</v>
      </c>
      <c r="E21" s="38">
        <f>IFERROR(IF(WEEKDAY(C21,2)=7,$M$13,IF(AND(WEEKDAY(D21,2)&gt;1,WEEKDAY(D21,2)&lt;7,COUNTIF(t_Feries[Date],D21)=0),$M$14,0)),0)</f>
        <v>8000</v>
      </c>
      <c r="F21" s="38"/>
      <c r="G21" s="38">
        <f t="shared" ref="G21:G50" si="3">F21-E21</f>
        <v>-8000</v>
      </c>
      <c r="I21" s="3" t="str">
        <f t="shared" si="0"/>
        <v xml:space="preserve"> </v>
      </c>
      <c r="J21" s="3" t="str">
        <f t="shared" si="1"/>
        <v xml:space="preserve"> </v>
      </c>
    </row>
    <row r="22" spans="1:14" x14ac:dyDescent="0.25">
      <c r="C22" s="33">
        <f t="shared" si="2"/>
        <v>45049</v>
      </c>
      <c r="D22" s="35">
        <f t="shared" ref="D22:D47" si="4">D21+1</f>
        <v>45049</v>
      </c>
      <c r="E22" s="38">
        <f>IFERROR(IF(WEEKDAY(C22,2)=7,$M$13,IF(AND(WEEKDAY(D22,2)&gt;1,WEEKDAY(D22,2)&lt;7,COUNTIF(t_Feries[Date],D22)=0),$M$14,0)),0)</f>
        <v>8000</v>
      </c>
      <c r="F22" s="38"/>
      <c r="G22" s="38">
        <f t="shared" si="3"/>
        <v>-8000</v>
      </c>
      <c r="I22" s="3" t="str">
        <f t="shared" si="0"/>
        <v xml:space="preserve"> </v>
      </c>
      <c r="J22" s="3" t="str">
        <f t="shared" si="1"/>
        <v xml:space="preserve"> </v>
      </c>
    </row>
    <row r="23" spans="1:14" x14ac:dyDescent="0.25">
      <c r="C23" s="33">
        <f t="shared" si="2"/>
        <v>45050</v>
      </c>
      <c r="D23" s="35">
        <f t="shared" si="4"/>
        <v>45050</v>
      </c>
      <c r="E23" s="38">
        <f>IFERROR(IF(WEEKDAY(C23,2)=7,$M$13,IF(AND(WEEKDAY(D23,2)&gt;1,WEEKDAY(D23,2)&lt;7,COUNTIF(t_Feries[Date],D23)=0),$M$14,0)),0)</f>
        <v>8000</v>
      </c>
      <c r="F23" s="38"/>
      <c r="G23" s="38">
        <f t="shared" si="3"/>
        <v>-8000</v>
      </c>
      <c r="I23" s="3" t="str">
        <f t="shared" si="0"/>
        <v xml:space="preserve"> </v>
      </c>
      <c r="J23" s="3" t="str">
        <f t="shared" si="1"/>
        <v xml:space="preserve"> </v>
      </c>
    </row>
    <row r="24" spans="1:14" x14ac:dyDescent="0.25">
      <c r="C24" s="33">
        <f t="shared" si="2"/>
        <v>45051</v>
      </c>
      <c r="D24" s="35">
        <f t="shared" si="4"/>
        <v>45051</v>
      </c>
      <c r="E24" s="38">
        <f>IFERROR(IF(WEEKDAY(C24,2)=7,$M$13,IF(AND(WEEKDAY(D24,2)&gt;1,WEEKDAY(D24,2)&lt;7,COUNTIF(t_Feries[Date],D24)=0),$M$14,0)),0)</f>
        <v>8000</v>
      </c>
      <c r="F24" s="38"/>
      <c r="G24" s="38">
        <f t="shared" si="3"/>
        <v>-8000</v>
      </c>
      <c r="I24" s="3" t="str">
        <f t="shared" si="0"/>
        <v xml:space="preserve"> </v>
      </c>
      <c r="J24" s="3" t="str">
        <f t="shared" si="1"/>
        <v xml:space="preserve"> </v>
      </c>
    </row>
    <row r="25" spans="1:14" x14ac:dyDescent="0.25">
      <c r="C25" s="33">
        <f t="shared" si="2"/>
        <v>45052</v>
      </c>
      <c r="D25" s="35">
        <f t="shared" si="4"/>
        <v>45052</v>
      </c>
      <c r="E25" s="38">
        <f>IFERROR(IF(WEEKDAY(C25,2)=7,$M$13,IF(AND(WEEKDAY(D25,2)&gt;1,WEEKDAY(D25,2)&lt;7,COUNTIF(t_Feries[Date],D25)=0),$M$14,0)),0)</f>
        <v>8000</v>
      </c>
      <c r="F25" s="38"/>
      <c r="G25" s="38">
        <f t="shared" si="3"/>
        <v>-8000</v>
      </c>
      <c r="I25" s="3" t="str">
        <f t="shared" si="0"/>
        <v xml:space="preserve"> </v>
      </c>
      <c r="J25" s="3" t="str">
        <f t="shared" si="1"/>
        <v xml:space="preserve"> </v>
      </c>
    </row>
    <row r="26" spans="1:14" x14ac:dyDescent="0.25">
      <c r="C26" s="33">
        <f t="shared" si="2"/>
        <v>45053</v>
      </c>
      <c r="D26" s="35">
        <f t="shared" si="4"/>
        <v>45053</v>
      </c>
      <c r="E26" s="38">
        <f>IFERROR(IF(WEEKDAY(C26,2)=7,$M$13,IF(AND(WEEKDAY(D26,2)&gt;1,WEEKDAY(D26,2)&lt;7,COUNTIF(t_Feries[Date],D26)=0),$M$14,0)),0)</f>
        <v>3500</v>
      </c>
      <c r="F26" s="38"/>
      <c r="G26" s="38">
        <f t="shared" si="3"/>
        <v>-3500</v>
      </c>
      <c r="I26" s="3" t="str">
        <f>IF(B26=7,"x"," ")</f>
        <v xml:space="preserve"> </v>
      </c>
      <c r="J26" s="3" t="str">
        <f t="shared" si="1"/>
        <v xml:space="preserve"> </v>
      </c>
    </row>
    <row r="27" spans="1:14" x14ac:dyDescent="0.25">
      <c r="C27" s="33">
        <f t="shared" si="2"/>
        <v>45054</v>
      </c>
      <c r="D27" s="35">
        <f t="shared" si="4"/>
        <v>45054</v>
      </c>
      <c r="E27" s="38">
        <f>IFERROR(IF(WEEKDAY(C27,2)=7,$M$13,IF(AND(WEEKDAY(D27,2)&gt;1,WEEKDAY(D27,2)&lt;7,COUNTIF(t_Feries[Date],D27)=0),$M$14,0)),0)</f>
        <v>0</v>
      </c>
      <c r="F27" s="38"/>
      <c r="G27" s="38">
        <f t="shared" si="3"/>
        <v>0</v>
      </c>
      <c r="I27" s="3" t="str">
        <f t="shared" ref="I27:I50" si="5">IF(B27=7,"x"," ")</f>
        <v xml:space="preserve"> </v>
      </c>
      <c r="J27" s="3" t="str">
        <f t="shared" si="1"/>
        <v xml:space="preserve"> </v>
      </c>
    </row>
    <row r="28" spans="1:14" x14ac:dyDescent="0.25">
      <c r="C28" s="33">
        <f t="shared" si="2"/>
        <v>45055</v>
      </c>
      <c r="D28" s="35">
        <f t="shared" si="4"/>
        <v>45055</v>
      </c>
      <c r="E28" s="38">
        <f>IFERROR(IF(WEEKDAY(C28,2)=7,$M$13,IF(AND(WEEKDAY(D28,2)&gt;1,WEEKDAY(D28,2)&lt;7,COUNTIF(t_Feries[Date],D28)=0),$M$14,0)),0)</f>
        <v>8000</v>
      </c>
      <c r="F28" s="38"/>
      <c r="G28" s="38">
        <f t="shared" si="3"/>
        <v>-8000</v>
      </c>
      <c r="I28" s="3" t="str">
        <f t="shared" si="5"/>
        <v xml:space="preserve"> </v>
      </c>
      <c r="J28" s="3" t="str">
        <f t="shared" si="1"/>
        <v xml:space="preserve"> </v>
      </c>
    </row>
    <row r="29" spans="1:14" x14ac:dyDescent="0.25">
      <c r="C29" s="33">
        <f t="shared" si="2"/>
        <v>45056</v>
      </c>
      <c r="D29" s="35">
        <f t="shared" si="4"/>
        <v>45056</v>
      </c>
      <c r="E29" s="38">
        <f>IFERROR(IF(WEEKDAY(C29,2)=7,$M$13,IF(AND(WEEKDAY(D29,2)&gt;1,WEEKDAY(D29,2)&lt;7,COUNTIF(t_Feries[Date],D29)=0),$M$14,0)),0)</f>
        <v>8000</v>
      </c>
      <c r="F29" s="38"/>
      <c r="G29" s="38">
        <f t="shared" si="3"/>
        <v>-8000</v>
      </c>
      <c r="I29" s="3" t="str">
        <f t="shared" si="5"/>
        <v xml:space="preserve"> </v>
      </c>
      <c r="J29" s="3" t="str">
        <f t="shared" si="1"/>
        <v xml:space="preserve"> </v>
      </c>
    </row>
    <row r="30" spans="1:14" x14ac:dyDescent="0.25">
      <c r="C30" s="33">
        <f t="shared" si="2"/>
        <v>45057</v>
      </c>
      <c r="D30" s="35">
        <f t="shared" si="4"/>
        <v>45057</v>
      </c>
      <c r="E30" s="38">
        <f>IFERROR(IF(WEEKDAY(C30,2)=7,$M$13,IF(AND(WEEKDAY(D30,2)&gt;1,WEEKDAY(D30,2)&lt;7,COUNTIF(t_Feries[Date],D30)=0),$M$14,0)),0)</f>
        <v>8000</v>
      </c>
      <c r="F30" s="38"/>
      <c r="G30" s="38">
        <f t="shared" si="3"/>
        <v>-8000</v>
      </c>
      <c r="I30" s="3" t="str">
        <f t="shared" si="5"/>
        <v xml:space="preserve"> </v>
      </c>
      <c r="J30" s="3" t="str">
        <f t="shared" si="1"/>
        <v xml:space="preserve"> </v>
      </c>
    </row>
    <row r="31" spans="1:14" x14ac:dyDescent="0.25">
      <c r="C31" s="33">
        <f t="shared" si="2"/>
        <v>45058</v>
      </c>
      <c r="D31" s="35">
        <f t="shared" si="4"/>
        <v>45058</v>
      </c>
      <c r="E31" s="38">
        <f>IFERROR(IF(WEEKDAY(C31,2)=7,$M$13,IF(AND(WEEKDAY(D31,2)&gt;1,WEEKDAY(D31,2)&lt;7,COUNTIF(t_Feries[Date],D31)=0),$M$14,0)),0)</f>
        <v>8000</v>
      </c>
      <c r="F31" s="38"/>
      <c r="G31" s="38">
        <f t="shared" si="3"/>
        <v>-8000</v>
      </c>
      <c r="I31" s="3" t="str">
        <f t="shared" si="5"/>
        <v xml:space="preserve"> </v>
      </c>
      <c r="J31" s="3" t="str">
        <f t="shared" si="1"/>
        <v xml:space="preserve"> </v>
      </c>
    </row>
    <row r="32" spans="1:14" x14ac:dyDescent="0.25">
      <c r="C32" s="33">
        <f t="shared" si="2"/>
        <v>45059</v>
      </c>
      <c r="D32" s="35">
        <f t="shared" si="4"/>
        <v>45059</v>
      </c>
      <c r="E32" s="38">
        <f>IFERROR(IF(WEEKDAY(C32,2)=7,$M$13,IF(AND(WEEKDAY(D32,2)&gt;1,WEEKDAY(D32,2)&lt;7,COUNTIF(t_Feries[Date],D32)=0),$M$14,0)),0)</f>
        <v>8000</v>
      </c>
      <c r="F32" s="38"/>
      <c r="G32" s="38">
        <f t="shared" si="3"/>
        <v>-8000</v>
      </c>
      <c r="I32" s="3" t="str">
        <f t="shared" si="5"/>
        <v xml:space="preserve"> </v>
      </c>
      <c r="J32" s="3" t="str">
        <f t="shared" si="1"/>
        <v xml:space="preserve"> </v>
      </c>
    </row>
    <row r="33" spans="3:10" x14ac:dyDescent="0.25">
      <c r="C33" s="33">
        <f t="shared" si="2"/>
        <v>45060</v>
      </c>
      <c r="D33" s="35">
        <f t="shared" si="4"/>
        <v>45060</v>
      </c>
      <c r="E33" s="38">
        <f>IFERROR(IF(WEEKDAY(C33,2)=7,$M$13,IF(AND(WEEKDAY(D33,2)&gt;1,WEEKDAY(D33,2)&lt;7,COUNTIF(t_Feries[Date],D33)=0),$M$14,0)),0)</f>
        <v>3500</v>
      </c>
      <c r="F33" s="38"/>
      <c r="G33" s="38">
        <f t="shared" si="3"/>
        <v>-3500</v>
      </c>
      <c r="I33" s="3" t="str">
        <f t="shared" si="5"/>
        <v xml:space="preserve"> </v>
      </c>
      <c r="J33" s="3" t="str">
        <f t="shared" si="1"/>
        <v xml:space="preserve"> </v>
      </c>
    </row>
    <row r="34" spans="3:10" x14ac:dyDescent="0.25">
      <c r="C34" s="33">
        <f t="shared" si="2"/>
        <v>45061</v>
      </c>
      <c r="D34" s="35">
        <f t="shared" si="4"/>
        <v>45061</v>
      </c>
      <c r="E34" s="38">
        <f>IFERROR(IF(WEEKDAY(C34,2)=7,$M$13,IF(AND(WEEKDAY(D34,2)&gt;1,WEEKDAY(D34,2)&lt;7,COUNTIF(t_Feries[Date],D34)=0),$M$14,0)),0)</f>
        <v>0</v>
      </c>
      <c r="F34" s="38"/>
      <c r="G34" s="38">
        <f t="shared" si="3"/>
        <v>0</v>
      </c>
      <c r="I34" s="3" t="str">
        <f t="shared" si="5"/>
        <v xml:space="preserve"> </v>
      </c>
      <c r="J34" s="3" t="str">
        <f t="shared" si="1"/>
        <v xml:space="preserve"> </v>
      </c>
    </row>
    <row r="35" spans="3:10" x14ac:dyDescent="0.25">
      <c r="C35" s="33">
        <f t="shared" si="2"/>
        <v>45062</v>
      </c>
      <c r="D35" s="35">
        <f t="shared" si="4"/>
        <v>45062</v>
      </c>
      <c r="E35" s="38">
        <f>IFERROR(IF(WEEKDAY(C35,2)=7,$M$13,IF(AND(WEEKDAY(D35,2)&gt;1,WEEKDAY(D35,2)&lt;7,COUNTIF(t_Feries[Date],D35)=0),$M$14,0)),0)</f>
        <v>8000</v>
      </c>
      <c r="F35" s="38"/>
      <c r="G35" s="38">
        <f t="shared" si="3"/>
        <v>-8000</v>
      </c>
      <c r="I35" s="3" t="str">
        <f t="shared" si="5"/>
        <v xml:space="preserve"> </v>
      </c>
      <c r="J35" s="3" t="str">
        <f t="shared" si="1"/>
        <v xml:space="preserve"> </v>
      </c>
    </row>
    <row r="36" spans="3:10" x14ac:dyDescent="0.25">
      <c r="C36" s="33">
        <f t="shared" si="2"/>
        <v>45063</v>
      </c>
      <c r="D36" s="35">
        <f t="shared" si="4"/>
        <v>45063</v>
      </c>
      <c r="E36" s="38">
        <f>IFERROR(IF(WEEKDAY(C36,2)=7,$M$13,IF(AND(WEEKDAY(D36,2)&gt;1,WEEKDAY(D36,2)&lt;7,COUNTIF(t_Feries[Date],D36)=0),$M$14,0)),0)</f>
        <v>8000</v>
      </c>
      <c r="F36" s="38"/>
      <c r="G36" s="38">
        <f t="shared" si="3"/>
        <v>-8000</v>
      </c>
      <c r="I36" s="3" t="str">
        <f t="shared" si="5"/>
        <v xml:space="preserve"> </v>
      </c>
      <c r="J36" s="3" t="str">
        <f t="shared" si="1"/>
        <v xml:space="preserve"> </v>
      </c>
    </row>
    <row r="37" spans="3:10" x14ac:dyDescent="0.25">
      <c r="C37" s="33">
        <f t="shared" si="2"/>
        <v>45064</v>
      </c>
      <c r="D37" s="35">
        <f t="shared" si="4"/>
        <v>45064</v>
      </c>
      <c r="E37" s="38">
        <f>IFERROR(IF(WEEKDAY(C37,2)=7,$M$13,IF(AND(WEEKDAY(D37,2)&gt;1,WEEKDAY(D37,2)&lt;7,COUNTIF(t_Feries[Date],D37)=0),$M$14,0)),0)</f>
        <v>0</v>
      </c>
      <c r="F37" s="38"/>
      <c r="G37" s="38">
        <f t="shared" si="3"/>
        <v>0</v>
      </c>
      <c r="I37" s="30" t="s">
        <v>25</v>
      </c>
      <c r="J37" s="3" t="str">
        <f t="shared" si="1"/>
        <v xml:space="preserve"> </v>
      </c>
    </row>
    <row r="38" spans="3:10" x14ac:dyDescent="0.25">
      <c r="C38" s="33">
        <f t="shared" si="2"/>
        <v>45065</v>
      </c>
      <c r="D38" s="35">
        <f t="shared" si="4"/>
        <v>45065</v>
      </c>
      <c r="E38" s="38">
        <f>IFERROR(IF(WEEKDAY(C38,2)=7,$M$13,IF(AND(WEEKDAY(D38,2)&gt;1,WEEKDAY(D38,2)&lt;7,COUNTIF(t_Feries[Date],D38)=0),$M$14,0)),0)</f>
        <v>8000</v>
      </c>
      <c r="F38" s="38"/>
      <c r="G38" s="38">
        <f t="shared" si="3"/>
        <v>-8000</v>
      </c>
      <c r="I38" s="3" t="str">
        <f t="shared" si="5"/>
        <v xml:space="preserve"> </v>
      </c>
      <c r="J38" s="3" t="str">
        <f t="shared" si="1"/>
        <v xml:space="preserve"> </v>
      </c>
    </row>
    <row r="39" spans="3:10" x14ac:dyDescent="0.25">
      <c r="C39" s="33">
        <f t="shared" si="2"/>
        <v>45066</v>
      </c>
      <c r="D39" s="35">
        <f t="shared" si="4"/>
        <v>45066</v>
      </c>
      <c r="E39" s="38">
        <f>IFERROR(IF(WEEKDAY(C39,2)=7,$M$13,IF(AND(WEEKDAY(D39,2)&gt;1,WEEKDAY(D39,2)&lt;7,COUNTIF(t_Feries[Date],D39)=0),$M$14,0)),0)</f>
        <v>8000</v>
      </c>
      <c r="F39" s="38"/>
      <c r="G39" s="38">
        <f t="shared" si="3"/>
        <v>-8000</v>
      </c>
      <c r="I39" s="3" t="str">
        <f t="shared" si="5"/>
        <v xml:space="preserve"> </v>
      </c>
      <c r="J39" s="3" t="str">
        <f t="shared" si="1"/>
        <v xml:space="preserve"> </v>
      </c>
    </row>
    <row r="40" spans="3:10" x14ac:dyDescent="0.25">
      <c r="C40" s="33">
        <f t="shared" si="2"/>
        <v>45067</v>
      </c>
      <c r="D40" s="35">
        <f t="shared" si="4"/>
        <v>45067</v>
      </c>
      <c r="E40" s="38">
        <f>IFERROR(IF(WEEKDAY(C40,2)=7,$M$13,IF(AND(WEEKDAY(D40,2)&gt;1,WEEKDAY(D40,2)&lt;7,COUNTIF(t_Feries[Date],D40)=0),$M$14,0)),0)</f>
        <v>3500</v>
      </c>
      <c r="F40" s="38"/>
      <c r="G40" s="38">
        <f t="shared" si="3"/>
        <v>-3500</v>
      </c>
      <c r="I40" s="3" t="str">
        <f t="shared" si="5"/>
        <v xml:space="preserve"> </v>
      </c>
      <c r="J40" s="3" t="str">
        <f t="shared" si="1"/>
        <v xml:space="preserve"> </v>
      </c>
    </row>
    <row r="41" spans="3:10" x14ac:dyDescent="0.25">
      <c r="C41" s="33">
        <f t="shared" si="2"/>
        <v>45068</v>
      </c>
      <c r="D41" s="35">
        <f t="shared" si="4"/>
        <v>45068</v>
      </c>
      <c r="E41" s="38">
        <f>IFERROR(IF(WEEKDAY(C41,2)=7,$M$13,IF(AND(WEEKDAY(D41,2)&gt;1,WEEKDAY(D41,2)&lt;7,COUNTIF(t_Feries[Date],D41)=0),$M$14,0)),0)</f>
        <v>0</v>
      </c>
      <c r="F41" s="38"/>
      <c r="G41" s="38">
        <f t="shared" si="3"/>
        <v>0</v>
      </c>
      <c r="I41" s="3" t="str">
        <f t="shared" si="5"/>
        <v xml:space="preserve"> </v>
      </c>
      <c r="J41" s="3" t="str">
        <f t="shared" si="1"/>
        <v xml:space="preserve"> </v>
      </c>
    </row>
    <row r="42" spans="3:10" x14ac:dyDescent="0.25">
      <c r="C42" s="33">
        <f t="shared" si="2"/>
        <v>45069</v>
      </c>
      <c r="D42" s="35">
        <f t="shared" si="4"/>
        <v>45069</v>
      </c>
      <c r="E42" s="38">
        <f>IFERROR(IF(WEEKDAY(C42,2)=7,$M$13,IF(AND(WEEKDAY(D42,2)&gt;1,WEEKDAY(D42,2)&lt;7,COUNTIF(t_Feries[Date],D42)=0),$M$14,0)),0)</f>
        <v>8000</v>
      </c>
      <c r="F42" s="38"/>
      <c r="G42" s="38">
        <f t="shared" si="3"/>
        <v>-8000</v>
      </c>
      <c r="I42" s="3" t="str">
        <f t="shared" si="5"/>
        <v xml:space="preserve"> </v>
      </c>
      <c r="J42" s="3" t="str">
        <f t="shared" si="1"/>
        <v xml:space="preserve"> </v>
      </c>
    </row>
    <row r="43" spans="3:10" x14ac:dyDescent="0.25">
      <c r="C43" s="33">
        <f t="shared" si="2"/>
        <v>45070</v>
      </c>
      <c r="D43" s="35">
        <f t="shared" si="4"/>
        <v>45070</v>
      </c>
      <c r="E43" s="38">
        <f>IFERROR(IF(WEEKDAY(C43,2)=7,$M$13,IF(AND(WEEKDAY(D43,2)&gt;1,WEEKDAY(D43,2)&lt;7,COUNTIF(t_Feries[Date],D43)=0),$M$14,0)),0)</f>
        <v>8000</v>
      </c>
      <c r="F43" s="38"/>
      <c r="G43" s="38">
        <f t="shared" si="3"/>
        <v>-8000</v>
      </c>
      <c r="I43" s="3" t="str">
        <f t="shared" si="5"/>
        <v xml:space="preserve"> </v>
      </c>
      <c r="J43" s="3" t="str">
        <f t="shared" si="1"/>
        <v xml:space="preserve"> </v>
      </c>
    </row>
    <row r="44" spans="3:10" x14ac:dyDescent="0.25">
      <c r="C44" s="33">
        <f t="shared" si="2"/>
        <v>45071</v>
      </c>
      <c r="D44" s="35">
        <f t="shared" si="4"/>
        <v>45071</v>
      </c>
      <c r="E44" s="38">
        <f>IFERROR(IF(WEEKDAY(C44,2)=7,$M$13,IF(AND(WEEKDAY(D44,2)&gt;1,WEEKDAY(D44,2)&lt;7,COUNTIF(t_Feries[Date],D44)=0),$M$14,0)),0)</f>
        <v>8000</v>
      </c>
      <c r="F44" s="38"/>
      <c r="G44" s="38">
        <f t="shared" si="3"/>
        <v>-8000</v>
      </c>
      <c r="I44" s="3" t="str">
        <f t="shared" si="5"/>
        <v xml:space="preserve"> </v>
      </c>
      <c r="J44" s="3" t="str">
        <f t="shared" si="1"/>
        <v xml:space="preserve"> </v>
      </c>
    </row>
    <row r="45" spans="3:10" x14ac:dyDescent="0.25">
      <c r="C45" s="33">
        <f t="shared" si="2"/>
        <v>45072</v>
      </c>
      <c r="D45" s="35">
        <f t="shared" si="4"/>
        <v>45072</v>
      </c>
      <c r="E45" s="38">
        <f>IFERROR(IF(WEEKDAY(C45,2)=7,$M$13,IF(AND(WEEKDAY(D45,2)&gt;1,WEEKDAY(D45,2)&lt;7,COUNTIF(t_Feries[Date],D45)=0),$M$14,0)),0)</f>
        <v>8000</v>
      </c>
      <c r="F45" s="38"/>
      <c r="G45" s="38">
        <f t="shared" si="3"/>
        <v>-8000</v>
      </c>
      <c r="I45" s="3" t="str">
        <f t="shared" si="5"/>
        <v xml:space="preserve"> </v>
      </c>
      <c r="J45" s="30" t="s">
        <v>25</v>
      </c>
    </row>
    <row r="46" spans="3:10" x14ac:dyDescent="0.25">
      <c r="C46" s="33">
        <f t="shared" si="2"/>
        <v>45073</v>
      </c>
      <c r="D46" s="35">
        <f t="shared" si="4"/>
        <v>45073</v>
      </c>
      <c r="E46" s="38">
        <f>IFERROR(IF(WEEKDAY(C46,2)=7,$M$13,IF(AND(WEEKDAY(D46,2)&gt;1,WEEKDAY(D46,2)&lt;7,COUNTIF(t_Feries[Date],D46)=0),$M$14,0)),0)</f>
        <v>8000</v>
      </c>
      <c r="F46" s="38"/>
      <c r="G46" s="38">
        <f t="shared" si="3"/>
        <v>-8000</v>
      </c>
      <c r="I46" s="3" t="str">
        <f t="shared" si="5"/>
        <v xml:space="preserve"> </v>
      </c>
      <c r="J46" s="30" t="s">
        <v>25</v>
      </c>
    </row>
    <row r="47" spans="3:10" x14ac:dyDescent="0.25">
      <c r="C47" s="33">
        <f t="shared" si="2"/>
        <v>45074</v>
      </c>
      <c r="D47" s="35">
        <f t="shared" si="4"/>
        <v>45074</v>
      </c>
      <c r="E47" s="38">
        <f>IFERROR(IF(WEEKDAY(C47,2)=7,$M$13,IF(AND(WEEKDAY(D47,2)&gt;1,WEEKDAY(D47,2)&lt;7,COUNTIF(t_Feries[Date],D47)=0),$M$14,0)),0)</f>
        <v>3500</v>
      </c>
      <c r="F47" s="38"/>
      <c r="G47" s="38">
        <f t="shared" si="3"/>
        <v>-3500</v>
      </c>
      <c r="I47" s="3" t="str">
        <f t="shared" si="5"/>
        <v xml:space="preserve"> </v>
      </c>
      <c r="J47" s="30" t="s">
        <v>25</v>
      </c>
    </row>
    <row r="48" spans="3:10" x14ac:dyDescent="0.25">
      <c r="C48" s="33">
        <f t="shared" si="2"/>
        <v>45075</v>
      </c>
      <c r="D48" s="35">
        <f>IFERROR(IF(MONTH(D47+1)=MONTH($D$20),D47+1,""),"")</f>
        <v>45075</v>
      </c>
      <c r="E48" s="38">
        <f>IFERROR(IF(WEEKDAY(C48,2)=7,$M$13,IF(AND(WEEKDAY(D48,2)&gt;1,WEEKDAY(D48,2)&lt;7,COUNTIF(t_Feries[Date],D48)=0),$M$14,0)),0)</f>
        <v>0</v>
      </c>
      <c r="F48" s="38"/>
      <c r="G48" s="38">
        <f t="shared" si="3"/>
        <v>0</v>
      </c>
      <c r="I48" s="3" t="str">
        <f t="shared" si="5"/>
        <v xml:space="preserve"> </v>
      </c>
      <c r="J48" s="3" t="str">
        <f>IF(B48=1,"x"," ")</f>
        <v xml:space="preserve"> </v>
      </c>
    </row>
    <row r="49" spans="3:10" x14ac:dyDescent="0.25">
      <c r="C49" s="33">
        <f t="shared" si="2"/>
        <v>45076</v>
      </c>
      <c r="D49" s="35">
        <f t="shared" ref="D49:D50" si="6">IFERROR(IF(MONTH(D48+1)=MONTH($D$20),D48+1,""),"")</f>
        <v>45076</v>
      </c>
      <c r="E49" s="38">
        <f>IFERROR(IF(WEEKDAY(C49,2)=7,$M$13,IF(AND(WEEKDAY(D49,2)&gt;1,WEEKDAY(D49,2)&lt;7,COUNTIF(t_Feries[Date],D49)=0),$M$14,0)),0)</f>
        <v>8000</v>
      </c>
      <c r="F49" s="38"/>
      <c r="G49" s="38">
        <f t="shared" si="3"/>
        <v>-8000</v>
      </c>
      <c r="I49" s="3" t="str">
        <f t="shared" si="5"/>
        <v xml:space="preserve"> </v>
      </c>
      <c r="J49" s="3" t="str">
        <f>IF(B49=1,"x"," ")</f>
        <v xml:space="preserve"> </v>
      </c>
    </row>
    <row r="50" spans="3:10" x14ac:dyDescent="0.25">
      <c r="C50" s="33">
        <f t="shared" si="2"/>
        <v>45077</v>
      </c>
      <c r="D50" s="35">
        <f t="shared" si="6"/>
        <v>45077</v>
      </c>
      <c r="E50" s="38">
        <f>IFERROR(IF(WEEKDAY(C50,2)=7,$M$13,IF(AND(WEEKDAY(D50,2)&gt;1,WEEKDAY(D50,2)&lt;7,COUNTIF(t_Feries[Date],D50)=0),$M$14,0)),0)</f>
        <v>8000</v>
      </c>
      <c r="F50" s="38"/>
      <c r="G50" s="38">
        <f t="shared" si="3"/>
        <v>-8000</v>
      </c>
      <c r="I50" s="3" t="str">
        <f t="shared" si="5"/>
        <v xml:space="preserve"> </v>
      </c>
      <c r="J50" s="3" t="str">
        <f t="shared" ref="J50" si="7">IF(B50=1,"1"," ")</f>
        <v xml:space="preserve"> </v>
      </c>
    </row>
    <row r="51" spans="3:10" x14ac:dyDescent="0.25">
      <c r="E51" s="39">
        <f>SUM(E20:E50)</f>
        <v>182000</v>
      </c>
      <c r="F51" s="31">
        <f>SUM(F20:F50)</f>
        <v>0</v>
      </c>
    </row>
  </sheetData>
  <phoneticPr fontId="1" type="noConversion"/>
  <dataValidations disablePrompts="1" count="1">
    <dataValidation type="list" allowBlank="1" showInputMessage="1" showErrorMessage="1" sqref="C13" xr:uid="{69B6032D-098B-483A-B08D-01F2A1ACC238}">
      <formula1>l_Mois</formula1>
    </dataValidation>
  </dataValidations>
  <hyperlinks>
    <hyperlink ref="U5" r:id="rId1" xr:uid="{3EA41EBB-01E4-44E3-A323-C7AFF5CB1232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>
                <anchor moveWithCells="1" sizeWithCells="1">
                  <from>
                    <xdr:col>3</xdr:col>
                    <xdr:colOff>9525</xdr:colOff>
                    <xdr:row>11</xdr:row>
                    <xdr:rowOff>9525</xdr:rowOff>
                  </from>
                  <to>
                    <xdr:col>3</xdr:col>
                    <xdr:colOff>190500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BC460-0194-4E02-B34B-56D65769E6C5}">
  <dimension ref="B2:E15"/>
  <sheetViews>
    <sheetView showGridLines="0" workbookViewId="0">
      <selection activeCell="G9" sqref="G9"/>
    </sheetView>
  </sheetViews>
  <sheetFormatPr baseColWidth="10" defaultColWidth="11.5703125" defaultRowHeight="15" x14ac:dyDescent="0.25"/>
  <cols>
    <col min="1" max="1" width="3.7109375" style="1" customWidth="1"/>
    <col min="2" max="2" width="12.7109375" style="1" customWidth="1"/>
    <col min="3" max="3" width="3.7109375" style="1" customWidth="1"/>
    <col min="4" max="4" width="19.7109375" style="1" customWidth="1"/>
    <col min="5" max="5" width="12.7109375" style="1" customWidth="1"/>
    <col min="6" max="16384" width="11.5703125" style="1"/>
  </cols>
  <sheetData>
    <row r="2" spans="2:5" x14ac:dyDescent="0.25">
      <c r="B2" s="2" t="s">
        <v>38</v>
      </c>
      <c r="D2" s="2" t="s">
        <v>8</v>
      </c>
      <c r="E2" s="3" t="s">
        <v>40</v>
      </c>
    </row>
    <row r="3" spans="2:5" x14ac:dyDescent="0.25">
      <c r="B3" s="2" t="s">
        <v>27</v>
      </c>
      <c r="D3" s="2" t="s">
        <v>41</v>
      </c>
      <c r="E3" s="32">
        <f>DATE(_Annee,1,1)</f>
        <v>44927</v>
      </c>
    </row>
    <row r="4" spans="2:5" x14ac:dyDescent="0.25">
      <c r="B4" s="2" t="s">
        <v>28</v>
      </c>
      <c r="D4" s="2" t="s">
        <v>42</v>
      </c>
      <c r="E4" s="32">
        <f>FLOOR(DAY(MINUTE(_Annee/38)/2+56)&amp;"/5/"&amp;_Annee,7)-34</f>
        <v>45025</v>
      </c>
    </row>
    <row r="5" spans="2:5" x14ac:dyDescent="0.25">
      <c r="B5" s="2" t="s">
        <v>29</v>
      </c>
      <c r="D5" s="2" t="s">
        <v>43</v>
      </c>
      <c r="E5" s="32">
        <f>_JourPaques+1</f>
        <v>45026</v>
      </c>
    </row>
    <row r="6" spans="2:5" x14ac:dyDescent="0.25">
      <c r="B6" s="2" t="s">
        <v>30</v>
      </c>
      <c r="D6" s="2" t="s">
        <v>44</v>
      </c>
      <c r="E6" s="32">
        <f>DATE(_Annee,5,1)</f>
        <v>45047</v>
      </c>
    </row>
    <row r="7" spans="2:5" x14ac:dyDescent="0.25">
      <c r="B7" s="2" t="s">
        <v>2</v>
      </c>
      <c r="D7" s="2" t="s">
        <v>45</v>
      </c>
      <c r="E7" s="32">
        <f>DATE(_Annee,5,8)</f>
        <v>45054</v>
      </c>
    </row>
    <row r="8" spans="2:5" x14ac:dyDescent="0.25">
      <c r="B8" s="2" t="s">
        <v>31</v>
      </c>
      <c r="D8" s="2" t="s">
        <v>46</v>
      </c>
      <c r="E8" s="32">
        <f>_JourPaques + 39</f>
        <v>45064</v>
      </c>
    </row>
    <row r="9" spans="2:5" x14ac:dyDescent="0.25">
      <c r="B9" s="2" t="s">
        <v>32</v>
      </c>
      <c r="D9" s="2" t="s">
        <v>47</v>
      </c>
      <c r="E9" s="32">
        <f>_JourPaques+ 49</f>
        <v>45074</v>
      </c>
    </row>
    <row r="10" spans="2:5" x14ac:dyDescent="0.25">
      <c r="B10" s="2" t="s">
        <v>33</v>
      </c>
      <c r="D10" s="2" t="s">
        <v>48</v>
      </c>
      <c r="E10" s="32">
        <f>_JourPaques + 50</f>
        <v>45075</v>
      </c>
    </row>
    <row r="11" spans="2:5" x14ac:dyDescent="0.25">
      <c r="B11" s="2" t="s">
        <v>34</v>
      </c>
      <c r="D11" s="2" t="s">
        <v>49</v>
      </c>
      <c r="E11" s="32">
        <f>DATE(_Annee,7,14)</f>
        <v>45121</v>
      </c>
    </row>
    <row r="12" spans="2:5" x14ac:dyDescent="0.25">
      <c r="B12" s="2" t="s">
        <v>35</v>
      </c>
      <c r="D12" s="2" t="s">
        <v>50</v>
      </c>
      <c r="E12" s="32">
        <f>DATE(_Annee,8,15)</f>
        <v>45153</v>
      </c>
    </row>
    <row r="13" spans="2:5" x14ac:dyDescent="0.25">
      <c r="B13" s="2" t="s">
        <v>36</v>
      </c>
      <c r="D13" s="2" t="s">
        <v>51</v>
      </c>
      <c r="E13" s="32">
        <f>DATE(_Annee,11,1)</f>
        <v>45231</v>
      </c>
    </row>
    <row r="14" spans="2:5" x14ac:dyDescent="0.25">
      <c r="B14" s="2" t="s">
        <v>37</v>
      </c>
      <c r="D14" s="2" t="s">
        <v>52</v>
      </c>
      <c r="E14" s="32">
        <f>DATE(_Annee,11,11)</f>
        <v>45241</v>
      </c>
    </row>
    <row r="15" spans="2:5" x14ac:dyDescent="0.25">
      <c r="D15" s="2" t="s">
        <v>53</v>
      </c>
      <c r="E15" s="32">
        <f>DATE(_Annee,12,25)</f>
        <v>45285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Paramètres</vt:lpstr>
      <vt:lpstr>_Annee</vt:lpstr>
      <vt:lpstr>_JourPaques</vt:lpstr>
      <vt:lpstr>_Mois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2015-06-05T18:19:34Z</dcterms:created>
  <dcterms:modified xsi:type="dcterms:W3CDTF">2023-05-14T06:52:46Z</dcterms:modified>
</cp:coreProperties>
</file>