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4005" windowWidth="7860" windowHeight="2955" tabRatio="710" firstSheet="1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VP&amp;Icare'!$A$1:$L$41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déroulantes'!$K$2:$K$19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45621"/>
</workbook>
</file>

<file path=xl/calcChain.xml><?xml version="1.0" encoding="utf-8"?>
<calcChain xmlns="http://schemas.openxmlformats.org/spreadsheetml/2006/main">
  <c r="AG10" i="1" l="1"/>
  <c r="P14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O8" i="1"/>
  <c r="P8" i="1" s="1"/>
  <c r="P7" i="1"/>
  <c r="B22" i="9" l="1"/>
  <c r="B23" i="9"/>
  <c r="B24" i="9"/>
  <c r="B25" i="9"/>
  <c r="B26" i="9"/>
  <c r="B27" i="9"/>
  <c r="B21" i="9"/>
  <c r="B19" i="9"/>
  <c r="B20" i="9"/>
  <c r="B4" i="9"/>
  <c r="B5" i="9"/>
  <c r="B6" i="9"/>
  <c r="B7" i="9"/>
  <c r="B8" i="9"/>
  <c r="B9" i="9"/>
  <c r="B10" i="9"/>
  <c r="B11" i="9"/>
  <c r="B12" i="9"/>
  <c r="B13" i="9"/>
  <c r="B14" i="9"/>
  <c r="B15" i="9"/>
  <c r="B16" i="9"/>
  <c r="B17" i="9"/>
  <c r="B18" i="9"/>
  <c r="B3" i="9"/>
  <c r="A14" i="41"/>
  <c r="A11" i="41"/>
  <c r="W14" i="41" l="1"/>
  <c r="G14" i="41"/>
  <c r="W11" i="41"/>
  <c r="G11" i="41"/>
  <c r="Q28" i="42"/>
  <c r="T28" i="42"/>
  <c r="S28" i="42"/>
  <c r="R28" i="42"/>
  <c r="Q27" i="42"/>
  <c r="T27" i="42"/>
  <c r="S27" i="42"/>
  <c r="R27" i="42"/>
  <c r="Q24" i="42"/>
  <c r="T24" i="42"/>
  <c r="S24" i="42"/>
  <c r="R24" i="42"/>
  <c r="Q23" i="42"/>
  <c r="T23" i="42"/>
  <c r="S23" i="42"/>
  <c r="R23" i="42"/>
  <c r="Q21" i="42"/>
  <c r="T21" i="42"/>
  <c r="S21" i="42"/>
  <c r="R21" i="42"/>
  <c r="Q19" i="42"/>
  <c r="Q18" i="42"/>
  <c r="T19" i="42"/>
  <c r="T18" i="42"/>
  <c r="S19" i="42"/>
  <c r="S18" i="42"/>
  <c r="R19" i="42"/>
  <c r="R18" i="42"/>
  <c r="G39" i="42"/>
  <c r="K39" i="42"/>
  <c r="K26" i="42" s="1"/>
  <c r="J39" i="42"/>
  <c r="J26" i="42" s="1"/>
  <c r="I39" i="42"/>
  <c r="I26" i="42" s="1"/>
  <c r="H39" i="42"/>
  <c r="H26" i="42" s="1"/>
  <c r="J23" i="42"/>
  <c r="J21" i="42"/>
  <c r="J19" i="42"/>
  <c r="J17" i="42"/>
  <c r="J15" i="42"/>
  <c r="J13" i="42"/>
  <c r="J11" i="42"/>
  <c r="J9" i="42"/>
  <c r="J7" i="42"/>
  <c r="K27" i="42"/>
  <c r="J27" i="42"/>
  <c r="I27" i="42"/>
  <c r="H27" i="42"/>
  <c r="G27" i="42" s="1"/>
  <c r="G26" i="42"/>
  <c r="G25" i="42"/>
  <c r="K25" i="42"/>
  <c r="J25" i="42"/>
  <c r="I25" i="42"/>
  <c r="H25" i="42"/>
  <c r="H23" i="42"/>
  <c r="K23" i="42"/>
  <c r="I23" i="42"/>
  <c r="K21" i="42"/>
  <c r="I21" i="42"/>
  <c r="H21" i="42"/>
  <c r="G21" i="42" s="1"/>
  <c r="K19" i="42"/>
  <c r="I19" i="42"/>
  <c r="H19" i="42"/>
  <c r="K17" i="42"/>
  <c r="I17" i="42"/>
  <c r="H17" i="42"/>
  <c r="G17" i="42" s="1"/>
  <c r="K15" i="42"/>
  <c r="I15" i="42"/>
  <c r="H15" i="42"/>
  <c r="K13" i="42"/>
  <c r="I13" i="42"/>
  <c r="H13" i="42"/>
  <c r="G13" i="42" s="1"/>
  <c r="K11" i="42"/>
  <c r="I11" i="42"/>
  <c r="H11" i="42"/>
  <c r="K9" i="42"/>
  <c r="I9" i="42"/>
  <c r="H9" i="42"/>
  <c r="G23" i="42" l="1"/>
  <c r="G24" i="42" s="1"/>
  <c r="G19" i="42"/>
  <c r="G15" i="42"/>
  <c r="G11" i="42"/>
  <c r="L26" i="42"/>
  <c r="J8" i="42"/>
  <c r="J12" i="42"/>
  <c r="J16" i="42"/>
  <c r="J20" i="42"/>
  <c r="J24" i="42"/>
  <c r="J28" i="42"/>
  <c r="J10" i="42"/>
  <c r="J14" i="42"/>
  <c r="J18" i="42"/>
  <c r="J22" i="42"/>
  <c r="G9" i="42"/>
  <c r="K7" i="42"/>
  <c r="I7" i="42"/>
  <c r="H7" i="42"/>
  <c r="G7" i="42" s="1"/>
  <c r="F9" i="1"/>
  <c r="F10" i="1"/>
  <c r="F11" i="1"/>
  <c r="F12" i="1"/>
  <c r="F13" i="1"/>
  <c r="F14" i="1"/>
  <c r="F15" i="1"/>
  <c r="F16" i="1"/>
  <c r="F17" i="1"/>
  <c r="F18" i="1"/>
  <c r="F35" i="1"/>
  <c r="AE48" i="10" l="1"/>
  <c r="AE49" i="10"/>
  <c r="AE50" i="10"/>
  <c r="AM54" i="10" l="1"/>
  <c r="AM53" i="10"/>
  <c r="AM52" i="10"/>
  <c r="AK54" i="10"/>
  <c r="AK53" i="10"/>
  <c r="AK52" i="10"/>
  <c r="A2" i="41"/>
  <c r="L22" i="28" l="1"/>
  <c r="A22" i="28"/>
  <c r="B22" i="28"/>
  <c r="C22" i="28"/>
  <c r="D22" i="28"/>
  <c r="C25" i="9" l="1"/>
  <c r="A28" i="41"/>
  <c r="W28" i="41" s="1"/>
  <c r="A33" i="41"/>
  <c r="AE33" i="10" l="1"/>
  <c r="M13" i="42" l="1"/>
  <c r="M11" i="42"/>
  <c r="M12" i="42"/>
  <c r="M34" i="42"/>
  <c r="M30" i="42"/>
  <c r="M26" i="42"/>
  <c r="M22" i="42"/>
  <c r="O31" i="24"/>
  <c r="M31" i="24" s="1"/>
  <c r="O32" i="24"/>
  <c r="M32" i="24" s="1"/>
  <c r="M14" i="42" l="1"/>
  <c r="M10" i="42"/>
  <c r="M31" i="42"/>
  <c r="M29" i="42"/>
  <c r="M27" i="42"/>
  <c r="M25" i="42"/>
  <c r="M23" i="42"/>
  <c r="M21" i="42"/>
  <c r="M35" i="42"/>
  <c r="M33" i="42"/>
  <c r="N13" i="42" l="1"/>
  <c r="N12" i="42"/>
  <c r="G10" i="42"/>
  <c r="I10" i="42" l="1"/>
  <c r="AE7" i="1" l="1"/>
  <c r="AG7" i="1" s="1"/>
  <c r="AE8" i="1"/>
  <c r="AG8" i="1" s="1"/>
  <c r="AE9" i="1"/>
  <c r="AG9" i="1" s="1"/>
  <c r="AE10" i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S11" i="42" l="1"/>
  <c r="S10" i="42"/>
  <c r="C17" i="9" l="1"/>
  <c r="AE34" i="10" l="1"/>
  <c r="AE37" i="10"/>
  <c r="AE38" i="10"/>
  <c r="F7" i="1" l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N47" i="10" l="1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E38" i="9" l="1"/>
  <c r="I38" i="9"/>
  <c r="M38" i="9"/>
  <c r="F37" i="9"/>
  <c r="J37" i="9"/>
  <c r="N37" i="9"/>
  <c r="G36" i="9"/>
  <c r="K36" i="9"/>
  <c r="O36" i="9"/>
  <c r="F38" i="9"/>
  <c r="J38" i="9"/>
  <c r="N38" i="9"/>
  <c r="G37" i="9"/>
  <c r="K37" i="9"/>
  <c r="O37" i="9"/>
  <c r="H36" i="9"/>
  <c r="L36" i="9"/>
  <c r="D37" i="9"/>
  <c r="G38" i="9"/>
  <c r="K38" i="9"/>
  <c r="O38" i="9"/>
  <c r="H37" i="9"/>
  <c r="L37" i="9"/>
  <c r="E36" i="9"/>
  <c r="I36" i="9"/>
  <c r="M36" i="9"/>
  <c r="D38" i="9"/>
  <c r="H38" i="9"/>
  <c r="L38" i="9"/>
  <c r="E37" i="9"/>
  <c r="I37" i="9"/>
  <c r="M37" i="9"/>
  <c r="F36" i="9"/>
  <c r="J36" i="9"/>
  <c r="J39" i="9" s="1"/>
  <c r="N36" i="9"/>
  <c r="D36" i="9"/>
  <c r="R10" i="42"/>
  <c r="F39" i="9" l="1"/>
  <c r="E39" i="9"/>
  <c r="H39" i="9"/>
  <c r="K39" i="9"/>
  <c r="N39" i="9"/>
  <c r="G39" i="9"/>
  <c r="M39" i="9"/>
  <c r="I39" i="9"/>
  <c r="L39" i="9"/>
  <c r="O39" i="9"/>
  <c r="T10" i="42"/>
  <c r="AB7" i="1" l="1"/>
  <c r="AB8" i="1"/>
  <c r="AB9" i="1"/>
  <c r="AB10" i="1"/>
  <c r="AB11" i="1"/>
  <c r="AB12" i="1"/>
  <c r="AB13" i="1"/>
  <c r="AB14" i="1"/>
  <c r="AB15" i="1"/>
  <c r="AB19" i="1"/>
  <c r="O7" i="1"/>
  <c r="O9" i="1"/>
  <c r="P9" i="1" s="1"/>
  <c r="O10" i="1"/>
  <c r="P10" i="1" s="1"/>
  <c r="O11" i="1"/>
  <c r="P11" i="1" s="1"/>
  <c r="O12" i="1"/>
  <c r="P12" i="1" s="1"/>
  <c r="O13" i="1"/>
  <c r="P13" i="1" s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G28" i="41" l="1"/>
  <c r="W17" i="41"/>
  <c r="A10" i="41"/>
  <c r="A12" i="41"/>
  <c r="G12" i="41" s="1"/>
  <c r="A13" i="41"/>
  <c r="A15" i="41"/>
  <c r="A16" i="41"/>
  <c r="W16" i="41" s="1"/>
  <c r="A17" i="41"/>
  <c r="G17" i="41" s="1"/>
  <c r="A18" i="41"/>
  <c r="A19" i="41"/>
  <c r="A20" i="41"/>
  <c r="A21" i="41"/>
  <c r="A22" i="41"/>
  <c r="A23" i="41"/>
  <c r="A24" i="41"/>
  <c r="A25" i="41"/>
  <c r="A26" i="41"/>
  <c r="A27" i="41"/>
  <c r="A29" i="41"/>
  <c r="A30" i="41"/>
  <c r="A31" i="41"/>
  <c r="A32" i="41"/>
  <c r="B32" i="41" s="1"/>
  <c r="A34" i="41"/>
  <c r="A35" i="41"/>
  <c r="A36" i="41"/>
  <c r="H36" i="41" s="1"/>
  <c r="A37" i="41"/>
  <c r="H37" i="41" s="1"/>
  <c r="A38" i="41"/>
  <c r="B38" i="41" s="1"/>
  <c r="A39" i="41"/>
  <c r="F39" i="41" s="1"/>
  <c r="A40" i="41"/>
  <c r="M40" i="41" s="1"/>
  <c r="A41" i="41"/>
  <c r="A42" i="41"/>
  <c r="A43" i="41"/>
  <c r="A9" i="41"/>
  <c r="A3" i="41"/>
  <c r="A4" i="41"/>
  <c r="A5" i="41"/>
  <c r="A6" i="41"/>
  <c r="A7" i="41"/>
  <c r="W12" i="41" l="1"/>
  <c r="W25" i="41"/>
  <c r="G25" i="41"/>
  <c r="G21" i="41"/>
  <c r="W21" i="41"/>
  <c r="G26" i="41"/>
  <c r="W26" i="41"/>
  <c r="W22" i="41"/>
  <c r="G22" i="41"/>
  <c r="G18" i="41"/>
  <c r="W18" i="41"/>
  <c r="W13" i="41"/>
  <c r="G13" i="41"/>
  <c r="W24" i="41"/>
  <c r="G24" i="41"/>
  <c r="W20" i="41"/>
  <c r="G20" i="41"/>
  <c r="W9" i="41"/>
  <c r="G9" i="41"/>
  <c r="W10" i="41"/>
  <c r="G10" i="41"/>
  <c r="G27" i="41"/>
  <c r="W27" i="41"/>
  <c r="W23" i="41"/>
  <c r="G23" i="41"/>
  <c r="G19" i="41"/>
  <c r="W19" i="41"/>
  <c r="W15" i="41"/>
  <c r="G15" i="41"/>
  <c r="G16" i="41"/>
  <c r="B4" i="41"/>
  <c r="O35" i="41"/>
  <c r="C35" i="41"/>
  <c r="S25" i="41"/>
  <c r="B14" i="41"/>
  <c r="B3" i="41"/>
  <c r="S34" i="41"/>
  <c r="S29" i="41"/>
  <c r="U17" i="41"/>
  <c r="U13" i="41"/>
  <c r="S27" i="41"/>
  <c r="B20" i="41"/>
  <c r="Q16" i="41"/>
  <c r="U12" i="41"/>
  <c r="B2" i="41"/>
  <c r="U30" i="41"/>
  <c r="Q21" i="41"/>
  <c r="O10" i="41"/>
  <c r="B5" i="41"/>
  <c r="Q31" i="41"/>
  <c r="C31" i="41"/>
  <c r="Q26" i="41"/>
  <c r="Q22" i="41"/>
  <c r="S15" i="41"/>
  <c r="S11" i="41"/>
  <c r="S7" i="41"/>
  <c r="B7" i="41"/>
  <c r="E6" i="41"/>
  <c r="C6" i="41"/>
  <c r="D6" i="41" s="1"/>
  <c r="B6" i="41"/>
  <c r="B16" i="41"/>
  <c r="B15" i="41"/>
  <c r="F41" i="41"/>
  <c r="B12" i="41"/>
  <c r="B25" i="41"/>
  <c r="B13" i="41"/>
  <c r="B33" i="41"/>
  <c r="B24" i="41"/>
  <c r="G40" i="41"/>
  <c r="B36" i="41"/>
  <c r="B18" i="41"/>
  <c r="Q40" i="41"/>
  <c r="B29" i="41"/>
  <c r="I36" i="41"/>
  <c r="B26" i="41"/>
  <c r="B11" i="41"/>
  <c r="U36" i="41"/>
  <c r="B37" i="41"/>
  <c r="U25" i="41"/>
  <c r="B39" i="41"/>
  <c r="B30" i="41"/>
  <c r="B21" i="41"/>
  <c r="C36" i="41" a="1"/>
  <c r="C36" i="41" s="1"/>
  <c r="D36" i="41" s="1"/>
  <c r="L39" i="41"/>
  <c r="S24" i="41"/>
  <c r="B31" i="41"/>
  <c r="E7" i="41"/>
  <c r="G7" i="41"/>
  <c r="I37" i="41"/>
  <c r="L40" i="41"/>
  <c r="Q41" i="41"/>
  <c r="Q27" i="41"/>
  <c r="Q17" i="41"/>
  <c r="S36" i="41"/>
  <c r="U37" i="41"/>
  <c r="B19" i="41"/>
  <c r="C40" i="41" a="1"/>
  <c r="C40" i="41" s="1"/>
  <c r="D40" i="41" s="1"/>
  <c r="F40" i="41"/>
  <c r="K40" i="41"/>
  <c r="Q34" i="41"/>
  <c r="S30" i="41"/>
  <c r="S18" i="41"/>
  <c r="U31" i="41"/>
  <c r="U19" i="41"/>
  <c r="W39" i="41"/>
  <c r="C39" i="41" a="1"/>
  <c r="C39" i="41" s="1"/>
  <c r="D39" i="41" s="1"/>
  <c r="F36" i="41"/>
  <c r="K39" i="41"/>
  <c r="M39" i="41"/>
  <c r="S6" i="41"/>
  <c r="B9" i="41"/>
  <c r="Q9" i="41"/>
  <c r="S9" i="41"/>
  <c r="U38" i="41"/>
  <c r="Q38" i="41"/>
  <c r="I38" i="41"/>
  <c r="H38" i="41"/>
  <c r="S38" i="41"/>
  <c r="M38" i="41"/>
  <c r="L38" i="41"/>
  <c r="K38" i="41"/>
  <c r="F38" i="41"/>
  <c r="U32" i="41"/>
  <c r="Q32" i="41"/>
  <c r="S32" i="41"/>
  <c r="U28" i="41"/>
  <c r="Q28" i="41"/>
  <c r="S28" i="41"/>
  <c r="U23" i="41"/>
  <c r="Q23" i="41"/>
  <c r="S23" i="41"/>
  <c r="U20" i="41"/>
  <c r="Q20" i="41"/>
  <c r="U14" i="41"/>
  <c r="Q14" i="41"/>
  <c r="E9" i="41"/>
  <c r="C9" i="41" s="1"/>
  <c r="E38" i="41"/>
  <c r="E35" i="41"/>
  <c r="E32" i="41"/>
  <c r="C32" i="41" s="1"/>
  <c r="E28" i="41"/>
  <c r="C28" i="41" s="1"/>
  <c r="E23" i="41"/>
  <c r="C23" i="41" s="1"/>
  <c r="E20" i="41"/>
  <c r="C20" i="41" s="1"/>
  <c r="E14" i="41"/>
  <c r="C14" i="41" s="1"/>
  <c r="E10" i="41"/>
  <c r="C10" i="41" s="1"/>
  <c r="J32" i="41"/>
  <c r="S41" i="41"/>
  <c r="M41" i="41"/>
  <c r="L41" i="41"/>
  <c r="K41" i="41"/>
  <c r="S37" i="41"/>
  <c r="M37" i="41"/>
  <c r="L37" i="41"/>
  <c r="K37" i="41"/>
  <c r="W37" i="41"/>
  <c r="S22" i="41"/>
  <c r="S19" i="41"/>
  <c r="S13" i="41"/>
  <c r="E41" i="41"/>
  <c r="E37" i="41"/>
  <c r="E34" i="41"/>
  <c r="C34" i="41" s="1"/>
  <c r="E31" i="41"/>
  <c r="E27" i="41"/>
  <c r="C27" i="41" s="1"/>
  <c r="E22" i="41"/>
  <c r="C22" i="41" s="1"/>
  <c r="E19" i="41"/>
  <c r="C19" i="41" s="1"/>
  <c r="E17" i="41"/>
  <c r="C17" i="41" s="1"/>
  <c r="E13" i="41"/>
  <c r="C13" i="41" s="1"/>
  <c r="G38" i="41"/>
  <c r="J37" i="41"/>
  <c r="J31" i="41"/>
  <c r="J19" i="41"/>
  <c r="J13" i="41"/>
  <c r="O4" i="41"/>
  <c r="O37" i="41"/>
  <c r="O31" i="41"/>
  <c r="O19" i="41"/>
  <c r="O13" i="41"/>
  <c r="W38" i="41"/>
  <c r="B35" i="41"/>
  <c r="B28" i="41"/>
  <c r="B23" i="41"/>
  <c r="B10" i="41"/>
  <c r="C7" i="41" a="1"/>
  <c r="C7" i="41" s="1"/>
  <c r="D7" i="41" s="1"/>
  <c r="U7" i="41"/>
  <c r="O7" i="41"/>
  <c r="J7" i="41"/>
  <c r="I7" i="41"/>
  <c r="H7" i="41"/>
  <c r="O3" i="41"/>
  <c r="W40" i="41"/>
  <c r="O40" i="41"/>
  <c r="J40" i="41"/>
  <c r="W36" i="41"/>
  <c r="O36" i="41"/>
  <c r="J36" i="41"/>
  <c r="O30" i="41"/>
  <c r="J30" i="41"/>
  <c r="O26" i="41"/>
  <c r="J26" i="41"/>
  <c r="O25" i="41"/>
  <c r="J25" i="41"/>
  <c r="O21" i="41"/>
  <c r="J21" i="41"/>
  <c r="S16" i="41"/>
  <c r="O16" i="41"/>
  <c r="J16" i="41"/>
  <c r="O12" i="41"/>
  <c r="J12" i="41"/>
  <c r="C38" i="41" a="1"/>
  <c r="C38" i="41" s="1"/>
  <c r="D38" i="41" s="1"/>
  <c r="E40" i="41"/>
  <c r="E36" i="41"/>
  <c r="E30" i="41"/>
  <c r="C30" i="41" s="1"/>
  <c r="E26" i="41"/>
  <c r="C26" i="41" s="1"/>
  <c r="E25" i="41"/>
  <c r="C25" i="41" s="1"/>
  <c r="E21" i="41"/>
  <c r="C21" i="41" s="1"/>
  <c r="E16" i="41"/>
  <c r="C16" i="41" s="1"/>
  <c r="E12" i="41"/>
  <c r="C12" i="41" s="1"/>
  <c r="G37" i="41"/>
  <c r="H41" i="41"/>
  <c r="I41" i="41"/>
  <c r="J9" i="41"/>
  <c r="J35" i="41"/>
  <c r="J28" i="41"/>
  <c r="J23" i="41"/>
  <c r="J10" i="41"/>
  <c r="K36" i="41"/>
  <c r="L36" i="41"/>
  <c r="M36" i="41"/>
  <c r="O9" i="41"/>
  <c r="O28" i="41"/>
  <c r="O23" i="41"/>
  <c r="Q37" i="41"/>
  <c r="Q19" i="41"/>
  <c r="Q13" i="41"/>
  <c r="S40" i="41"/>
  <c r="S26" i="41"/>
  <c r="S21" i="41"/>
  <c r="U9" i="41"/>
  <c r="U34" i="41"/>
  <c r="U27" i="41"/>
  <c r="U22" i="41"/>
  <c r="W7" i="41"/>
  <c r="U35" i="41"/>
  <c r="Q35" i="41"/>
  <c r="S35" i="41"/>
  <c r="U10" i="41"/>
  <c r="Q10" i="41"/>
  <c r="J38" i="41"/>
  <c r="J20" i="41"/>
  <c r="J14" i="41"/>
  <c r="O5" i="41"/>
  <c r="O38" i="41"/>
  <c r="O32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4" i="41"/>
  <c r="B27" i="41"/>
  <c r="B22" i="41"/>
  <c r="B17" i="41"/>
  <c r="O39" i="41"/>
  <c r="J39" i="41"/>
  <c r="U39" i="41"/>
  <c r="Q39" i="41"/>
  <c r="I39" i="41"/>
  <c r="H39" i="41"/>
  <c r="G39" i="41"/>
  <c r="O33" i="41"/>
  <c r="J33" i="41"/>
  <c r="U33" i="41"/>
  <c r="Q33" i="41"/>
  <c r="O29" i="41"/>
  <c r="J29" i="41"/>
  <c r="U29" i="41"/>
  <c r="Q29" i="41"/>
  <c r="O24" i="41"/>
  <c r="J24" i="41"/>
  <c r="U24" i="41"/>
  <c r="Q24" i="41"/>
  <c r="O18" i="41"/>
  <c r="J18" i="41"/>
  <c r="U18" i="41"/>
  <c r="Q18" i="41"/>
  <c r="O15" i="41"/>
  <c r="J15" i="41"/>
  <c r="U15" i="41"/>
  <c r="Q15" i="41"/>
  <c r="O11" i="41"/>
  <c r="J11" i="41"/>
  <c r="U11" i="41"/>
  <c r="Q11" i="41"/>
  <c r="C41" i="41" a="1"/>
  <c r="C41" i="41" s="1"/>
  <c r="D41" i="41" s="1"/>
  <c r="C37" i="41" a="1"/>
  <c r="C37" i="41" s="1"/>
  <c r="D37" i="41" s="1"/>
  <c r="E39" i="41"/>
  <c r="E33" i="41"/>
  <c r="C33" i="41" s="1"/>
  <c r="E29" i="41"/>
  <c r="C29" i="41" s="1"/>
  <c r="E24" i="41"/>
  <c r="C24" i="41" s="1"/>
  <c r="E18" i="41"/>
  <c r="C18" i="41" s="1"/>
  <c r="E15" i="41"/>
  <c r="C15" i="41" s="1"/>
  <c r="E11" i="41"/>
  <c r="C11" i="41" s="1"/>
  <c r="F7" i="41"/>
  <c r="F37" i="41"/>
  <c r="G41" i="41"/>
  <c r="G36" i="41"/>
  <c r="H40" i="41"/>
  <c r="I40" i="41"/>
  <c r="J41" i="41"/>
  <c r="J34" i="41"/>
  <c r="J27" i="41"/>
  <c r="J22" i="41"/>
  <c r="J17" i="41"/>
  <c r="K7" i="41"/>
  <c r="L7" i="41"/>
  <c r="M7" i="41"/>
  <c r="O2" i="41"/>
  <c r="O41" i="41"/>
  <c r="O34" i="41"/>
  <c r="O27" i="41"/>
  <c r="O22" i="41"/>
  <c r="O17" i="41"/>
  <c r="Q7" i="41"/>
  <c r="Q36" i="41"/>
  <c r="Q30" i="41"/>
  <c r="Q25" i="41"/>
  <c r="Q12" i="41"/>
  <c r="S39" i="41"/>
  <c r="S33" i="41"/>
  <c r="S20" i="41"/>
  <c r="S14" i="41"/>
  <c r="U40" i="41"/>
  <c r="U26" i="41"/>
  <c r="U21" i="41"/>
  <c r="U16" i="41"/>
  <c r="W6" i="41"/>
  <c r="Q11" i="42"/>
  <c r="R11" i="42"/>
  <c r="T11" i="42"/>
  <c r="Q10" i="42"/>
  <c r="H10" i="42"/>
  <c r="M2" i="41"/>
  <c r="M26" i="41"/>
  <c r="K20" i="42" l="1"/>
  <c r="K10" i="42"/>
  <c r="H16" i="42"/>
  <c r="K18" i="42"/>
  <c r="K28" i="42"/>
  <c r="H24" i="42"/>
  <c r="D29" i="41"/>
  <c r="F21" i="41"/>
  <c r="K21" i="41" s="1"/>
  <c r="F13" i="41"/>
  <c r="F10" i="41"/>
  <c r="F12" i="41"/>
  <c r="F25" i="41"/>
  <c r="F17" i="41"/>
  <c r="F14" i="41"/>
  <c r="F28" i="41"/>
  <c r="F9" i="41"/>
  <c r="D11" i="41"/>
  <c r="D24" i="41"/>
  <c r="F16" i="41"/>
  <c r="F26" i="41"/>
  <c r="D26" i="41"/>
  <c r="F19" i="41"/>
  <c r="F31" i="41"/>
  <c r="F32" i="41"/>
  <c r="D18" i="41"/>
  <c r="F23" i="41"/>
  <c r="D33" i="41"/>
  <c r="F27" i="41"/>
  <c r="D15" i="41"/>
  <c r="F30" i="41"/>
  <c r="F22" i="41"/>
  <c r="F34" i="41"/>
  <c r="F20" i="41"/>
  <c r="D20" i="41"/>
  <c r="F35" i="41"/>
  <c r="K35" i="41" s="1"/>
  <c r="D35" i="41"/>
  <c r="K16" i="42"/>
  <c r="H18" i="42"/>
  <c r="K24" i="42"/>
  <c r="H28" i="42"/>
  <c r="H8" i="42"/>
  <c r="H12" i="42"/>
  <c r="H20" i="42"/>
  <c r="H14" i="42"/>
  <c r="H22" i="42"/>
  <c r="K8" i="42"/>
  <c r="K12" i="42"/>
  <c r="K14" i="42"/>
  <c r="K22" i="42"/>
  <c r="S12" i="42"/>
  <c r="T25" i="42"/>
  <c r="K26" i="41" l="1"/>
  <c r="D25" i="41"/>
  <c r="D13" i="41"/>
  <c r="K20" i="41"/>
  <c r="K16" i="41"/>
  <c r="K13" i="41"/>
  <c r="K17" i="41"/>
  <c r="K23" i="41"/>
  <c r="F24" i="41"/>
  <c r="K24" i="41" s="1"/>
  <c r="D30" i="41"/>
  <c r="K25" i="41"/>
  <c r="K32" i="41"/>
  <c r="D34" i="41"/>
  <c r="K12" i="41"/>
  <c r="K31" i="41"/>
  <c r="K9" i="41"/>
  <c r="D22" i="41"/>
  <c r="D27" i="41"/>
  <c r="K10" i="41"/>
  <c r="K19" i="41"/>
  <c r="K28" i="41"/>
  <c r="D17" i="41"/>
  <c r="D21" i="41"/>
  <c r="K30" i="41"/>
  <c r="F11" i="41"/>
  <c r="K11" i="41" s="1"/>
  <c r="D10" i="41"/>
  <c r="D23" i="41"/>
  <c r="K27" i="41"/>
  <c r="F15" i="41"/>
  <c r="K15" i="41" s="1"/>
  <c r="K14" i="41"/>
  <c r="D19" i="41"/>
  <c r="D31" i="41"/>
  <c r="D14" i="41"/>
  <c r="D28" i="41"/>
  <c r="K22" i="41"/>
  <c r="K34" i="41"/>
  <c r="D9" i="41"/>
  <c r="F33" i="41"/>
  <c r="K33" i="41" s="1"/>
  <c r="D16" i="41"/>
  <c r="D32" i="41"/>
  <c r="F18" i="41"/>
  <c r="K18" i="41" s="1"/>
  <c r="F29" i="41"/>
  <c r="K29" i="41" s="1"/>
  <c r="D12" i="41"/>
  <c r="T20" i="42"/>
  <c r="S29" i="42"/>
  <c r="S25" i="42"/>
  <c r="S20" i="42"/>
  <c r="T29" i="42"/>
  <c r="T12" i="42"/>
  <c r="M31" i="41"/>
  <c r="M30" i="41"/>
  <c r="M35" i="41"/>
  <c r="M32" i="41"/>
  <c r="M24" i="41"/>
  <c r="M33" i="41"/>
  <c r="M22" i="41"/>
  <c r="M29" i="41"/>
  <c r="M23" i="41"/>
  <c r="M25" i="41"/>
  <c r="M34" i="41"/>
  <c r="M21" i="41"/>
  <c r="M12" i="41"/>
  <c r="M28" i="41"/>
  <c r="M20" i="41"/>
  <c r="M15" i="41"/>
  <c r="M10" i="41"/>
  <c r="M27" i="41"/>
  <c r="M17" i="41"/>
  <c r="M13" i="41"/>
  <c r="M14" i="41"/>
  <c r="M19" i="41"/>
  <c r="M11" i="41"/>
  <c r="M16" i="41"/>
  <c r="M9" i="41"/>
  <c r="M18" i="41"/>
  <c r="L10" i="41" l="1"/>
  <c r="L20" i="41"/>
  <c r="L18" i="41"/>
  <c r="L13" i="41"/>
  <c r="L17" i="41"/>
  <c r="L12" i="41"/>
  <c r="L15" i="41"/>
  <c r="L11" i="41"/>
  <c r="L16" i="41"/>
  <c r="L21" i="41"/>
  <c r="L19" i="41"/>
  <c r="L14" i="41"/>
  <c r="L9" i="41"/>
  <c r="I10" i="41"/>
  <c r="I18" i="41"/>
  <c r="I15" i="41"/>
  <c r="I11" i="41"/>
  <c r="I16" i="41"/>
  <c r="I21" i="41"/>
  <c r="I19" i="41"/>
  <c r="H10" i="41"/>
  <c r="H20" i="41"/>
  <c r="H18" i="41"/>
  <c r="H13" i="41"/>
  <c r="H17" i="41"/>
  <c r="H12" i="41"/>
  <c r="H15" i="41"/>
  <c r="H11" i="41"/>
  <c r="H16" i="41"/>
  <c r="H21" i="41"/>
  <c r="H19" i="41"/>
  <c r="H14" i="41"/>
  <c r="H9" i="41"/>
  <c r="D39" i="9"/>
  <c r="M5" i="41"/>
  <c r="M4" i="41"/>
  <c r="I13" i="41" l="1"/>
  <c r="W34" i="41"/>
  <c r="G34" i="41"/>
  <c r="F80" i="1" l="1"/>
  <c r="F81" i="1"/>
  <c r="E52" i="42" l="1"/>
  <c r="U52" i="41" l="1"/>
  <c r="M42" i="42" l="1"/>
  <c r="M41" i="42"/>
  <c r="M40" i="42"/>
  <c r="N27" i="42" l="1"/>
  <c r="N40" i="42"/>
  <c r="N41" i="42"/>
  <c r="N42" i="42"/>
  <c r="N33" i="42"/>
  <c r="N29" i="42"/>
  <c r="N26" i="42"/>
  <c r="N25" i="42"/>
  <c r="N23" i="42"/>
  <c r="N21" i="42"/>
  <c r="N31" i="42"/>
  <c r="N30" i="42"/>
  <c r="N34" i="42"/>
  <c r="N35" i="42"/>
  <c r="N22" i="42"/>
  <c r="Q20" i="42"/>
  <c r="I18" i="42"/>
  <c r="G28" i="42"/>
  <c r="G22" i="42"/>
  <c r="G18" i="42"/>
  <c r="G14" i="42"/>
  <c r="I22" i="42" l="1"/>
  <c r="I28" i="42"/>
  <c r="I14" i="42"/>
  <c r="R20" i="42"/>
  <c r="Q29" i="42"/>
  <c r="I12" i="42"/>
  <c r="I16" i="42"/>
  <c r="I20" i="42"/>
  <c r="I24" i="42"/>
  <c r="Q12" i="42"/>
  <c r="G12" i="42"/>
  <c r="G16" i="42"/>
  <c r="G20" i="42"/>
  <c r="G8" i="42"/>
  <c r="I8" i="42"/>
  <c r="R29" i="42"/>
  <c r="Q25" i="42"/>
  <c r="R25" i="42"/>
  <c r="N11" i="42"/>
  <c r="N14" i="42"/>
  <c r="N10" i="42"/>
  <c r="R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F82" i="1"/>
  <c r="O82" i="1"/>
  <c r="Z82" i="1"/>
  <c r="AB82" i="1" s="1"/>
  <c r="F83" i="1"/>
  <c r="O83" i="1"/>
  <c r="Z83" i="1"/>
  <c r="AB83" i="1" s="1"/>
  <c r="F84" i="1"/>
  <c r="O84" i="1"/>
  <c r="Z84" i="1"/>
  <c r="AB84" i="1" s="1"/>
  <c r="F85" i="1"/>
  <c r="O85" i="1"/>
  <c r="Z85" i="1"/>
  <c r="AB85" i="1" s="1"/>
  <c r="F86" i="1"/>
  <c r="O86" i="1"/>
  <c r="Z86" i="1"/>
  <c r="AB86" i="1" s="1"/>
  <c r="F87" i="1"/>
  <c r="O87" i="1"/>
  <c r="Z87" i="1"/>
  <c r="AB87" i="1" s="1"/>
  <c r="F88" i="1"/>
  <c r="O88" i="1"/>
  <c r="Z88" i="1"/>
  <c r="AB88" i="1" s="1"/>
  <c r="F89" i="1"/>
  <c r="O89" i="1"/>
  <c r="Z89" i="1"/>
  <c r="AB89" i="1" s="1"/>
  <c r="F90" i="1"/>
  <c r="O90" i="1"/>
  <c r="Z90" i="1"/>
  <c r="AB90" i="1" s="1"/>
  <c r="F91" i="1"/>
  <c r="O91" i="1"/>
  <c r="Z91" i="1"/>
  <c r="AB91" i="1" s="1"/>
  <c r="F92" i="1"/>
  <c r="O92" i="1"/>
  <c r="Z92" i="1"/>
  <c r="AB92" i="1" s="1"/>
  <c r="F93" i="1"/>
  <c r="O93" i="1"/>
  <c r="Z93" i="1"/>
  <c r="AB93" i="1" s="1"/>
  <c r="F94" i="1"/>
  <c r="O94" i="1"/>
  <c r="Z94" i="1"/>
  <c r="AB94" i="1" s="1"/>
  <c r="F95" i="1"/>
  <c r="O95" i="1"/>
  <c r="Z95" i="1"/>
  <c r="AB95" i="1" s="1"/>
  <c r="F96" i="1"/>
  <c r="O96" i="1"/>
  <c r="Z96" i="1"/>
  <c r="AB96" i="1" s="1"/>
  <c r="F97" i="1"/>
  <c r="O97" i="1"/>
  <c r="Z97" i="1"/>
  <c r="AB97" i="1" s="1"/>
  <c r="F98" i="1"/>
  <c r="O98" i="1"/>
  <c r="Z98" i="1"/>
  <c r="AB98" i="1" s="1"/>
  <c r="F99" i="1"/>
  <c r="O99" i="1"/>
  <c r="Z99" i="1"/>
  <c r="AB99" i="1" s="1"/>
  <c r="F100" i="1"/>
  <c r="O100" i="1"/>
  <c r="Z100" i="1"/>
  <c r="AB100" i="1" s="1"/>
  <c r="F101" i="1"/>
  <c r="O101" i="1"/>
  <c r="Z101" i="1"/>
  <c r="AB101" i="1" s="1"/>
  <c r="F102" i="1"/>
  <c r="O102" i="1"/>
  <c r="Z102" i="1"/>
  <c r="AB102" i="1" s="1"/>
  <c r="F103" i="1"/>
  <c r="O103" i="1"/>
  <c r="Z103" i="1"/>
  <c r="AB103" i="1" s="1"/>
  <c r="F104" i="1"/>
  <c r="O104" i="1"/>
  <c r="Z104" i="1"/>
  <c r="AB104" i="1" s="1"/>
  <c r="F105" i="1"/>
  <c r="O105" i="1"/>
  <c r="Z105" i="1"/>
  <c r="AB105" i="1" s="1"/>
  <c r="F106" i="1"/>
  <c r="O106" i="1"/>
  <c r="Z106" i="1"/>
  <c r="AB106" i="1" s="1"/>
  <c r="F107" i="1"/>
  <c r="O107" i="1"/>
  <c r="Z107" i="1"/>
  <c r="AB107" i="1" s="1"/>
  <c r="F108" i="1"/>
  <c r="O108" i="1"/>
  <c r="Z108" i="1"/>
  <c r="AB108" i="1" s="1"/>
  <c r="F109" i="1"/>
  <c r="O109" i="1"/>
  <c r="Z109" i="1"/>
  <c r="AB109" i="1" s="1"/>
  <c r="F110" i="1"/>
  <c r="O110" i="1"/>
  <c r="Z110" i="1"/>
  <c r="AB110" i="1" s="1"/>
  <c r="F111" i="1"/>
  <c r="O111" i="1"/>
  <c r="Z111" i="1"/>
  <c r="AB111" i="1" s="1"/>
  <c r="F112" i="1"/>
  <c r="O112" i="1"/>
  <c r="Z112" i="1"/>
  <c r="AB112" i="1" s="1"/>
  <c r="F113" i="1"/>
  <c r="O113" i="1"/>
  <c r="Z113" i="1"/>
  <c r="AB113" i="1" s="1"/>
  <c r="F114" i="1"/>
  <c r="O114" i="1"/>
  <c r="Z114" i="1"/>
  <c r="AB114" i="1" s="1"/>
  <c r="F115" i="1"/>
  <c r="O115" i="1"/>
  <c r="Z115" i="1"/>
  <c r="AB115" i="1" s="1"/>
  <c r="F116" i="1"/>
  <c r="O116" i="1"/>
  <c r="Z116" i="1"/>
  <c r="AB116" i="1" s="1"/>
  <c r="F117" i="1"/>
  <c r="O117" i="1"/>
  <c r="Z117" i="1"/>
  <c r="AB117" i="1" s="1"/>
  <c r="F118" i="1"/>
  <c r="O118" i="1"/>
  <c r="Z118" i="1"/>
  <c r="AB118" i="1" s="1"/>
  <c r="F119" i="1"/>
  <c r="O119" i="1"/>
  <c r="Z119" i="1"/>
  <c r="AB119" i="1" s="1"/>
  <c r="F120" i="1"/>
  <c r="O120" i="1"/>
  <c r="Z120" i="1"/>
  <c r="AB120" i="1" s="1"/>
  <c r="F121" i="1"/>
  <c r="O121" i="1"/>
  <c r="Z121" i="1"/>
  <c r="AB121" i="1" s="1"/>
  <c r="F122" i="1"/>
  <c r="O122" i="1"/>
  <c r="Z122" i="1"/>
  <c r="AB122" i="1" s="1"/>
  <c r="F123" i="1"/>
  <c r="O123" i="1"/>
  <c r="Z123" i="1"/>
  <c r="AB123" i="1" s="1"/>
  <c r="F124" i="1"/>
  <c r="O124" i="1"/>
  <c r="Z124" i="1"/>
  <c r="AB124" i="1" s="1"/>
  <c r="F125" i="1"/>
  <c r="O125" i="1"/>
  <c r="Z125" i="1"/>
  <c r="AB125" i="1" s="1"/>
  <c r="F126" i="1"/>
  <c r="O126" i="1"/>
  <c r="Z126" i="1"/>
  <c r="AB126" i="1" s="1"/>
  <c r="F127" i="1"/>
  <c r="O127" i="1"/>
  <c r="Z127" i="1"/>
  <c r="AB127" i="1" s="1"/>
  <c r="F128" i="1"/>
  <c r="O128" i="1"/>
  <c r="Z128" i="1"/>
  <c r="AB128" i="1" s="1"/>
  <c r="F129" i="1"/>
  <c r="O129" i="1"/>
  <c r="Z129" i="1"/>
  <c r="AB129" i="1" s="1"/>
  <c r="F130" i="1"/>
  <c r="O130" i="1"/>
  <c r="Z130" i="1"/>
  <c r="AB130" i="1" s="1"/>
  <c r="F131" i="1"/>
  <c r="O131" i="1"/>
  <c r="Z131" i="1"/>
  <c r="AB131" i="1" s="1"/>
  <c r="F132" i="1"/>
  <c r="O132" i="1"/>
  <c r="Z132" i="1"/>
  <c r="AB132" i="1" s="1"/>
  <c r="F133" i="1"/>
  <c r="O133" i="1"/>
  <c r="Z133" i="1"/>
  <c r="AB133" i="1" s="1"/>
  <c r="F134" i="1"/>
  <c r="O134" i="1"/>
  <c r="Z134" i="1"/>
  <c r="AB134" i="1" s="1"/>
  <c r="F135" i="1"/>
  <c r="O135" i="1"/>
  <c r="Z135" i="1"/>
  <c r="AB135" i="1" s="1"/>
  <c r="F136" i="1"/>
  <c r="O136" i="1"/>
  <c r="Z136" i="1"/>
  <c r="AB136" i="1" s="1"/>
  <c r="F137" i="1"/>
  <c r="O137" i="1"/>
  <c r="Z137" i="1"/>
  <c r="AB137" i="1" s="1"/>
  <c r="F138" i="1"/>
  <c r="O138" i="1"/>
  <c r="Z138" i="1"/>
  <c r="AB138" i="1" s="1"/>
  <c r="F139" i="1"/>
  <c r="O139" i="1"/>
  <c r="Z139" i="1"/>
  <c r="AB139" i="1" s="1"/>
  <c r="F140" i="1"/>
  <c r="O140" i="1"/>
  <c r="Z140" i="1"/>
  <c r="AB140" i="1" s="1"/>
  <c r="F141" i="1"/>
  <c r="O141" i="1"/>
  <c r="Z141" i="1"/>
  <c r="AB141" i="1" s="1"/>
  <c r="F142" i="1"/>
  <c r="O142" i="1"/>
  <c r="Z142" i="1"/>
  <c r="AB142" i="1" s="1"/>
  <c r="F143" i="1"/>
  <c r="O143" i="1"/>
  <c r="Z143" i="1"/>
  <c r="AB143" i="1" s="1"/>
  <c r="F144" i="1"/>
  <c r="O144" i="1"/>
  <c r="Z144" i="1"/>
  <c r="AB144" i="1" s="1"/>
  <c r="F145" i="1"/>
  <c r="O145" i="1"/>
  <c r="Z145" i="1"/>
  <c r="AB145" i="1" s="1"/>
  <c r="F146" i="1"/>
  <c r="O146" i="1"/>
  <c r="Z146" i="1"/>
  <c r="AB146" i="1" s="1"/>
  <c r="F147" i="1"/>
  <c r="O147" i="1"/>
  <c r="Z147" i="1"/>
  <c r="AB147" i="1" s="1"/>
  <c r="F148" i="1"/>
  <c r="O148" i="1"/>
  <c r="Z148" i="1"/>
  <c r="AB148" i="1" s="1"/>
  <c r="F149" i="1"/>
  <c r="O149" i="1"/>
  <c r="Z149" i="1"/>
  <c r="AB149" i="1" s="1"/>
  <c r="F150" i="1"/>
  <c r="O150" i="1"/>
  <c r="Z150" i="1"/>
  <c r="AB150" i="1" s="1"/>
  <c r="F151" i="1"/>
  <c r="O151" i="1"/>
  <c r="Z151" i="1"/>
  <c r="AB151" i="1" s="1"/>
  <c r="F152" i="1"/>
  <c r="O152" i="1"/>
  <c r="Z152" i="1"/>
  <c r="AB152" i="1" s="1"/>
  <c r="F153" i="1"/>
  <c r="O153" i="1"/>
  <c r="Z153" i="1"/>
  <c r="AB153" i="1" s="1"/>
  <c r="F154" i="1"/>
  <c r="O154" i="1"/>
  <c r="Z154" i="1"/>
  <c r="AB154" i="1" s="1"/>
  <c r="F155" i="1"/>
  <c r="O155" i="1"/>
  <c r="Z155" i="1"/>
  <c r="AB155" i="1" s="1"/>
  <c r="F156" i="1"/>
  <c r="O156" i="1"/>
  <c r="Z156" i="1"/>
  <c r="AB156" i="1" s="1"/>
  <c r="F157" i="1"/>
  <c r="O157" i="1"/>
  <c r="Z157" i="1"/>
  <c r="AB157" i="1" s="1"/>
  <c r="F158" i="1"/>
  <c r="O158" i="1"/>
  <c r="Z158" i="1"/>
  <c r="AB158" i="1" s="1"/>
  <c r="F159" i="1"/>
  <c r="O159" i="1"/>
  <c r="Z159" i="1"/>
  <c r="AB159" i="1" s="1"/>
  <c r="F160" i="1"/>
  <c r="O160" i="1"/>
  <c r="Z160" i="1"/>
  <c r="AB160" i="1" s="1"/>
  <c r="F161" i="1"/>
  <c r="O161" i="1"/>
  <c r="Z161" i="1"/>
  <c r="AB161" i="1" s="1"/>
  <c r="F162" i="1"/>
  <c r="O162" i="1"/>
  <c r="Z162" i="1"/>
  <c r="AB162" i="1" s="1"/>
  <c r="F163" i="1"/>
  <c r="O163" i="1"/>
  <c r="Z163" i="1"/>
  <c r="AB163" i="1" s="1"/>
  <c r="F164" i="1"/>
  <c r="O164" i="1"/>
  <c r="Z164" i="1"/>
  <c r="AB164" i="1" s="1"/>
  <c r="F165" i="1"/>
  <c r="O165" i="1"/>
  <c r="Z165" i="1"/>
  <c r="AB165" i="1" s="1"/>
  <c r="F166" i="1"/>
  <c r="O166" i="1"/>
  <c r="Z166" i="1"/>
  <c r="AB166" i="1" s="1"/>
  <c r="F167" i="1"/>
  <c r="O167" i="1"/>
  <c r="Z167" i="1"/>
  <c r="AB167" i="1" s="1"/>
  <c r="F168" i="1"/>
  <c r="O168" i="1"/>
  <c r="Z168" i="1"/>
  <c r="AB168" i="1" s="1"/>
  <c r="F169" i="1"/>
  <c r="O169" i="1"/>
  <c r="Z169" i="1"/>
  <c r="AB169" i="1" s="1"/>
  <c r="F170" i="1"/>
  <c r="O170" i="1"/>
  <c r="Z170" i="1"/>
  <c r="AB170" i="1" s="1"/>
  <c r="F171" i="1"/>
  <c r="O171" i="1"/>
  <c r="Z171" i="1"/>
  <c r="AB171" i="1" s="1"/>
  <c r="F172" i="1"/>
  <c r="O172" i="1"/>
  <c r="Z172" i="1"/>
  <c r="AB172" i="1" s="1"/>
  <c r="F173" i="1"/>
  <c r="O173" i="1"/>
  <c r="Z173" i="1"/>
  <c r="AB173" i="1" s="1"/>
  <c r="F174" i="1"/>
  <c r="O174" i="1"/>
  <c r="Z174" i="1"/>
  <c r="AB174" i="1" s="1"/>
  <c r="F175" i="1"/>
  <c r="O175" i="1"/>
  <c r="Z175" i="1"/>
  <c r="AB175" i="1" s="1"/>
  <c r="F176" i="1"/>
  <c r="O176" i="1"/>
  <c r="Z176" i="1"/>
  <c r="AB176" i="1" s="1"/>
  <c r="F177" i="1"/>
  <c r="O177" i="1"/>
  <c r="Z177" i="1"/>
  <c r="AB177" i="1" s="1"/>
  <c r="F178" i="1"/>
  <c r="O178" i="1"/>
  <c r="Z178" i="1"/>
  <c r="AB178" i="1" s="1"/>
  <c r="F179" i="1"/>
  <c r="O179" i="1"/>
  <c r="Z179" i="1"/>
  <c r="AB179" i="1" s="1"/>
  <c r="F180" i="1"/>
  <c r="O180" i="1"/>
  <c r="Z180" i="1"/>
  <c r="AB180" i="1" s="1"/>
  <c r="F181" i="1"/>
  <c r="O181" i="1"/>
  <c r="Z181" i="1"/>
  <c r="AB181" i="1" s="1"/>
  <c r="F182" i="1"/>
  <c r="O182" i="1"/>
  <c r="Z182" i="1"/>
  <c r="AB182" i="1" s="1"/>
  <c r="F183" i="1"/>
  <c r="O183" i="1"/>
  <c r="Z183" i="1"/>
  <c r="AB183" i="1" s="1"/>
  <c r="F184" i="1"/>
  <c r="O184" i="1"/>
  <c r="Z184" i="1"/>
  <c r="AB184" i="1" s="1"/>
  <c r="F185" i="1"/>
  <c r="O185" i="1"/>
  <c r="Z185" i="1"/>
  <c r="AB185" i="1" s="1"/>
  <c r="F186" i="1"/>
  <c r="O186" i="1"/>
  <c r="Z186" i="1"/>
  <c r="AB186" i="1" s="1"/>
  <c r="F187" i="1"/>
  <c r="O187" i="1"/>
  <c r="Z187" i="1"/>
  <c r="AB187" i="1" s="1"/>
  <c r="F188" i="1"/>
  <c r="O188" i="1"/>
  <c r="Z188" i="1"/>
  <c r="AB188" i="1" s="1"/>
  <c r="F189" i="1"/>
  <c r="O189" i="1"/>
  <c r="Z189" i="1"/>
  <c r="AB189" i="1" s="1"/>
  <c r="F190" i="1"/>
  <c r="O190" i="1"/>
  <c r="Z190" i="1"/>
  <c r="AB190" i="1" s="1"/>
  <c r="F191" i="1"/>
  <c r="O191" i="1"/>
  <c r="Z191" i="1"/>
  <c r="AB191" i="1" s="1"/>
  <c r="F192" i="1"/>
  <c r="O192" i="1"/>
  <c r="Z192" i="1"/>
  <c r="AB192" i="1" s="1"/>
  <c r="F193" i="1"/>
  <c r="O193" i="1"/>
  <c r="Z193" i="1"/>
  <c r="AB193" i="1" s="1"/>
  <c r="F194" i="1"/>
  <c r="O194" i="1"/>
  <c r="Z194" i="1"/>
  <c r="AB194" i="1" s="1"/>
  <c r="F195" i="1"/>
  <c r="O195" i="1"/>
  <c r="Z195" i="1"/>
  <c r="AB195" i="1" s="1"/>
  <c r="F196" i="1"/>
  <c r="O196" i="1"/>
  <c r="Z196" i="1"/>
  <c r="AB196" i="1" s="1"/>
  <c r="F197" i="1"/>
  <c r="O197" i="1"/>
  <c r="Z197" i="1"/>
  <c r="AB197" i="1" s="1"/>
  <c r="F198" i="1"/>
  <c r="O198" i="1"/>
  <c r="Z198" i="1"/>
  <c r="AB198" i="1" s="1"/>
  <c r="F199" i="1"/>
  <c r="O199" i="1"/>
  <c r="Z199" i="1"/>
  <c r="AB199" i="1" s="1"/>
  <c r="F200" i="1"/>
  <c r="O200" i="1"/>
  <c r="Z200" i="1"/>
  <c r="AB200" i="1" s="1"/>
  <c r="F201" i="1"/>
  <c r="O201" i="1"/>
  <c r="Z201" i="1"/>
  <c r="AB201" i="1" s="1"/>
  <c r="F202" i="1"/>
  <c r="O202" i="1"/>
  <c r="Z202" i="1"/>
  <c r="AB202" i="1" s="1"/>
  <c r="F203" i="1"/>
  <c r="O203" i="1"/>
  <c r="Z203" i="1"/>
  <c r="AB203" i="1" s="1"/>
  <c r="F204" i="1"/>
  <c r="O204" i="1"/>
  <c r="Z204" i="1"/>
  <c r="AB204" i="1" s="1"/>
  <c r="F205" i="1"/>
  <c r="O205" i="1"/>
  <c r="Z205" i="1"/>
  <c r="AB205" i="1" s="1"/>
  <c r="F206" i="1"/>
  <c r="O206" i="1"/>
  <c r="Z206" i="1"/>
  <c r="AB206" i="1" s="1"/>
  <c r="F207" i="1"/>
  <c r="O207" i="1"/>
  <c r="Z207" i="1"/>
  <c r="AB207" i="1" s="1"/>
  <c r="F208" i="1"/>
  <c r="O208" i="1"/>
  <c r="Z208" i="1"/>
  <c r="AB208" i="1" s="1"/>
  <c r="F209" i="1"/>
  <c r="O209" i="1"/>
  <c r="Z209" i="1"/>
  <c r="AB209" i="1" s="1"/>
  <c r="F210" i="1"/>
  <c r="O210" i="1"/>
  <c r="Z210" i="1"/>
  <c r="AB210" i="1" s="1"/>
  <c r="F211" i="1"/>
  <c r="O211" i="1"/>
  <c r="Z211" i="1"/>
  <c r="AB211" i="1" s="1"/>
  <c r="F212" i="1"/>
  <c r="O212" i="1"/>
  <c r="Z212" i="1"/>
  <c r="AB212" i="1" s="1"/>
  <c r="F213" i="1"/>
  <c r="O213" i="1"/>
  <c r="Z213" i="1"/>
  <c r="AB213" i="1" s="1"/>
  <c r="F214" i="1"/>
  <c r="O214" i="1"/>
  <c r="Z214" i="1"/>
  <c r="AB214" i="1" s="1"/>
  <c r="F215" i="1"/>
  <c r="O215" i="1"/>
  <c r="Z215" i="1"/>
  <c r="AB215" i="1" s="1"/>
  <c r="F216" i="1"/>
  <c r="O216" i="1"/>
  <c r="Z216" i="1"/>
  <c r="AB216" i="1" s="1"/>
  <c r="F217" i="1"/>
  <c r="O217" i="1"/>
  <c r="Z217" i="1"/>
  <c r="AB217" i="1" s="1"/>
  <c r="F218" i="1"/>
  <c r="O218" i="1"/>
  <c r="Z218" i="1"/>
  <c r="AB218" i="1" s="1"/>
  <c r="F219" i="1"/>
  <c r="O219" i="1"/>
  <c r="Z219" i="1"/>
  <c r="AB219" i="1" s="1"/>
  <c r="F220" i="1"/>
  <c r="O220" i="1"/>
  <c r="Z220" i="1"/>
  <c r="AB220" i="1" s="1"/>
  <c r="F221" i="1"/>
  <c r="O221" i="1"/>
  <c r="Z221" i="1"/>
  <c r="AB221" i="1" s="1"/>
  <c r="F222" i="1"/>
  <c r="O222" i="1"/>
  <c r="Z222" i="1"/>
  <c r="AB222" i="1" s="1"/>
  <c r="F223" i="1"/>
  <c r="O223" i="1"/>
  <c r="Z223" i="1"/>
  <c r="AB223" i="1" s="1"/>
  <c r="F224" i="1"/>
  <c r="O224" i="1"/>
  <c r="Z224" i="1"/>
  <c r="AB224" i="1" s="1"/>
  <c r="F225" i="1"/>
  <c r="O225" i="1"/>
  <c r="Z225" i="1"/>
  <c r="AB225" i="1" s="1"/>
  <c r="F226" i="1"/>
  <c r="O226" i="1"/>
  <c r="Z226" i="1"/>
  <c r="AB226" i="1" s="1"/>
  <c r="F227" i="1"/>
  <c r="O227" i="1"/>
  <c r="Z227" i="1"/>
  <c r="AB227" i="1" s="1"/>
  <c r="F228" i="1"/>
  <c r="O228" i="1"/>
  <c r="Z228" i="1"/>
  <c r="AB228" i="1" s="1"/>
  <c r="F229" i="1"/>
  <c r="O229" i="1"/>
  <c r="Z229" i="1"/>
  <c r="AB229" i="1" s="1"/>
  <c r="F230" i="1"/>
  <c r="O230" i="1"/>
  <c r="Z230" i="1"/>
  <c r="AB230" i="1" s="1"/>
  <c r="F231" i="1"/>
  <c r="O231" i="1"/>
  <c r="Z231" i="1"/>
  <c r="AB231" i="1" s="1"/>
  <c r="F232" i="1"/>
  <c r="O232" i="1"/>
  <c r="Z232" i="1"/>
  <c r="AB232" i="1" s="1"/>
  <c r="F233" i="1"/>
  <c r="O233" i="1"/>
  <c r="Z233" i="1"/>
  <c r="AB233" i="1" s="1"/>
  <c r="F234" i="1"/>
  <c r="O234" i="1"/>
  <c r="Z234" i="1"/>
  <c r="AB234" i="1" s="1"/>
  <c r="F235" i="1"/>
  <c r="O235" i="1"/>
  <c r="Z235" i="1"/>
  <c r="AB235" i="1" s="1"/>
  <c r="F236" i="1"/>
  <c r="O236" i="1"/>
  <c r="Z236" i="1"/>
  <c r="AB236" i="1" s="1"/>
  <c r="F237" i="1"/>
  <c r="O237" i="1"/>
  <c r="Z237" i="1"/>
  <c r="AB237" i="1" s="1"/>
  <c r="F238" i="1"/>
  <c r="O238" i="1"/>
  <c r="Z238" i="1"/>
  <c r="AB238" i="1" s="1"/>
  <c r="F239" i="1"/>
  <c r="O239" i="1"/>
  <c r="Z239" i="1"/>
  <c r="AB239" i="1" s="1"/>
  <c r="F240" i="1"/>
  <c r="O240" i="1"/>
  <c r="Z240" i="1"/>
  <c r="AB240" i="1" s="1"/>
  <c r="F241" i="1"/>
  <c r="O241" i="1"/>
  <c r="Z241" i="1"/>
  <c r="AB241" i="1" s="1"/>
  <c r="F242" i="1"/>
  <c r="O242" i="1"/>
  <c r="Z242" i="1"/>
  <c r="AB242" i="1" s="1"/>
  <c r="F243" i="1"/>
  <c r="O243" i="1"/>
  <c r="Z243" i="1"/>
  <c r="AB243" i="1" s="1"/>
  <c r="F244" i="1"/>
  <c r="O244" i="1"/>
  <c r="Z244" i="1"/>
  <c r="AB244" i="1" s="1"/>
  <c r="F245" i="1"/>
  <c r="O245" i="1"/>
  <c r="Z245" i="1"/>
  <c r="AB245" i="1" s="1"/>
  <c r="F246" i="1"/>
  <c r="O246" i="1"/>
  <c r="Z246" i="1"/>
  <c r="AB246" i="1" s="1"/>
  <c r="F247" i="1"/>
  <c r="O247" i="1"/>
  <c r="Z247" i="1"/>
  <c r="AB247" i="1" s="1"/>
  <c r="F248" i="1"/>
  <c r="O248" i="1"/>
  <c r="Z248" i="1"/>
  <c r="AB248" i="1" s="1"/>
  <c r="F249" i="1"/>
  <c r="O249" i="1"/>
  <c r="Z249" i="1"/>
  <c r="AB249" i="1" s="1"/>
  <c r="F250" i="1"/>
  <c r="O250" i="1"/>
  <c r="Z250" i="1"/>
  <c r="AB250" i="1" s="1"/>
  <c r="F251" i="1"/>
  <c r="O251" i="1"/>
  <c r="Z251" i="1"/>
  <c r="AB251" i="1" s="1"/>
  <c r="F252" i="1"/>
  <c r="O252" i="1"/>
  <c r="Z252" i="1"/>
  <c r="AB252" i="1" s="1"/>
  <c r="F253" i="1"/>
  <c r="O253" i="1"/>
  <c r="Z253" i="1"/>
  <c r="AB253" i="1" s="1"/>
  <c r="F254" i="1"/>
  <c r="O254" i="1"/>
  <c r="Z254" i="1"/>
  <c r="AB254" i="1" s="1"/>
  <c r="F255" i="1"/>
  <c r="O255" i="1"/>
  <c r="Z255" i="1"/>
  <c r="AB255" i="1" s="1"/>
  <c r="F256" i="1"/>
  <c r="O256" i="1"/>
  <c r="Z256" i="1"/>
  <c r="AB256" i="1" s="1"/>
  <c r="F257" i="1"/>
  <c r="O257" i="1"/>
  <c r="Z257" i="1"/>
  <c r="AB257" i="1" s="1"/>
  <c r="F258" i="1"/>
  <c r="O258" i="1"/>
  <c r="Z258" i="1"/>
  <c r="AB258" i="1" s="1"/>
  <c r="F259" i="1"/>
  <c r="O259" i="1"/>
  <c r="Z259" i="1"/>
  <c r="AB259" i="1" s="1"/>
  <c r="F260" i="1"/>
  <c r="O260" i="1"/>
  <c r="Z260" i="1"/>
  <c r="AB260" i="1" s="1"/>
  <c r="F261" i="1"/>
  <c r="O261" i="1"/>
  <c r="Z261" i="1"/>
  <c r="AB261" i="1" s="1"/>
  <c r="F262" i="1"/>
  <c r="O262" i="1"/>
  <c r="Z262" i="1"/>
  <c r="AB262" i="1" s="1"/>
  <c r="F263" i="1"/>
  <c r="O263" i="1"/>
  <c r="Z263" i="1"/>
  <c r="AB263" i="1" s="1"/>
  <c r="F264" i="1"/>
  <c r="O264" i="1"/>
  <c r="Z264" i="1"/>
  <c r="AB264" i="1" s="1"/>
  <c r="F265" i="1"/>
  <c r="O265" i="1"/>
  <c r="Z265" i="1"/>
  <c r="AB265" i="1" s="1"/>
  <c r="F266" i="1"/>
  <c r="O266" i="1"/>
  <c r="Z266" i="1"/>
  <c r="AB266" i="1" s="1"/>
  <c r="F267" i="1"/>
  <c r="O267" i="1"/>
  <c r="Z267" i="1"/>
  <c r="AB267" i="1" s="1"/>
  <c r="F268" i="1"/>
  <c r="O268" i="1"/>
  <c r="Z268" i="1"/>
  <c r="AB268" i="1" s="1"/>
  <c r="F269" i="1"/>
  <c r="O269" i="1"/>
  <c r="Z269" i="1"/>
  <c r="AB269" i="1" s="1"/>
  <c r="F270" i="1"/>
  <c r="O270" i="1"/>
  <c r="Z270" i="1"/>
  <c r="AB270" i="1" s="1"/>
  <c r="F271" i="1"/>
  <c r="O271" i="1"/>
  <c r="Z271" i="1"/>
  <c r="AB271" i="1" s="1"/>
  <c r="F272" i="1"/>
  <c r="O272" i="1"/>
  <c r="Z272" i="1"/>
  <c r="AB272" i="1" s="1"/>
  <c r="F273" i="1"/>
  <c r="O273" i="1"/>
  <c r="Z273" i="1"/>
  <c r="AB273" i="1" s="1"/>
  <c r="F274" i="1"/>
  <c r="O274" i="1"/>
  <c r="Z274" i="1"/>
  <c r="AB274" i="1" s="1"/>
  <c r="F275" i="1"/>
  <c r="O275" i="1"/>
  <c r="Z275" i="1"/>
  <c r="AB275" i="1" s="1"/>
  <c r="F276" i="1"/>
  <c r="O276" i="1"/>
  <c r="Z276" i="1"/>
  <c r="AB276" i="1" s="1"/>
  <c r="F277" i="1"/>
  <c r="O277" i="1"/>
  <c r="Z277" i="1"/>
  <c r="AB277" i="1" s="1"/>
  <c r="F278" i="1"/>
  <c r="O278" i="1"/>
  <c r="Z278" i="1"/>
  <c r="AB278" i="1" s="1"/>
  <c r="F279" i="1"/>
  <c r="O279" i="1"/>
  <c r="Z279" i="1"/>
  <c r="AB279" i="1" s="1"/>
  <c r="F280" i="1"/>
  <c r="O280" i="1"/>
  <c r="Z280" i="1"/>
  <c r="AB280" i="1" s="1"/>
  <c r="F281" i="1"/>
  <c r="O281" i="1"/>
  <c r="Z281" i="1"/>
  <c r="AB281" i="1" s="1"/>
  <c r="F282" i="1"/>
  <c r="O282" i="1"/>
  <c r="Z282" i="1"/>
  <c r="AB282" i="1" s="1"/>
  <c r="F283" i="1"/>
  <c r="O283" i="1"/>
  <c r="Z283" i="1"/>
  <c r="AB283" i="1" s="1"/>
  <c r="F284" i="1"/>
  <c r="O284" i="1"/>
  <c r="Z284" i="1"/>
  <c r="AB284" i="1" s="1"/>
  <c r="F285" i="1"/>
  <c r="O285" i="1"/>
  <c r="Z285" i="1"/>
  <c r="AB285" i="1" s="1"/>
  <c r="F286" i="1"/>
  <c r="O286" i="1"/>
  <c r="Z286" i="1"/>
  <c r="AB286" i="1" s="1"/>
  <c r="F287" i="1"/>
  <c r="O287" i="1"/>
  <c r="Z287" i="1"/>
  <c r="AB287" i="1" s="1"/>
  <c r="F288" i="1"/>
  <c r="O288" i="1"/>
  <c r="Z288" i="1"/>
  <c r="AB288" i="1" s="1"/>
  <c r="F289" i="1"/>
  <c r="O289" i="1"/>
  <c r="Z289" i="1"/>
  <c r="AB289" i="1" s="1"/>
  <c r="F290" i="1"/>
  <c r="O290" i="1"/>
  <c r="Z290" i="1"/>
  <c r="AB290" i="1" s="1"/>
  <c r="F291" i="1"/>
  <c r="O291" i="1"/>
  <c r="Z291" i="1"/>
  <c r="AB291" i="1" s="1"/>
  <c r="F292" i="1"/>
  <c r="O292" i="1"/>
  <c r="Z292" i="1"/>
  <c r="AB292" i="1" s="1"/>
  <c r="F293" i="1"/>
  <c r="O293" i="1"/>
  <c r="Z293" i="1"/>
  <c r="AB293" i="1" s="1"/>
  <c r="F294" i="1"/>
  <c r="O294" i="1"/>
  <c r="Z294" i="1"/>
  <c r="AB294" i="1" s="1"/>
  <c r="F295" i="1"/>
  <c r="O295" i="1"/>
  <c r="Z295" i="1"/>
  <c r="AB295" i="1" s="1"/>
  <c r="F296" i="1"/>
  <c r="O296" i="1"/>
  <c r="Z296" i="1"/>
  <c r="AB296" i="1" s="1"/>
  <c r="F297" i="1"/>
  <c r="O297" i="1"/>
  <c r="Z297" i="1"/>
  <c r="AB297" i="1" s="1"/>
  <c r="E1" i="42"/>
  <c r="G2" i="41" l="1"/>
  <c r="W3" i="41"/>
  <c r="G3" i="41"/>
  <c r="W2" i="41"/>
  <c r="W4" i="41"/>
  <c r="G4" i="41"/>
  <c r="R2" i="41"/>
  <c r="T4" i="41"/>
  <c r="D21" i="42" s="1"/>
  <c r="U2" i="41"/>
  <c r="C9" i="42" s="1"/>
  <c r="R3" i="41"/>
  <c r="T3" i="41"/>
  <c r="E21" i="42" s="1"/>
  <c r="R4" i="41"/>
  <c r="T2" i="41"/>
  <c r="P5" i="41"/>
  <c r="P2" i="41"/>
  <c r="P3" i="41"/>
  <c r="E12" i="42" s="1"/>
  <c r="P4" i="41"/>
  <c r="D12" i="42" s="1"/>
  <c r="E22" i="42"/>
  <c r="T5" i="41"/>
  <c r="C22" i="42"/>
  <c r="B22" i="42" s="1"/>
  <c r="D22" i="42"/>
  <c r="V3" i="41"/>
  <c r="V2" i="41"/>
  <c r="V4" i="41"/>
  <c r="V5" i="41"/>
  <c r="C26" i="42"/>
  <c r="J3" i="41"/>
  <c r="J2" i="41"/>
  <c r="Q5" i="41"/>
  <c r="U3" i="41"/>
  <c r="E9" i="42" s="1"/>
  <c r="U4" i="41"/>
  <c r="Q4" i="41"/>
  <c r="D11" i="42" s="1"/>
  <c r="S3" i="41"/>
  <c r="E4" i="41"/>
  <c r="C4" i="41" s="1"/>
  <c r="Q2" i="41"/>
  <c r="U5" i="41"/>
  <c r="E3" i="41"/>
  <c r="C3" i="41" s="1"/>
  <c r="Q3" i="41"/>
  <c r="E11" i="42" s="1"/>
  <c r="E2" i="41"/>
  <c r="C2" i="41" s="1"/>
  <c r="J4" i="41"/>
  <c r="E5" i="41"/>
  <c r="C5" i="41" s="1"/>
  <c r="S5" i="41"/>
  <c r="J5" i="41"/>
  <c r="C50" i="42"/>
  <c r="D50" i="42"/>
  <c r="C29" i="42"/>
  <c r="C33" i="42"/>
  <c r="C37" i="42"/>
  <c r="C41" i="42"/>
  <c r="E27" i="42"/>
  <c r="E31" i="42"/>
  <c r="E35" i="42"/>
  <c r="E39" i="42"/>
  <c r="E26" i="42"/>
  <c r="D29" i="42"/>
  <c r="D33" i="42"/>
  <c r="D37" i="42"/>
  <c r="D41" i="42"/>
  <c r="W45" i="41"/>
  <c r="W49" i="41"/>
  <c r="E51" i="42"/>
  <c r="E50" i="42"/>
  <c r="E49" i="42"/>
  <c r="C28" i="42"/>
  <c r="C32" i="42"/>
  <c r="C36" i="42"/>
  <c r="C40" i="42"/>
  <c r="E28" i="42"/>
  <c r="E32" i="42"/>
  <c r="E36" i="42"/>
  <c r="E40" i="42"/>
  <c r="D30" i="42"/>
  <c r="D34" i="42"/>
  <c r="D38" i="42"/>
  <c r="D42" i="42"/>
  <c r="W48" i="41"/>
  <c r="W51" i="41"/>
  <c r="W60" i="41"/>
  <c r="W70" i="41"/>
  <c r="W50" i="41"/>
  <c r="W55" i="41"/>
  <c r="W59" i="41"/>
  <c r="W63" i="41"/>
  <c r="W67" i="41"/>
  <c r="W71" i="41"/>
  <c r="W58" i="41"/>
  <c r="W66" i="41"/>
  <c r="C51" i="42"/>
  <c r="D51" i="42"/>
  <c r="C27" i="42"/>
  <c r="C31" i="42"/>
  <c r="C35" i="42"/>
  <c r="C39" i="42"/>
  <c r="E29" i="42"/>
  <c r="E33" i="42"/>
  <c r="E37" i="42"/>
  <c r="E41" i="42"/>
  <c r="D27" i="42"/>
  <c r="D31" i="42"/>
  <c r="D35" i="42"/>
  <c r="D39" i="42"/>
  <c r="W47" i="41"/>
  <c r="C49" i="42"/>
  <c r="D49" i="42"/>
  <c r="C30" i="42"/>
  <c r="C34" i="42"/>
  <c r="C38" i="42"/>
  <c r="C42" i="42"/>
  <c r="D26" i="42"/>
  <c r="E30" i="42"/>
  <c r="E34" i="42"/>
  <c r="E38" i="42"/>
  <c r="E42" i="42"/>
  <c r="D28" i="42"/>
  <c r="D32" i="42"/>
  <c r="D36" i="42"/>
  <c r="D40" i="42"/>
  <c r="W44" i="41"/>
  <c r="W56" i="41"/>
  <c r="W64" i="41"/>
  <c r="W46" i="41"/>
  <c r="W53" i="41"/>
  <c r="W57" i="41"/>
  <c r="W61" i="41"/>
  <c r="W65" i="41"/>
  <c r="W69" i="41"/>
  <c r="W54" i="41"/>
  <c r="W62" i="41"/>
  <c r="W68" i="41"/>
  <c r="B34" i="42" l="1"/>
  <c r="D10" i="42"/>
  <c r="B29" i="42"/>
  <c r="B42" i="42"/>
  <c r="C21" i="42"/>
  <c r="B21" i="42"/>
  <c r="B37" i="42"/>
  <c r="B26" i="42"/>
  <c r="B27" i="42"/>
  <c r="B36" i="42"/>
  <c r="B30" i="42"/>
  <c r="B39" i="42"/>
  <c r="B32" i="42"/>
  <c r="B41" i="42"/>
  <c r="B35" i="42"/>
  <c r="B28" i="42"/>
  <c r="B38" i="42"/>
  <c r="B31" i="42"/>
  <c r="B40" i="42"/>
  <c r="B33" i="42"/>
  <c r="B51" i="42"/>
  <c r="B50" i="42"/>
  <c r="B49" i="42"/>
  <c r="C11" i="42"/>
  <c r="B11" i="42"/>
  <c r="D9" i="42"/>
  <c r="E10" i="42" s="1"/>
  <c r="B9" i="42"/>
  <c r="C12" i="42"/>
  <c r="B12" i="42"/>
  <c r="L4" i="41"/>
  <c r="D18" i="42" s="1"/>
  <c r="H4" i="41"/>
  <c r="F4" i="41"/>
  <c r="D4" i="41"/>
  <c r="D17" i="42" s="1"/>
  <c r="F2" i="41"/>
  <c r="F5" i="41"/>
  <c r="K5" i="41" s="1"/>
  <c r="D5" i="41"/>
  <c r="F3" i="41"/>
  <c r="K3" i="41" s="1"/>
  <c r="D3" i="41"/>
  <c r="J52" i="41"/>
  <c r="N4" i="41"/>
  <c r="L27" i="41"/>
  <c r="L26" i="41"/>
  <c r="L29" i="41"/>
  <c r="H28" i="41"/>
  <c r="H30" i="41"/>
  <c r="H34" i="41"/>
  <c r="H31" i="41"/>
  <c r="H32" i="41"/>
  <c r="L34" i="41"/>
  <c r="L31" i="41"/>
  <c r="L32" i="41"/>
  <c r="H35" i="41"/>
  <c r="L35" i="41"/>
  <c r="I26" i="41"/>
  <c r="H26" i="41"/>
  <c r="L28" i="41"/>
  <c r="L30" i="41"/>
  <c r="H33" i="41"/>
  <c r="L33" i="41"/>
  <c r="H27" i="41"/>
  <c r="H29" i="41"/>
  <c r="I34" i="41"/>
  <c r="I27" i="41"/>
  <c r="H5" i="41"/>
  <c r="B52" i="41"/>
  <c r="B7" i="42" l="1"/>
  <c r="B8" i="42" s="1"/>
  <c r="C7" i="42"/>
  <c r="C8" i="42" s="1"/>
  <c r="B10" i="42"/>
  <c r="C10" i="42"/>
  <c r="K4" i="41"/>
  <c r="D7" i="42"/>
  <c r="D8" i="42" s="1"/>
  <c r="D2" i="41"/>
  <c r="C17" i="42" s="1"/>
  <c r="C52" i="41"/>
  <c r="F52" i="41"/>
  <c r="K2" i="41"/>
  <c r="L24" i="41"/>
  <c r="L25" i="41"/>
  <c r="L22" i="41"/>
  <c r="L23" i="41"/>
  <c r="L5" i="41"/>
  <c r="I24" i="41"/>
  <c r="I25" i="41"/>
  <c r="I22" i="41"/>
  <c r="I23" i="41"/>
  <c r="H24" i="41"/>
  <c r="H25" i="41"/>
  <c r="H22" i="41"/>
  <c r="H23" i="41"/>
  <c r="E17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2" i="41"/>
  <c r="I32" i="41" s="1"/>
  <c r="O41" i="36"/>
  <c r="M41" i="36" s="1"/>
  <c r="M40" i="36"/>
  <c r="M39" i="36"/>
  <c r="AG52" i="10"/>
  <c r="AG51" i="10"/>
  <c r="AG50" i="10"/>
  <c r="I17" i="41"/>
  <c r="O29" i="24"/>
  <c r="M29" i="24" s="1"/>
  <c r="O30" i="24"/>
  <c r="M30" i="24" s="1"/>
  <c r="O33" i="24"/>
  <c r="M33" i="24" s="1"/>
  <c r="M3" i="41"/>
  <c r="K52" i="41" l="1"/>
  <c r="D52" i="41"/>
  <c r="B17" i="42"/>
  <c r="L3" i="41"/>
  <c r="E18" i="42" s="1"/>
  <c r="L2" i="41"/>
  <c r="B18" i="42" s="1"/>
  <c r="I3" i="41"/>
  <c r="H3" i="41"/>
  <c r="H2" i="41"/>
  <c r="S31" i="41"/>
  <c r="S4" i="41"/>
  <c r="D20" i="42" s="1"/>
  <c r="I12" i="41"/>
  <c r="I2" i="41"/>
  <c r="S17" i="41"/>
  <c r="S2" i="41"/>
  <c r="G32" i="41"/>
  <c r="W30" i="41"/>
  <c r="I30" i="41" s="1"/>
  <c r="G30" i="41"/>
  <c r="I20" i="41"/>
  <c r="G29" i="41"/>
  <c r="W29" i="41"/>
  <c r="I29" i="41" s="1"/>
  <c r="I28" i="41"/>
  <c r="W35" i="41"/>
  <c r="I35" i="41" s="1"/>
  <c r="W5" i="41"/>
  <c r="I5" i="41" s="1"/>
  <c r="G35" i="41"/>
  <c r="G5" i="41"/>
  <c r="G31" i="41"/>
  <c r="W31" i="41"/>
  <c r="I31" i="41" s="1"/>
  <c r="W41" i="41"/>
  <c r="W42" i="41"/>
  <c r="W43" i="41"/>
  <c r="I14" i="41"/>
  <c r="I9" i="41"/>
  <c r="D52" i="42"/>
  <c r="W33" i="41"/>
  <c r="I33" i="41" s="1"/>
  <c r="I4" i="41"/>
  <c r="D19" i="42" s="1"/>
  <c r="G33" i="41"/>
  <c r="C52" i="42"/>
  <c r="D15" i="42"/>
  <c r="D16" i="42" s="1"/>
  <c r="AR11" i="10"/>
  <c r="AY105" i="10" s="1"/>
  <c r="AR7" i="10"/>
  <c r="M52" i="41"/>
  <c r="H52" i="41" s="1"/>
  <c r="N3" i="41"/>
  <c r="N2" i="41"/>
  <c r="E7" i="42"/>
  <c r="E8" i="42" s="1"/>
  <c r="AK59" i="10"/>
  <c r="AK58" i="10"/>
  <c r="AK60" i="10"/>
  <c r="E15" i="42"/>
  <c r="E16" i="42" s="1"/>
  <c r="S52" i="41"/>
  <c r="B20" i="42" l="1"/>
  <c r="C20" i="42"/>
  <c r="B52" i="42"/>
  <c r="C19" i="42"/>
  <c r="B19" i="42"/>
  <c r="C18" i="42"/>
  <c r="C15" i="42"/>
  <c r="C16" i="42" s="1"/>
  <c r="B16" i="42" s="1"/>
  <c r="B15" i="42"/>
  <c r="G52" i="41"/>
  <c r="I52" i="41" s="1"/>
  <c r="L52" i="41"/>
  <c r="N52" i="41"/>
  <c r="W52" i="41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9" i="42"/>
  <c r="E20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<sst xmlns="http://schemas.openxmlformats.org/spreadsheetml/2006/main" count="2736" uniqueCount="1386">
  <si>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</si>
  <si>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</si>
  <si>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</si>
  <si>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</si>
  <si>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</si>
  <si>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</si>
  <si>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</si>
  <si>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</si>
  <si>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</si>
  <si>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</si>
  <si>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</si>
  <si>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</si>
  <si>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</si>
  <si>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</si>
  <si>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</si>
  <si>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</si>
  <si>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</si>
  <si>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</si>
  <si>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</si>
  <si>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</si>
  <si>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</si>
  <si>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</si>
  <si>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</si>
  <si>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</si>
  <si>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</si>
  <si>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</si>
  <si>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</si>
  <si>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</si>
  <si>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</si>
  <si>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</si>
  <si>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</si>
  <si>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</si>
  <si>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</si>
  <si>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</si>
  <si>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</si>
  <si>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</si>
  <si>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</si>
  <si>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</si>
  <si>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</si>
  <si>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</si>
  <si>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</si>
  <si>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</si>
  <si>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</si>
  <si>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</si>
  <si>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</si>
  <si>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</si>
  <si>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</si>
  <si>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</si>
  <si>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</si>
  <si>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</si>
  <si>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</si>
  <si>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</si>
  <si>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</si>
  <si>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</si>
  <si>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</si>
  <si>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</si>
  <si>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</si>
  <si>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</si>
  <si>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</si>
  <si>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</si>
  <si>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</si>
  <si>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</si>
  <si>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</si>
  <si>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</si>
  <si>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</si>
  <si>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</si>
  <si>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</si>
  <si>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</si>
  <si>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</si>
  <si>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</si>
  <si>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</si>
  <si>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</si>
  <si>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</si>
  <si>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</si>
  <si>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</si>
  <si>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</si>
  <si>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</si>
  <si>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</si>
  <si>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</si>
  <si>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</si>
  <si>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</si>
  <si>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</si>
  <si>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</si>
  <si>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</si>
  <si>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</si>
  <si>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</si>
  <si>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</si>
  <si>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</si>
  <si>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</si>
  <si>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</si>
  <si>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</si>
  <si>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</si>
  <si>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</si>
  <si>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</si>
  <si>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</si>
  <si>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</si>
  <si>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</si>
  <si>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</si>
  <si>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</si>
  <si>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</si>
  <si>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</si>
  <si>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</si>
  <si>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</si>
  <si>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</si>
  <si>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</si>
  <si>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</si>
  <si>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</si>
  <si>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</si>
  <si>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</si>
  <si>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</si>
  <si>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</si>
  <si>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</si>
  <si>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</si>
  <si>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</si>
  <si>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</si>
  <si>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</si>
  <si>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</si>
  <si>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</si>
  <si>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</si>
  <si>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</si>
  <si>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</si>
  <si>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</si>
  <si>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</si>
  <si>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</si>
  <si>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</si>
  <si>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</si>
  <si>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</si>
  <si>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</si>
  <si>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</si>
  <si>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</si>
  <si>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</si>
  <si>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</si>
  <si>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</si>
  <si>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</si>
  <si>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</si>
  <si>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</si>
  <si>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</si>
  <si>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</si>
  <si>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</si>
  <si>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</si>
  <si>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</si>
  <si>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</si>
  <si>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</si>
  <si>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</si>
  <si>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</si>
  <si>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</si>
  <si>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</si>
  <si>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</si>
  <si>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</si>
  <si>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</si>
  <si>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</si>
  <si>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</si>
  <si>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</si>
  <si>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</si>
  <si>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</si>
  <si>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</si>
  <si>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</si>
  <si>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</si>
  <si>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</si>
  <si>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</si>
  <si>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</si>
  <si>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</si>
  <si>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</si>
  <si>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</si>
  <si>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</si>
  <si>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</si>
  <si>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</si>
  <si>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</si>
  <si>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</si>
  <si>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</si>
  <si>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</si>
  <si>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</si>
  <si>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</si>
  <si>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</si>
  <si>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</si>
  <si>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</si>
  <si>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</si>
  <si>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</si>
  <si>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</si>
  <si>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</si>
  <si>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</si>
  <si>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</si>
  <si>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</si>
  <si>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</si>
  <si>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</si>
  <si>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</si>
  <si>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</si>
  <si>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</si>
  <si>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</si>
  <si>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</si>
  <si>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</si>
  <si>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</si>
  <si>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</si>
  <si>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</si>
  <si>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</si>
  <si>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</si>
  <si>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</si>
  <si>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</si>
  <si>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</si>
  <si>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</si>
  <si>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</si>
  <si>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</si>
  <si>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</si>
  <si>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</si>
  <si>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</si>
  <si>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</si>
  <si>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</si>
  <si>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</si>
  <si>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</si>
  <si>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</si>
  <si>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</si>
  <si>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</si>
  <si>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</si>
  <si>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</si>
  <si>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</si>
  <si>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</si>
  <si>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</si>
  <si>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</si>
  <si>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</si>
  <si>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</si>
  <si>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</si>
  <si>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</si>
  <si>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</si>
  <si>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</si>
  <si>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</si>
  <si>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</si>
  <si>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</si>
  <si>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</si>
  <si>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</si>
  <si>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</si>
  <si>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</si>
  <si>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</si>
  <si>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</si>
  <si>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</si>
  <si>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</si>
  <si>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</si>
  <si>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</si>
  <si>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</si>
  <si>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</si>
  <si>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</si>
  <si>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</si>
  <si>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</si>
  <si>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</si>
  <si>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</si>
  <si>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</si>
  <si>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</si>
  <si>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</si>
  <si>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</si>
  <si>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</si>
  <si>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</si>
  <si>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</si>
  <si>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</si>
  <si>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</si>
  <si>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</si>
  <si>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</si>
  <si>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</si>
  <si>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</si>
  <si>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</si>
  <si>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</si>
  <si>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</si>
  <si>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</si>
  <si>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</si>
  <si>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</si>
  <si>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</si>
  <si>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</si>
  <si>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</si>
  <si>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</si>
  <si>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</si>
  <si>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</si>
  <si>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</si>
  <si>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</si>
  <si>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</si>
  <si>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</si>
  <si>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</si>
  <si>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</si>
  <si>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</si>
  <si>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</si>
  <si>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</si>
  <si>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</si>
  <si>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</si>
  <si>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</si>
  <si>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</si>
  <si>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</si>
  <si>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</si>
  <si>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</si>
  <si>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</si>
  <si>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</si>
  <si>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</si>
  <si>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</si>
  <si>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</si>
  <si>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</si>
  <si>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</si>
  <si>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</si>
  <si>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</si>
  <si>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</si>
  <si>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</si>
  <si>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</si>
  <si>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</si>
  <si>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</si>
  <si>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</si>
  <si>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</si>
  <si>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</si>
  <si>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</si>
  <si>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</si>
  <si>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</si>
  <si>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</si>
  <si>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</si>
  <si>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</si>
  <si>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</si>
  <si>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</si>
  <si>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</si>
  <si>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</si>
  <si>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</si>
  <si>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</si>
  <si>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</si>
  <si>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</si>
  <si>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</si>
  <si>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</si>
  <si>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</si>
  <si>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</si>
  <si>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</si>
  <si>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</si>
  <si>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</si>
  <si>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</si>
  <si>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</si>
  <si>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</si>
  <si>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</si>
  <si>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</si>
  <si>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</si>
  <si>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</si>
  <si>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</si>
  <si>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</si>
  <si>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</si>
  <si>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</si>
  <si>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</si>
  <si>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</si>
  <si>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</si>
  <si>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</si>
  <si>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</si>
  <si>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</si>
  <si>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</si>
  <si>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</si>
  <si>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</si>
  <si>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</si>
  <si>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</si>
  <si>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</si>
  <si>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</si>
  <si>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</si>
  <si>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</si>
  <si>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</si>
  <si>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</si>
  <si>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</si>
  <si>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</si>
  <si>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</si>
  <si>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</si>
  <si>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</si>
  <si>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</si>
  <si>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</si>
  <si>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</si>
  <si>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</si>
  <si>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</si>
  <si>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</si>
  <si>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</si>
  <si>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</si>
  <si>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</si>
  <si>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</si>
  <si>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</si>
  <si>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</si>
  <si>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</si>
  <si>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</si>
  <si>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</si>
  <si>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</si>
  <si>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</si>
  <si>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</si>
  <si>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</si>
  <si>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</si>
  <si>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</si>
  <si>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</si>
  <si>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</si>
  <si>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</si>
  <si>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</si>
  <si>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</si>
  <si>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</si>
  <si>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</si>
  <si>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</si>
  <si>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</si>
  <si>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</si>
  <si>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</si>
  <si>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</si>
  <si>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</si>
  <si>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</si>
  <si>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</si>
  <si>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</si>
  <si>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</si>
  <si>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</si>
  <si>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</si>
  <si>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</si>
  <si>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</si>
  <si>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</si>
  <si>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</si>
  <si>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</si>
  <si>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</si>
  <si>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</si>
  <si>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</si>
  <si>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</si>
  <si>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</si>
  <si>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</si>
  <si>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</si>
  <si>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</si>
  <si>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</si>
  <si>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</si>
  <si>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</si>
  <si>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</si>
  <si>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</si>
  <si>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</si>
  <si>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</si>
  <si>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</si>
  <si>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</si>
  <si>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</si>
  <si>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</si>
  <si>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</si>
  <si>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</si>
  <si>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</si>
  <si>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</si>
  <si>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</si>
  <si>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</si>
  <si>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</si>
  <si>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</si>
  <si>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</si>
  <si>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</si>
  <si>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</si>
  <si>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</si>
  <si>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</si>
  <si>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</si>
  <si>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</si>
  <si>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</si>
  <si>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</si>
  <si>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</si>
  <si>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</si>
  <si>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</si>
  <si>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</si>
  <si>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</si>
  <si>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</si>
  <si>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</si>
  <si>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</si>
  <si>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</si>
  <si>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</si>
  <si>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</si>
  <si>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</si>
  <si>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</si>
  <si>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</si>
  <si>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</si>
  <si>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</si>
  <si>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</si>
  <si>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</si>
  <si>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</si>
  <si>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</si>
  <si>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</si>
  <si>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</si>
  <si>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</si>
  <si>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</si>
  <si>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</si>
  <si>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</si>
  <si>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</si>
  <si>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</si>
  <si>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</si>
  <si>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</si>
  <si>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</si>
  <si>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</si>
  <si>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</si>
  <si>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</si>
  <si>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</si>
  <si>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</si>
  <si>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</si>
  <si>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</si>
  <si>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</si>
  <si>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</si>
  <si>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</si>
  <si>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</si>
  <si>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</si>
  <si>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</si>
  <si>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</si>
  <si>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</si>
  <si>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</si>
  <si>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</si>
  <si>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</si>
  <si>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</si>
  <si>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</si>
  <si>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</si>
  <si>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</si>
  <si>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</si>
  <si>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</si>
  <si>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</si>
  <si>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</si>
  <si>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</si>
  <si>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</si>
  <si>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</si>
  <si>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</si>
  <si>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</si>
  <si>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</si>
  <si>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</si>
  <si>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</si>
  <si>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</si>
  <si>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</si>
  <si>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</si>
  <si>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</si>
  <si>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</si>
  <si>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</si>
  <si>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</si>
  <si>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</si>
  <si>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</si>
  <si>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</si>
  <si>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</si>
  <si>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</si>
  <si>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</si>
  <si>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</si>
  <si>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</si>
  <si>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</si>
  <si>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</si>
  <si>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</si>
  <si>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</si>
  <si>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</si>
  <si>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</si>
  <si>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</si>
  <si>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</si>
  <si>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</si>
  <si>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</si>
  <si>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</si>
  <si>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</si>
  <si>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</si>
  <si>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</si>
  <si>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</si>
  <si>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</si>
  <si>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</si>
  <si>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</si>
  <si>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</si>
  <si>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</si>
  <si>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</si>
  <si>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</si>
  <si>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</si>
  <si>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</si>
  <si>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</si>
  <si>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</si>
  <si>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</si>
  <si>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</si>
  <si>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</si>
  <si>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</si>
  <si>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</si>
  <si>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</si>
  <si>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</si>
  <si>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</si>
  <si>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</si>
  <si>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</si>
  <si>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</si>
  <si>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</si>
  <si>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</si>
  <si>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</si>
  <si>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</si>
  <si>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Garavan</t>
  </si>
  <si>
    <t>Carnolès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</si>
  <si>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</si>
  <si>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</si>
  <si>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</si>
  <si>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</si>
  <si>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</si>
  <si>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</si>
  <si>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</si>
  <si>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</si>
  <si>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</si>
  <si>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</si>
  <si>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</si>
  <si>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</si>
  <si>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</si>
  <si>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</si>
  <si>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</si>
  <si>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</si>
  <si>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</si>
  <si>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</si>
  <si>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</si>
  <si>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</si>
  <si>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</si>
  <si>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</si>
  <si>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</si>
  <si>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</si>
  <si>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</si>
  <si>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</si>
  <si>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</si>
  <si>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</si>
  <si>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</si>
  <si>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</si>
  <si>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</si>
  <si>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</si>
  <si>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</si>
  <si>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</si>
  <si>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</si>
  <si>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</si>
  <si>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</si>
  <si>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</si>
  <si>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</si>
  <si>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</si>
  <si>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</si>
  <si>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</si>
  <si>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</si>
  <si>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</si>
  <si>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</si>
  <si>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</si>
  <si>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</si>
  <si>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</si>
  <si>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</si>
  <si>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</si>
  <si>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</si>
  <si>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</si>
  <si>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</si>
  <si>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</si>
  <si>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</si>
  <si>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</si>
  <si>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</si>
  <si>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</si>
  <si>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</si>
  <si>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</si>
  <si>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</si>
  <si>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</si>
  <si>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</si>
  <si>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</si>
  <si>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</si>
  <si>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</si>
  <si>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</si>
  <si>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</si>
  <si>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</si>
  <si>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</si>
  <si>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</si>
  <si>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</si>
  <si>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</si>
  <si>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</si>
  <si>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</si>
  <si>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</si>
  <si>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</si>
  <si>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</si>
  <si>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</si>
  <si>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</si>
  <si>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</si>
  <si>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</si>
  <si>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</si>
  <si>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</si>
  <si>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</si>
  <si>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</si>
  <si>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</si>
  <si>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</si>
  <si>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</si>
  <si>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</si>
  <si>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</si>
  <si>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</si>
  <si>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</si>
  <si>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</si>
  <si>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</si>
  <si>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</si>
  <si>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</si>
  <si>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</si>
  <si>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</si>
  <si>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</si>
  <si>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</si>
  <si>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</si>
  <si>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</si>
  <si>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</si>
  <si>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</si>
  <si>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</si>
  <si>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</si>
  <si>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</si>
  <si>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</si>
  <si>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</si>
  <si>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</si>
  <si>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</si>
  <si>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</si>
  <si>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</si>
  <si>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</si>
  <si>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</si>
  <si>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</si>
  <si>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</si>
  <si>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</si>
  <si>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</si>
  <si>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</si>
  <si>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</si>
  <si>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</si>
  <si>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</si>
  <si>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</si>
  <si>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</si>
  <si>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</si>
  <si>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</si>
  <si>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</si>
  <si>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</si>
  <si>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</si>
  <si>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</si>
  <si>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</si>
  <si>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</si>
  <si>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</si>
  <si>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</si>
  <si>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</si>
  <si>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</si>
  <si>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</si>
  <si>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</si>
  <si>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</si>
  <si>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</si>
  <si>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</si>
  <si>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</si>
  <si>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</si>
  <si>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</si>
  <si>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</si>
  <si>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</si>
  <si>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</si>
  <si>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</si>
  <si>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</si>
  <si>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</si>
  <si>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</si>
  <si>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</si>
  <si>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</si>
  <si>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</si>
  <si>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</si>
  <si>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</si>
  <si>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</si>
  <si>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</si>
  <si>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</si>
  <si>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</si>
  <si>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</si>
  <si>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</si>
  <si>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</si>
  <si>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</si>
  <si>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</si>
  <si>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</si>
  <si>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</si>
  <si>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</si>
  <si>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</si>
  <si>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</si>
  <si>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</si>
  <si>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</si>
  <si>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</si>
  <si>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</si>
  <si>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</si>
  <si>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</si>
  <si>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</si>
  <si>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</si>
  <si>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</si>
  <si>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</si>
  <si>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DOE Nice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</si>
  <si>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</si>
  <si>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</si>
  <si>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</si>
  <si>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</si>
  <si>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</si>
  <si>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</si>
  <si>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</si>
  <si>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</si>
  <si>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</si>
  <si>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</si>
  <si>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</si>
  <si>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</si>
  <si>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</si>
  <si>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</si>
  <si>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</si>
  <si>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</si>
  <si>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</si>
  <si>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</si>
  <si>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</si>
  <si>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</si>
  <si>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</si>
  <si>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</si>
  <si>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</si>
  <si>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</si>
  <si>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</si>
  <si>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</si>
  <si>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</si>
  <si>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</si>
  <si>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</si>
  <si>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</si>
  <si>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</si>
  <si>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</si>
  <si>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</si>
  <si>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</si>
  <si>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</si>
  <si>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</si>
  <si>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</si>
  <si>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</si>
  <si>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</si>
  <si>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</si>
  <si>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</si>
  <si>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</si>
  <si>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</si>
  <si>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</si>
  <si>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</si>
  <si>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</si>
  <si>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</si>
  <si>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</si>
  <si>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</si>
  <si>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</si>
  <si>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</si>
  <si>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</si>
  <si>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</si>
  <si>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</si>
  <si>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</si>
  <si>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</si>
  <si>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</si>
  <si>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</si>
  <si>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</si>
  <si>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</si>
  <si>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</si>
  <si>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</si>
  <si>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</si>
  <si>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</si>
  <si>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</si>
  <si>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</si>
  <si>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</si>
  <si>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</si>
  <si>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</si>
  <si>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</si>
  <si>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</si>
  <si>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</si>
  <si>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VITEAU</t>
  </si>
  <si>
    <t>PORCHER</t>
  </si>
  <si>
    <t>GIOVAGNOLI</t>
  </si>
  <si>
    <t>AUGUSTE</t>
  </si>
  <si>
    <t>TIMBONE</t>
  </si>
  <si>
    <t>VIGLIECCA</t>
  </si>
  <si>
    <t>EMI RET ASCT</t>
  </si>
  <si>
    <t>EMI ESCALE</t>
  </si>
  <si>
    <t>Christine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</si>
  <si>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</si>
  <si>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</si>
  <si>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</si>
  <si>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</si>
  <si>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</si>
  <si>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</si>
  <si>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</si>
  <si>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</si>
  <si>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</si>
  <si>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</si>
  <si>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</si>
  <si>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</si>
  <si>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</si>
  <si>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</si>
  <si>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</si>
  <si>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</si>
  <si>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</si>
  <si>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</si>
  <si>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</si>
  <si>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</si>
  <si>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</si>
  <si>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</si>
  <si>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</si>
  <si>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</si>
  <si>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</si>
  <si>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</si>
  <si>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</si>
  <si>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</si>
  <si>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</si>
  <si>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</si>
  <si>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</si>
  <si>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</si>
  <si>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</si>
  <si>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</si>
  <si>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</si>
  <si>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</si>
  <si>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</si>
  <si>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</si>
  <si>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</si>
  <si>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</si>
  <si>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</si>
  <si>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</si>
  <si>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</si>
  <si>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</si>
  <si>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</si>
  <si>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</si>
  <si>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</si>
  <si>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</si>
  <si>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</si>
  <si>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</si>
  <si>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</si>
  <si>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</si>
  <si>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</si>
  <si>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</si>
  <si>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</si>
  <si>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</si>
  <si>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06 27 12 85 45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</si>
  <si>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</si>
  <si>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</si>
  <si>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</si>
  <si>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</si>
  <si>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</si>
  <si>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</si>
  <si>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</si>
  <si>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</si>
  <si>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</si>
  <si>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</si>
  <si>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</si>
  <si>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</si>
  <si>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</si>
  <si>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</si>
  <si>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</si>
  <si>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</si>
  <si>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</si>
  <si>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</si>
  <si>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</si>
  <si>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</si>
  <si>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</si>
  <si>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</si>
  <si>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</si>
  <si>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</si>
  <si>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</si>
  <si>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</si>
  <si>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</si>
  <si>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</si>
  <si>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</si>
  <si>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</si>
  <si>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</si>
  <si>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</si>
  <si>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</si>
  <si>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</si>
  <si>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</si>
  <si>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Document Unique 2019</t>
  </si>
  <si>
    <t>RENARD</t>
  </si>
  <si>
    <t>LEMAIRE</t>
  </si>
  <si>
    <t>Fanchon</t>
  </si>
  <si>
    <t>CPST TRAIN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</si>
  <si>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</si>
  <si>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</si>
  <si>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</si>
  <si>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</si>
  <si>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</si>
  <si>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</si>
  <si>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</si>
  <si>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</si>
  <si>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</si>
  <si>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</si>
  <si>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</si>
  <si>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</si>
  <si>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</si>
  <si>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</si>
  <si>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</si>
  <si>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</si>
  <si>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</si>
  <si>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</si>
  <si>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</si>
  <si>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</si>
  <si>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</si>
  <si>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</si>
  <si>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</si>
  <si>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</si>
  <si>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</si>
  <si>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</si>
  <si>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</si>
  <si>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</si>
  <si>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</si>
  <si>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</si>
  <si>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</si>
  <si>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</si>
  <si>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</si>
  <si>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</si>
  <si>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</si>
  <si>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</si>
  <si>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</si>
  <si>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</si>
  <si>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</si>
  <si>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</si>
  <si>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</si>
  <si>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</si>
  <si>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</si>
  <si>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</si>
  <si>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</si>
  <si>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</si>
  <si>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</si>
  <si>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</si>
  <si>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</si>
  <si>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</si>
  <si>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</si>
  <si>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</si>
  <si>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</si>
  <si>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</si>
  <si>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</si>
  <si>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SOCA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</si>
  <si>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</si>
  <si>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</si>
  <si>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</si>
  <si>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</si>
  <si>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</si>
  <si>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</si>
  <si>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</si>
  <si>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</si>
  <si>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</si>
  <si>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</si>
  <si>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</si>
  <si>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</si>
  <si>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</si>
  <si>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</si>
  <si>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</si>
  <si>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</si>
  <si>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</si>
  <si>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</si>
  <si>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</si>
  <si>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</si>
  <si>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</si>
  <si>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</si>
  <si>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</si>
  <si>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</si>
  <si>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</si>
  <si>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</si>
  <si>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</si>
  <si>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</si>
  <si>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</si>
  <si>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</si>
  <si>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</si>
  <si>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</si>
  <si>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</si>
  <si>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</si>
  <si>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</si>
  <si>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</si>
  <si>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</si>
  <si>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</si>
  <si>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</si>
  <si>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</si>
  <si>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</si>
  <si>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</si>
  <si>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</si>
  <si>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</si>
  <si>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</si>
  <si>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</si>
  <si>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</si>
  <si>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</si>
  <si>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</si>
  <si>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</si>
  <si>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</si>
  <si>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</si>
  <si>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</si>
  <si>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</si>
  <si>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</si>
  <si>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</si>
  <si>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</si>
  <si>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</si>
  <si>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</si>
  <si>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</si>
  <si>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</si>
  <si>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</si>
  <si>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</si>
  <si>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</si>
  <si>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</si>
  <si>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</si>
  <si>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</si>
  <si>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</si>
  <si>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</si>
  <si>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</si>
  <si>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</si>
  <si>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</si>
  <si>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</si>
  <si>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</si>
  <si>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</si>
  <si>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</si>
  <si>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</si>
  <si>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</si>
  <si>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</si>
  <si>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</si>
  <si>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</si>
  <si>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</si>
  <si>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</si>
  <si>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</si>
  <si>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</si>
  <si>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</si>
  <si>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</si>
  <si>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</si>
  <si>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</si>
  <si>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</si>
  <si>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</si>
  <si>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</si>
  <si>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</si>
  <si>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</si>
  <si>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</si>
  <si>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</si>
  <si>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</si>
  <si>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</si>
  <si>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</si>
  <si>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</si>
  <si>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</si>
  <si>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</si>
  <si>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</si>
  <si>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</si>
  <si>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</si>
  <si>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</si>
  <si>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</si>
  <si>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</si>
  <si>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</si>
  <si>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</si>
  <si>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</si>
  <si>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</si>
  <si>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</si>
  <si>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</si>
  <si>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</si>
  <si>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</si>
  <si>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</si>
  <si>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</si>
  <si>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</si>
  <si>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</si>
  <si>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</si>
  <si>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</si>
  <si>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</si>
  <si>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</si>
  <si>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</si>
  <si>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</si>
  <si>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</si>
  <si>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</si>
  <si>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</si>
  <si>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</si>
  <si>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</si>
  <si>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</si>
  <si>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</si>
  <si>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</si>
  <si>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</si>
  <si>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</si>
  <si>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</si>
  <si>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</si>
  <si>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</si>
  <si>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</si>
  <si>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</si>
  <si>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</si>
  <si>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</si>
  <si>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</si>
  <si>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</si>
  <si>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</si>
  <si>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</si>
  <si>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</si>
  <si>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</si>
  <si>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</si>
  <si>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</si>
  <si>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</si>
  <si>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</si>
  <si>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</si>
  <si>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</si>
  <si>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</si>
  <si>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</si>
  <si>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</si>
  <si>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</si>
  <si>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</si>
  <si>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</si>
  <si>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</si>
  <si>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</si>
  <si>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</si>
  <si>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</si>
  <si>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</si>
  <si>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</si>
  <si>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</si>
  <si>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</si>
  <si>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</si>
  <si>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</si>
  <si>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</si>
  <si>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</si>
  <si>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</si>
  <si>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</si>
  <si>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</si>
  <si>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</si>
  <si>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</si>
  <si>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</si>
  <si>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</si>
  <si>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</si>
  <si>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</si>
  <si>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</si>
  <si>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</si>
  <si>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</si>
  <si>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</si>
  <si>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</si>
  <si>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</si>
  <si>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</si>
  <si>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</si>
  <si>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</si>
  <si>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</si>
  <si>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</si>
  <si>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</si>
  <si>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</si>
  <si>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</si>
  <si>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</si>
  <si>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</si>
  <si>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</si>
  <si>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</si>
  <si>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</si>
  <si>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</si>
  <si>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</si>
  <si>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</si>
  <si>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</si>
  <si>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</si>
  <si>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</si>
  <si>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</si>
  <si>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</si>
  <si>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</si>
  <si>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</si>
  <si>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</si>
  <si>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</si>
  <si>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</si>
  <si>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</si>
  <si>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</si>
  <si>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</si>
  <si>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</si>
  <si>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</si>
  <si>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</si>
  <si>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</si>
  <si>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</si>
  <si>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</si>
  <si>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</si>
  <si>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</si>
  <si>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</si>
  <si>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</si>
  <si>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</si>
  <si>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</si>
  <si>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</si>
  <si>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</si>
  <si>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</si>
  <si>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</si>
  <si>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</si>
  <si>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</si>
  <si>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</si>
  <si>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</si>
  <si>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</si>
  <si>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</si>
  <si>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</si>
  <si>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</si>
  <si>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</si>
  <si>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</si>
  <si>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</si>
  <si>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</si>
  <si>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</si>
  <si>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</si>
  <si>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</si>
  <si>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</si>
  <si>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</si>
  <si>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</si>
  <si>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</si>
  <si>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</si>
  <si>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</si>
  <si>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</si>
  <si>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</si>
  <si>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</si>
  <si>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</si>
  <si>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</si>
  <si>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</si>
  <si>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</si>
  <si>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</si>
  <si>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</si>
  <si>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</si>
  <si>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</si>
  <si>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</si>
  <si>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</si>
  <si>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</si>
  <si>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</si>
  <si>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</si>
  <si>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</si>
  <si>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</si>
  <si>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</si>
  <si>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</si>
  <si>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</si>
  <si>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</si>
  <si>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</si>
  <si>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</si>
  <si>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</si>
  <si>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</si>
  <si>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</si>
  <si>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</si>
  <si>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</si>
  <si>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</si>
  <si>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</si>
  <si>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</si>
  <si>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</si>
  <si>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</si>
  <si>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</si>
  <si>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</si>
  <si>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</si>
  <si>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</si>
  <si>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</si>
  <si>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</si>
  <si>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</si>
  <si>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</si>
  <si>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</si>
  <si>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</si>
  <si>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</si>
  <si>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</si>
  <si>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</si>
  <si>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</si>
  <si>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</si>
  <si>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</si>
  <si>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</si>
  <si>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</si>
  <si>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</si>
  <si>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</si>
  <si>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</si>
  <si>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</si>
  <si>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</si>
  <si>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</si>
  <si>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</si>
  <si>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</si>
  <si>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</si>
  <si>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</si>
  <si>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</si>
  <si>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</si>
  <si>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</si>
  <si>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</si>
  <si>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</si>
  <si>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</si>
  <si>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</si>
  <si>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</si>
  <si>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</si>
  <si>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</si>
  <si>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</si>
  <si>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</si>
  <si>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</si>
  <si>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</si>
  <si>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</si>
  <si>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</si>
  <si>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</si>
  <si>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</si>
  <si>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</si>
  <si>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</si>
  <si>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</si>
  <si>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</si>
  <si>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</si>
  <si>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</si>
  <si>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</si>
  <si>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</si>
  <si>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</si>
  <si>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</si>
  <si>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</si>
  <si>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</si>
  <si>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</si>
  <si>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</si>
  <si>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</si>
  <si>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</si>
  <si>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</si>
  <si>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</si>
  <si>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</si>
  <si>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</si>
  <si>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</si>
  <si>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</si>
  <si>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</si>
  <si>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</si>
  <si>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</si>
  <si>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</si>
  <si>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total DDL TER CA</t>
  </si>
  <si>
    <t>EVRP plateforme prévention RPS</t>
  </si>
  <si>
    <t xml:space="preserve">Nb d'Accident de travail </t>
  </si>
  <si>
    <t>Nb Atravail avec Arrêt sans Accident de personne</t>
  </si>
  <si>
    <t>Nb de jours d'arrêt sans Accident de personne</t>
  </si>
  <si>
    <t>Nb AT CPR ("Non reconnu")</t>
  </si>
  <si>
    <t>EMI Escale</t>
  </si>
  <si>
    <t>EMI ASCT</t>
  </si>
  <si>
    <t>Monaco Monte-Carlo</t>
  </si>
  <si>
    <t xml:space="preserve">Beaulieu/Mer </t>
  </si>
  <si>
    <t xml:space="preserve">Nice-Riquier </t>
  </si>
  <si>
    <t xml:space="preserve">Villefranche/Mer </t>
  </si>
  <si>
    <t xml:space="preserve">Boutique Zou à Nice </t>
  </si>
  <si>
    <t xml:space="preserve">Trinité-Victor </t>
  </si>
  <si>
    <t xml:space="preserve">Sospel </t>
  </si>
  <si>
    <t xml:space="preserve">Bureau Nice </t>
  </si>
  <si>
    <t xml:space="preserve">Cagnes/Mer </t>
  </si>
  <si>
    <t xml:space="preserve">Cros de Cagnes </t>
  </si>
  <si>
    <t xml:space="preserve">Nice St Augustin </t>
  </si>
  <si>
    <t xml:space="preserve">St Laurent </t>
  </si>
  <si>
    <t xml:space="preserve">Villeneuve-Loubet </t>
  </si>
  <si>
    <t xml:space="preserve">BIOT </t>
  </si>
  <si>
    <t>D.S.E</t>
  </si>
  <si>
    <t>Nb de jours d'arrêt jusqu'au mois considéré en Y2</t>
  </si>
  <si>
    <t>oussem était agent B sur le train 17484 qui a heurté une personne au niveau de la gare de Cuers. Lors de la reconnaissance il a vu les parties du corps de la victime.</t>
  </si>
  <si>
    <t>L'agent était titulaire du train 17484 qui a heurté une personne au niveau de la gare de Cuers. Lors de la reconnaissance il a vu les parties du corps de la victime.</t>
  </si>
  <si>
    <t>L'agent, alors qu'il faisait sa tournée suimagare, avec 2 stagiaires, s'est pris les pieds dans le trottoir et est tombée sur les genoux ainsi que les mains.</t>
  </si>
  <si>
    <t>En rentrant chez lui, l'agent s'est tordu la cheville droite dans la rue en mauvaise état suite à travaux et de nuit.</t>
  </si>
  <si>
    <t>LE Page</t>
  </si>
  <si>
    <t> Lors d'une ronde, peu avant l'arrivée ne Gare de Toulon à 6h35, je descendais les escaliers intérieur de la rame et j'ai raté les deux dernières marches. Je suis tombé au sol et j'ai ressenti une violente douleur dans le bas du dos.</t>
  </si>
  <si>
    <t>L'agent s'est cogné le pied gauche dans un élément en béton présent sur le trottoir.</t>
  </si>
  <si>
    <t>ESN</t>
  </si>
  <si>
    <t>Kmor-Ppqbhrupnb</t>
  </si>
  <si>
    <t>MXPXKPTI</t>
  </si>
  <si>
    <t>Qgwjkyi</t>
  </si>
  <si>
    <t>DF QJN</t>
  </si>
  <si>
    <t>Ipwccy</t>
  </si>
  <si>
    <t>NWWKKRL</t>
  </si>
  <si>
    <t>Dwwvnxqm</t>
  </si>
  <si>
    <t>YFLML</t>
  </si>
  <si>
    <t>Evbxqhp</t>
  </si>
  <si>
    <t>NBKFBMYLQ</t>
  </si>
  <si>
    <t>Raezy</t>
  </si>
  <si>
    <t>CSFI GIFQD</t>
  </si>
  <si>
    <t>Xttr</t>
  </si>
  <si>
    <t>17_Agent témoin hors conducteur</t>
  </si>
  <si>
    <t>11_Conducteur témoin d'un accident de personne</t>
  </si>
  <si>
    <t>Elmat_96</t>
  </si>
  <si>
    <t>96_Accident de personne par heurt par circulation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</si>
</sst>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3" applyNumberFormat="0" applyFill="0" applyAlignment="0" applyProtection="0"/>
    <xf numFmtId="0" fontId="34" fillId="0" borderId="44" applyNumberFormat="0" applyFill="0" applyAlignment="0" applyProtection="0"/>
    <xf numFmtId="0" fontId="35" fillId="0" borderId="45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6" applyNumberFormat="0" applyAlignment="0" applyProtection="0"/>
    <xf numFmtId="0" fontId="40" fillId="42" borderId="47" applyNumberFormat="0" applyAlignment="0" applyProtection="0"/>
    <xf numFmtId="0" fontId="41" fillId="42" borderId="46" applyNumberFormat="0" applyAlignment="0" applyProtection="0"/>
    <xf numFmtId="0" fontId="42" fillId="0" borderId="48" applyNumberFormat="0" applyFill="0" applyAlignment="0" applyProtection="0"/>
    <xf numFmtId="0" fontId="43" fillId="43" borderId="49" applyNumberFormat="0" applyAlignment="0" applyProtection="0"/>
    <xf numFmtId="0" fontId="44" fillId="0" borderId="0" applyNumberFormat="0" applyFill="0" applyBorder="0" applyAlignment="0" applyProtection="0"/>
    <xf numFmtId="0" fontId="31" fillId="44" borderId="50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1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40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1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1" xfId="2" applyFill="1" applyBorder="1" applyAlignment="1">
      <alignment vertical="center"/>
    </xf>
    <xf numFmtId="0" fontId="2" fillId="0" borderId="42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2" xfId="2" applyNumberFormat="1" applyBorder="1" applyAlignment="1">
      <alignment horizontal="center" vertical="center"/>
    </xf>
    <xf numFmtId="0" fontId="2" fillId="0" borderId="42" xfId="2" applyBorder="1" applyAlignment="1">
      <alignment horizontal="left" vertical="center"/>
    </xf>
    <xf numFmtId="0" fontId="2" fillId="0" borderId="52" xfId="2" applyBorder="1" applyAlignment="1">
      <alignment vertical="center"/>
    </xf>
    <xf numFmtId="0" fontId="2" fillId="0" borderId="53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7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2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9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Border="1" applyAlignment="1">
      <alignment horizontal="center" vertical="center"/>
    </xf>
    <xf numFmtId="0" fontId="0" fillId="79" borderId="9" xfId="0" applyFill="1" applyBorder="1"/>
    <xf numFmtId="14" fontId="0" fillId="0" borderId="14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22" borderId="40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0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59" xfId="0" applyFont="1" applyFill="1" applyBorder="1" applyAlignment="1" applyProtection="1">
      <alignment horizontal="center" vertical="center" textRotation="90" wrapText="1"/>
      <protection locked="0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8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57" fillId="30" borderId="9" xfId="0" applyFont="1" applyFill="1" applyBorder="1"/>
    <xf numFmtId="14" fontId="1" fillId="0" borderId="9" xfId="2" applyNumberFormat="1" applyFont="1" applyBorder="1" applyAlignment="1">
      <alignment horizontal="center" vertical="center"/>
    </xf>
    <xf numFmtId="0" fontId="62" fillId="22" borderId="0" xfId="0" applyFont="1" applyFill="1" applyBorder="1"/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 wrapText="1"/>
    </xf>
    <xf numFmtId="9" fontId="1" fillId="7" borderId="9" xfId="2" applyNumberFormat="1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center" vertical="center"/>
    </xf>
    <xf numFmtId="0" fontId="57" fillId="29" borderId="9" xfId="0" applyFont="1" applyFill="1" applyBorder="1" applyAlignment="1">
      <alignment horizontal="right" vertical="center"/>
    </xf>
    <xf numFmtId="0" fontId="62" fillId="29" borderId="9" xfId="0" applyFont="1" applyFill="1" applyBorder="1" applyAlignment="1">
      <alignment vertical="center"/>
    </xf>
    <xf numFmtId="0" fontId="68" fillId="29" borderId="14" xfId="0" applyFont="1" applyFill="1" applyBorder="1" applyAlignment="1">
      <alignment horizontal="left" vertical="center"/>
    </xf>
    <xf numFmtId="0" fontId="68" fillId="29" borderId="10" xfId="0" applyFont="1" applyFill="1" applyBorder="1" applyAlignment="1">
      <alignment horizontal="right" vertical="center"/>
    </xf>
    <xf numFmtId="10" fontId="69" fillId="29" borderId="10" xfId="0" applyNumberFormat="1" applyFont="1" applyFill="1" applyBorder="1" applyAlignment="1">
      <alignment horizontal="center" vertical="center"/>
    </xf>
    <xf numFmtId="0" fontId="67" fillId="0" borderId="0" xfId="0" applyFont="1" applyFill="1" applyBorder="1"/>
    <xf numFmtId="0" fontId="62" fillId="0" borderId="0" xfId="0" applyFont="1" applyFill="1" applyBorder="1"/>
    <xf numFmtId="0" fontId="57" fillId="0" borderId="0" xfId="0" applyFont="1" applyFill="1" applyBorder="1" applyAlignment="1">
      <alignment horizontal="right"/>
    </xf>
    <xf numFmtId="0" fontId="69" fillId="37" borderId="9" xfId="0" applyFont="1" applyFill="1" applyBorder="1" applyAlignment="1">
      <alignment horizontal="center" vertical="center" wrapText="1"/>
    </xf>
    <xf numFmtId="0" fontId="62" fillId="30" borderId="9" xfId="0" applyFont="1" applyFill="1" applyBorder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2" fillId="0" borderId="18" xfId="0" applyFont="1" applyFill="1" applyBorder="1" applyAlignment="1">
      <alignment horizontal="center" vertical="center"/>
    </xf>
    <xf numFmtId="0" fontId="22" fillId="0" borderId="28" xfId="0" applyFont="1" applyFill="1" applyBorder="1" applyAlignment="1">
      <alignment horizontal="center" vertical="center"/>
    </xf>
    <xf numFmtId="0" fontId="22" fillId="0" borderId="26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48" fillId="0" borderId="9" xfId="0" applyFont="1" applyFill="1" applyBorder="1" applyAlignment="1">
      <alignment horizontal="center" vertical="center"/>
    </xf>
    <xf numFmtId="0" fontId="48" fillId="0" borderId="9" xfId="0" applyFont="1" applyBorder="1" applyAlignment="1">
      <alignment horizontal="center" vertical="center"/>
    </xf>
    <xf numFmtId="0" fontId="48" fillId="0" borderId="9" xfId="0" applyFont="1" applyBorder="1" applyAlignment="1">
      <alignment vertical="center"/>
    </xf>
    <xf numFmtId="0" fontId="1" fillId="67" borderId="9" xfId="0" applyNumberFormat="1" applyFont="1" applyFill="1" applyBorder="1" applyAlignment="1" applyProtection="1">
      <alignment horizontal="center" vertical="center" wrapText="1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4" xfId="0" applyFont="1" applyFill="1" applyBorder="1" applyAlignment="1">
      <alignment horizontal="center" vertical="center"/>
    </xf>
    <xf numFmtId="0" fontId="1" fillId="2" borderId="55" xfId="0" applyFont="1" applyFill="1" applyBorder="1" applyAlignment="1">
      <alignment horizontal="center" vertical="center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2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T88"/>
  <sheetViews>
    <sheetView view="pageLayout" topLeftCell="A40" zoomScale="90" zoomScaleNormal="100" zoomScalePageLayoutView="90" workbookViewId="0">
      <selection activeCell="C63" sqref="C63"/>
    </sheetView>
  </sheetViews>
  <sheetFormatPr baseColWidth="10" defaultRowHeight="15" x14ac:dyDescent="0.2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2.140625" style="522" customWidth="1"/>
    <col min="11" max="11" width="11.42578125" style="240"/>
    <col min="12" max="12" width="29.5703125" style="240" customWidth="1"/>
    <col min="13" max="13" width="22.85546875" style="240" customWidth="1"/>
    <col min="14" max="14" width="20.140625" style="240" customWidth="1"/>
    <col min="15" max="15" width="16.85546875" style="240" customWidth="1"/>
    <col min="16" max="16" width="26.85546875" style="240" customWidth="1"/>
    <col min="17" max="17" width="11.42578125" style="240"/>
    <col min="18" max="18" width="11.140625" style="240" customWidth="1"/>
    <col min="19" max="19" width="12.42578125" style="240" customWidth="1"/>
    <col min="20" max="16384" width="11.42578125" style="240"/>
  </cols>
  <sheetData>
    <row r="1" spans="1:20" ht="27" customHeight="1" x14ac:dyDescent="0.25">
      <c r="A1" s="241"/>
      <c r="B1" s="241"/>
      <c r="C1" s="241"/>
      <c r="D1" s="241"/>
      <c r="E1" s="339">
        <f ca="1">TODAY()</f>
        <v>43886</v>
      </c>
    </row>
    <row r="2" spans="1:20" ht="27.75" x14ac:dyDescent="0.4">
      <c r="A2" s="242" t="s">
        <v>541</v>
      </c>
      <c r="B2" s="243"/>
      <c r="C2" s="243"/>
      <c r="D2" s="243"/>
      <c r="E2" s="243"/>
      <c r="F2" s="252" t="s">
        <v>764</v>
      </c>
      <c r="G2" s="243"/>
      <c r="H2" s="243"/>
      <c r="I2" s="243"/>
      <c r="J2" s="241"/>
      <c r="L2" s="256" t="s">
        <v>767</v>
      </c>
      <c r="M2" s="243"/>
      <c r="N2" s="243"/>
      <c r="O2" s="243"/>
      <c r="P2" s="256" t="s">
        <v>770</v>
      </c>
      <c r="Q2" s="243"/>
      <c r="R2" s="243"/>
    </row>
    <row r="3" spans="1:20" x14ac:dyDescent="0.25">
      <c r="A3" s="241"/>
      <c r="B3" s="241"/>
      <c r="C3" s="241"/>
      <c r="D3" s="241"/>
      <c r="E3" s="241"/>
    </row>
    <row r="4" spans="1:20" x14ac:dyDescent="0.25">
      <c r="A4" s="241"/>
      <c r="B4" s="241"/>
      <c r="C4" s="241"/>
      <c r="D4" s="241"/>
      <c r="E4" s="241"/>
      <c r="L4" s="494"/>
      <c r="M4" s="494"/>
      <c r="N4" s="494"/>
    </row>
    <row r="5" spans="1:20" ht="15" customHeight="1" x14ac:dyDescent="0.25">
      <c r="A5" s="553" t="s">
        <v>745</v>
      </c>
      <c r="B5" s="553"/>
      <c r="C5" s="553"/>
      <c r="D5" s="553"/>
      <c r="E5" s="553"/>
      <c r="F5" s="555" t="s">
        <v>745</v>
      </c>
      <c r="G5" s="553"/>
      <c r="H5" s="553"/>
      <c r="I5" s="553"/>
      <c r="J5" s="553"/>
      <c r="K5" s="553"/>
      <c r="L5" s="494"/>
      <c r="M5" s="494"/>
      <c r="N5" s="494"/>
    </row>
    <row r="6" spans="1:20" ht="38.25" x14ac:dyDescent="0.25">
      <c r="A6" s="244" t="s">
        <v>763</v>
      </c>
      <c r="B6" s="245" t="s">
        <v>1334</v>
      </c>
      <c r="C6" s="484" t="s">
        <v>1278</v>
      </c>
      <c r="D6" s="485" t="s">
        <v>270</v>
      </c>
      <c r="E6" s="486" t="s">
        <v>1291</v>
      </c>
      <c r="F6" s="244" t="s">
        <v>254</v>
      </c>
      <c r="G6" s="245" t="s">
        <v>1334</v>
      </c>
      <c r="H6" s="484" t="s">
        <v>1278</v>
      </c>
      <c r="I6" s="485" t="s">
        <v>270</v>
      </c>
      <c r="J6" s="539" t="s">
        <v>1297</v>
      </c>
      <c r="K6" s="486" t="s">
        <v>1291</v>
      </c>
      <c r="L6" s="494"/>
      <c r="M6" s="494"/>
      <c r="N6" s="494"/>
    </row>
    <row r="7" spans="1:20" ht="14.25" customHeight="1" x14ac:dyDescent="0.25">
      <c r="A7" s="246" t="s">
        <v>902</v>
      </c>
      <c r="B7" s="247">
        <f>'Stats AT BDD'!F2+'Stats AT BDD'!F4</f>
        <v>6</v>
      </c>
      <c r="C7" s="247">
        <f>'Stats AT BDD'!F2</f>
        <v>5</v>
      </c>
      <c r="D7" s="247">
        <f>'Stats AT BDD'!F4</f>
        <v>1</v>
      </c>
      <c r="E7" s="247">
        <f>'Stats AT BDD'!F3</f>
        <v>0</v>
      </c>
      <c r="F7" s="310" t="s">
        <v>788</v>
      </c>
      <c r="G7" s="247">
        <f>SUM(H7+I7)</f>
        <v>12</v>
      </c>
      <c r="H7" s="247">
        <f>SUM(COUNTIFS('Suivi des DPx'!$A$11:$A$105,"UO Relation client",'Suivi des DPx'!$E$11:$E$105,"OUI"))</f>
        <v>10</v>
      </c>
      <c r="I7" s="247">
        <f>SUM(COUNTIFS('Suivi des DPx'!$A$11:$A$105,"Siège",'Suivi des DPx'!$E$11:$E$105,"OUI"))</f>
        <v>2</v>
      </c>
      <c r="J7" s="496">
        <f>SUM(COUNTIFS('Suivi des DPx'!$A$11:$A$105,"Astreinteur hors DDL",'Suivi des DPx'!$E$11:$E$105,"OUI"))</f>
        <v>4</v>
      </c>
      <c r="K7" s="247">
        <f>SUM(COUNTIFS('Suivi des DPx'!$A$11:$A$105,"UP Traction",'Suivi des DPx'!$E$11:$E$105,"OUI"))</f>
        <v>0</v>
      </c>
      <c r="L7" s="494"/>
      <c r="M7" s="494"/>
      <c r="N7" s="494"/>
    </row>
    <row r="8" spans="1:20" ht="36.75" customHeight="1" x14ac:dyDescent="0.25">
      <c r="A8" s="312" t="s">
        <v>1339</v>
      </c>
      <c r="B8" s="250">
        <f>B7-B11-B12</f>
        <v>2</v>
      </c>
      <c r="C8" s="250">
        <f>C7-C11-C12</f>
        <v>2</v>
      </c>
      <c r="D8" s="250">
        <f>D7-D11-D12</f>
        <v>0</v>
      </c>
      <c r="E8" s="250">
        <f>E7-E11-E12</f>
        <v>0</v>
      </c>
      <c r="F8" s="308" t="s">
        <v>744</v>
      </c>
      <c r="G8" s="306">
        <f>G7/$G$39</f>
        <v>0.375</v>
      </c>
      <c r="H8" s="306">
        <f>H7/$H$39</f>
        <v>0.37037037037037035</v>
      </c>
      <c r="I8" s="306">
        <f>I7/$I$39</f>
        <v>0.4</v>
      </c>
      <c r="J8" s="306">
        <f>J7/$J$39</f>
        <v>0.5</v>
      </c>
      <c r="K8" s="306" t="e">
        <f>K7/$K$39</f>
        <v>#DIV/0!</v>
      </c>
      <c r="L8" s="554" t="s">
        <v>784</v>
      </c>
      <c r="M8" s="551"/>
      <c r="N8" s="551"/>
      <c r="P8" s="551" t="s">
        <v>771</v>
      </c>
      <c r="Q8" s="551"/>
      <c r="R8" s="551"/>
      <c r="S8" s="551"/>
      <c r="T8" s="551"/>
    </row>
    <row r="9" spans="1:20" ht="42" customHeight="1" x14ac:dyDescent="0.25">
      <c r="A9" s="312" t="s">
        <v>895</v>
      </c>
      <c r="B9" s="250">
        <f>'Stats AT BDD'!U2+'Stats AT BDD'!U4</f>
        <v>1</v>
      </c>
      <c r="C9" s="250">
        <f>'Stats AT BDD'!U2</f>
        <v>1</v>
      </c>
      <c r="D9" s="250">
        <f>'Stats AT BDD'!U4</f>
        <v>0</v>
      </c>
      <c r="E9" s="250">
        <f>'Stats AT BDD'!U3</f>
        <v>0</v>
      </c>
      <c r="F9" s="311" t="s">
        <v>567</v>
      </c>
      <c r="G9" s="250">
        <f>SUM(H9,I9)</f>
        <v>7</v>
      </c>
      <c r="H9" s="250">
        <f>SUM(COUNTIFS('Suivi des DPx'!$A$11:$A$105,"UO Relation client",'Suivi des DPx'!$G$11:$G$105,"OUI"))</f>
        <v>7</v>
      </c>
      <c r="I9" s="250">
        <f>SUM(COUNTIFS('Suivi des DPx'!$A$11:$A$105,"Siège",'Suivi des DPx'!$G$11:$G$105,"OUI"))</f>
        <v>0</v>
      </c>
      <c r="J9" s="523">
        <f>SUM(COUNTIFS('Suivi des DPx'!$A$11:$A$105,"Astreinteur hors DDL",'Suivi des DPx'!$G$11:$G$105,"OUI"))</f>
        <v>3</v>
      </c>
      <c r="K9" s="250">
        <f>SUM(COUNTIFS('Suivi des DPx'!$A$11:$A$105,"UP Traction",'Suivi des DPx'!$G$11:$G$105,"OUI"))</f>
        <v>0</v>
      </c>
      <c r="L9" s="499" t="s">
        <v>769</v>
      </c>
      <c r="M9" s="500" t="s">
        <v>768</v>
      </c>
      <c r="N9" s="501" t="s">
        <v>744</v>
      </c>
      <c r="P9" s="253" t="s">
        <v>769</v>
      </c>
      <c r="Q9" s="245" t="s">
        <v>1334</v>
      </c>
      <c r="R9" s="484" t="s">
        <v>1278</v>
      </c>
      <c r="S9" s="485" t="s">
        <v>270</v>
      </c>
      <c r="T9" s="486" t="s">
        <v>1291</v>
      </c>
    </row>
    <row r="10" spans="1:20" s="522" customFormat="1" ht="29.25" customHeight="1" x14ac:dyDescent="0.25">
      <c r="A10" s="524" t="s">
        <v>1340</v>
      </c>
      <c r="B10" s="523">
        <f>B9-'Stats AT BDD'!R2-'Stats AT BDD'!R3</f>
        <v>1</v>
      </c>
      <c r="C10" s="523">
        <f>B9-'Stats AT BDD'!R2</f>
        <v>1</v>
      </c>
      <c r="D10" s="523">
        <f>C9-'Stats AT BDD'!R4</f>
        <v>1</v>
      </c>
      <c r="E10" s="523">
        <f>D9-'Stats AT BDD'!R3</f>
        <v>0</v>
      </c>
      <c r="F10" s="531" t="s">
        <v>744</v>
      </c>
      <c r="G10" s="532">
        <f>G9/G$39</f>
        <v>0.21875</v>
      </c>
      <c r="H10" s="532">
        <f t="shared" ref="H10:K10" si="0">H9/H$39</f>
        <v>0.25925925925925924</v>
      </c>
      <c r="I10" s="532">
        <f t="shared" si="0"/>
        <v>0</v>
      </c>
      <c r="J10" s="532">
        <f t="shared" si="0"/>
        <v>0.375</v>
      </c>
      <c r="K10" s="532" t="e">
        <f t="shared" si="0"/>
        <v>#DIV/0!</v>
      </c>
      <c r="L10" s="495" t="s">
        <v>272</v>
      </c>
      <c r="M10" s="496">
        <f>COUNTIF('Suivi du PAS 2020'!$P$5:$P$26,"TERMINEE")</f>
        <v>3</v>
      </c>
      <c r="N10" s="502">
        <f>M10/SUM($M$10:$M$14)</f>
        <v>0.2</v>
      </c>
      <c r="P10" s="246" t="s">
        <v>772</v>
      </c>
      <c r="Q10" s="247">
        <f>SUM(R10:T10)</f>
        <v>0</v>
      </c>
      <c r="R10" s="248">
        <f>SUM(COUNTIFS('Programmation et suivi VP&amp;Icare'!$B$2:$B$84,"TRAIN",'Programmation et suivi VP&amp;Icare'!$F$2:$F$84,"&gt;1"))</f>
        <v>0</v>
      </c>
      <c r="S10" s="248">
        <f>SUM(COUNTIFS('Programmation et suivi VP&amp;Icare'!$B$2:$B$84,"TER OUEST",'Programmation et suivi VP&amp;Icare'!$F$2:$F$84,"&gt;1"))</f>
        <v>0</v>
      </c>
      <c r="T10" s="248">
        <f>SUM(COUNTIFS('Programmation et suivi VP&amp;Icare'!$B$2:$B$84,"SIEGE",'Programmation et suivi VP&amp;Icare'!$F$2:$F$84,"&gt;1"))</f>
        <v>0</v>
      </c>
    </row>
    <row r="11" spans="1:20" ht="14.25" customHeight="1" x14ac:dyDescent="0.25">
      <c r="A11" s="246" t="s">
        <v>766</v>
      </c>
      <c r="B11" s="247">
        <f>'Stats AT BDD'!Q2+'Stats AT BDD'!Q4</f>
        <v>2</v>
      </c>
      <c r="C11" s="247">
        <f>'Stats AT BDD'!Q2</f>
        <v>1</v>
      </c>
      <c r="D11" s="247">
        <f>'Stats AT BDD'!Q4</f>
        <v>1</v>
      </c>
      <c r="E11" s="247">
        <f>'Stats AT BDD'!Q3</f>
        <v>0</v>
      </c>
      <c r="F11" s="310" t="s">
        <v>250</v>
      </c>
      <c r="G11" s="247">
        <f>SUM(H11+I11)</f>
        <v>13</v>
      </c>
      <c r="H11" s="247">
        <f>SUM(COUNTIFS('Suivi des DPx'!$A$11:$A$105,"UO Relation client",'Suivi des DPx'!$I$11:$I$105,"OUI"))</f>
        <v>12</v>
      </c>
      <c r="I11" s="247">
        <f>SUM(COUNTIFS('Suivi des DPx'!$A$11:$A$105,"Siège",'Suivi des DPx'!$I$11:$I$105,"OUI"))</f>
        <v>1</v>
      </c>
      <c r="J11" s="496">
        <f>SUM(COUNTIFS('Suivi des DPx'!$A$11:$A$105,"Astreinteur hors DDL",'Suivi des DPx'!$I$11:$I$105,"OUI"))</f>
        <v>1</v>
      </c>
      <c r="K11" s="247">
        <f>SUM(COUNTIFS('Suivi des DPx'!$A$11:$A$105,"UP Traction",'Suivi des DPx'!$I$11:$I$105,"OUI"))</f>
        <v>0</v>
      </c>
      <c r="L11" s="249" t="s">
        <v>968</v>
      </c>
      <c r="M11" s="464">
        <f>COUNTIF('Suivi du PAS 2020'!$P$5:$P$26,"80%")</f>
        <v>4</v>
      </c>
      <c r="N11" s="305">
        <f>M11/SUM($M$10:$M$14)</f>
        <v>0.26666666666666666</v>
      </c>
      <c r="P11" s="249" t="s">
        <v>773</v>
      </c>
      <c r="Q11" s="250">
        <f>COUNTA('Programmation et suivi VP&amp;Icare'!G2:G99)</f>
        <v>0</v>
      </c>
      <c r="R11" s="251">
        <f>SUM(COUNTIFS('Programmation et suivi VP&amp;Icare'!$B$2:$B$84,"TRAIN",'Programmation et suivi VP&amp;Icare'!$G$2:$G$84,"&gt;1"))</f>
        <v>0</v>
      </c>
      <c r="S11" s="251">
        <f>SUM(COUNTIFS('Programmation et suivi VP&amp;Icare'!$B$2:$B$84,"TER OUEST",'Programmation et suivi VP&amp;Icare'!$G$2:$G$84,"&gt;1"))</f>
        <v>0</v>
      </c>
      <c r="T11" s="251">
        <f>SUM(COUNTIFS('Programmation et suivi VP&amp;Icare'!$B$2:$B$84,"SIEGE",'Programmation et suivi VP&amp;Icare'!$G$2:$G$84,"&gt;1"))</f>
        <v>0</v>
      </c>
    </row>
    <row r="12" spans="1:20" ht="14.25" customHeight="1" x14ac:dyDescent="0.25">
      <c r="A12" s="312" t="s">
        <v>901</v>
      </c>
      <c r="B12" s="250">
        <f>'Stats AT BDD'!P2+'Stats AT BDD'!P4</f>
        <v>2</v>
      </c>
      <c r="C12" s="250">
        <f>'Stats AT BDD'!P2</f>
        <v>2</v>
      </c>
      <c r="D12" s="250">
        <f>'Stats AT BDD'!P4</f>
        <v>0</v>
      </c>
      <c r="E12" s="250">
        <f>'Stats AT BDD'!P3</f>
        <v>0</v>
      </c>
      <c r="F12" s="308" t="s">
        <v>744</v>
      </c>
      <c r="G12" s="306">
        <f>G11/$G$39</f>
        <v>0.40625</v>
      </c>
      <c r="H12" s="306">
        <f>H11/$H$39</f>
        <v>0.44444444444444442</v>
      </c>
      <c r="I12" s="306">
        <f>I11/$I$39</f>
        <v>0.2</v>
      </c>
      <c r="J12" s="306">
        <f>J11/$J$39</f>
        <v>0.125</v>
      </c>
      <c r="K12" s="306" t="e">
        <f>K11/$K$39</f>
        <v>#DIV/0!</v>
      </c>
      <c r="L12" s="249" t="s">
        <v>967</v>
      </c>
      <c r="M12" s="464">
        <f>COUNTIF('Suivi du PAS 2020'!$P$5:$P$26,"50%")</f>
        <v>1</v>
      </c>
      <c r="N12" s="305">
        <f>M12/SUM($M$10:$M$14)</f>
        <v>6.6666666666666666E-2</v>
      </c>
      <c r="P12" s="246" t="s">
        <v>744</v>
      </c>
      <c r="Q12" s="306" t="e">
        <f>Q11/Q10</f>
        <v>#DIV/0!</v>
      </c>
      <c r="R12" s="306" t="e">
        <f>R11/R10</f>
        <v>#DIV/0!</v>
      </c>
      <c r="S12" s="306" t="e">
        <f t="shared" ref="S12:T12" si="1">S11/S10</f>
        <v>#DIV/0!</v>
      </c>
      <c r="T12" s="306" t="e">
        <f t="shared" si="1"/>
        <v>#DIV/0!</v>
      </c>
    </row>
    <row r="13" spans="1:20" ht="14.25" customHeight="1" x14ac:dyDescent="0.25">
      <c r="F13" s="311" t="s">
        <v>271</v>
      </c>
      <c r="G13" s="250">
        <f>SUM(H13+I13)</f>
        <v>12</v>
      </c>
      <c r="H13" s="250">
        <f>SUM(COUNTIFS('Suivi des DPx'!$A$11:$A$105,"UO Relation client",'Suivi des DPx'!$K$11:$K$105,"OUI"))</f>
        <v>11</v>
      </c>
      <c r="I13" s="250">
        <f>SUM(COUNTIFS('Suivi des DPx'!$A$11:$A$105,"Siège",'Suivi des DPx'!$K$11:$K$105,"OUI"))</f>
        <v>1</v>
      </c>
      <c r="J13" s="523">
        <f>SUM(COUNTIFS('Suivi des DPx'!$A$11:$A$105,"Astreinteur hors DDL",'Suivi des DPx'!$K$11:$K$105,"OUI"))</f>
        <v>0</v>
      </c>
      <c r="K13" s="250">
        <f>SUM(COUNTIFS('Suivi des DPx'!$A$11:$A$105,"UP Traction",'Suivi des DPx'!$K$11:$K$105,"OUI"))</f>
        <v>0</v>
      </c>
      <c r="L13" s="249" t="s">
        <v>966</v>
      </c>
      <c r="M13" s="464">
        <f>COUNTIF('Suivi du PAS 2020'!$P$5:$P$26,"20%")</f>
        <v>4</v>
      </c>
      <c r="N13" s="305">
        <f>M13/SUM($M$10:$M$14)</f>
        <v>0.26666666666666666</v>
      </c>
    </row>
    <row r="14" spans="1:20" ht="14.25" customHeight="1" x14ac:dyDescent="0.25">
      <c r="F14" s="309" t="s">
        <v>744</v>
      </c>
      <c r="G14" s="307">
        <f>G13/$G$39</f>
        <v>0.375</v>
      </c>
      <c r="H14" s="307">
        <f>H13/$H$39</f>
        <v>0.40740740740740738</v>
      </c>
      <c r="I14" s="307">
        <f>I13/$I$39</f>
        <v>0.2</v>
      </c>
      <c r="J14" s="307">
        <f>J13/$J$39</f>
        <v>0</v>
      </c>
      <c r="K14" s="307" t="e">
        <f>K13/$K$39</f>
        <v>#DIV/0!</v>
      </c>
      <c r="L14" s="246" t="s">
        <v>274</v>
      </c>
      <c r="M14" s="247">
        <f>COUNTIF('Suivi du PAS 2020'!$P$5:$P$26,"NON COMMENCEE")</f>
        <v>3</v>
      </c>
      <c r="N14" s="304">
        <f>M14/SUM($M$10:$M$14)</f>
        <v>0.2</v>
      </c>
    </row>
    <row r="15" spans="1:20" ht="14.25" customHeight="1" x14ac:dyDescent="0.25">
      <c r="A15" s="246" t="s">
        <v>760</v>
      </c>
      <c r="B15" s="247">
        <f>'Stats AT BDD'!G2+'Stats AT BDD'!G4</f>
        <v>15</v>
      </c>
      <c r="C15" s="247">
        <f>'Stats AT BDD'!G2</f>
        <v>15</v>
      </c>
      <c r="D15" s="247">
        <f>'Stats AT BDD'!G4</f>
        <v>0</v>
      </c>
      <c r="E15" s="247">
        <f>'Stats AT BDD'!G3</f>
        <v>0</v>
      </c>
      <c r="F15" s="310" t="s">
        <v>267</v>
      </c>
      <c r="G15" s="247">
        <f>SUM(H15+I15)</f>
        <v>25</v>
      </c>
      <c r="H15" s="247">
        <f>SUM(COUNTIFS('Suivi des DPx'!$A$11:$A$105,"UO Relation client",'Suivi des DPx'!$M$11:$M$105,"OUI"))</f>
        <v>22</v>
      </c>
      <c r="I15" s="247">
        <f>SUM(COUNTIFS('Suivi des DPx'!$A$11:$A$105,"Siège",'Suivi des DPx'!$M$11:$M$105,"OUI"))</f>
        <v>3</v>
      </c>
      <c r="J15" s="496">
        <f>SUM(COUNTIFS('Suivi des DPx'!$A$11:$A$105,"Astreinteur hors DDL",'Suivi des DPx'!$M$11:$M$105,"OUI"))</f>
        <v>8</v>
      </c>
      <c r="K15" s="247">
        <f>SUM(COUNTIFS('Suivi des DPx'!$A$11:$A$105,"UP Traction",'Suivi des DPx'!$M$11:$M$105,"OUI"))</f>
        <v>0</v>
      </c>
    </row>
    <row r="16" spans="1:20" ht="14.25" customHeight="1" x14ac:dyDescent="0.25">
      <c r="A16" s="520" t="s">
        <v>1341</v>
      </c>
      <c r="B16" s="530">
        <f>SUM(C16,D16)</f>
        <v>15</v>
      </c>
      <c r="C16" s="530">
        <f>C15-IF(C6="","",COUNTIFS('Liste AT'!$F$7:$F$165,'Liste AT'!$R$7:$R$135=conducteur témoin d un accident de personne,'Liste AT'!$F$7:$F$165,'Liste AT'!$R$7:$R$135=agent témoin sauf conducteur))</f>
        <v>15</v>
      </c>
      <c r="D16" s="530">
        <f>D15-IF(D6="","",COUNTIFS('Liste AT'!$F$7:$F$165,'Liste AT'!$R$7:$R$135=conducteur témoin d un accident de personne,'Liste AT'!$F$7:$F$165,'Liste AT'!$R$7:$R$135=agent témoin sauf conducteur))</f>
        <v>0</v>
      </c>
      <c r="E16" s="530">
        <f>E15-IF(E6="","",COUNTIFS('Liste AT'!$F$7:$F$165,'Liste AT'!$R$7:$R$135=conducteur témoin d un accident de personne,'Liste AT'!$F$7:$F$165,'Liste AT'!$R$7:$R$135=agent témoin sauf conducteur))</f>
        <v>0</v>
      </c>
      <c r="F16" s="308" t="s">
        <v>744</v>
      </c>
      <c r="G16" s="306">
        <f>G15/$G$39</f>
        <v>0.78125</v>
      </c>
      <c r="H16" s="306">
        <f>H15/$H$39</f>
        <v>0.81481481481481477</v>
      </c>
      <c r="I16" s="306">
        <f>I15/$I$39</f>
        <v>0.6</v>
      </c>
      <c r="J16" s="306">
        <f>J15/$J$39</f>
        <v>1</v>
      </c>
      <c r="K16" s="306" t="e">
        <f>K15/$K$39</f>
        <v>#DIV/0!</v>
      </c>
      <c r="L16" s="494"/>
      <c r="M16" s="494"/>
      <c r="N16" s="494"/>
      <c r="P16" s="551" t="s">
        <v>774</v>
      </c>
      <c r="Q16" s="551"/>
      <c r="R16" s="551"/>
      <c r="S16" s="551"/>
      <c r="T16" s="551"/>
    </row>
    <row r="17" spans="1:20" ht="45" customHeight="1" x14ac:dyDescent="0.25">
      <c r="A17" s="312" t="s">
        <v>761</v>
      </c>
      <c r="B17" s="250">
        <f ca="1">MIN('Stats AT BDD'!D2,'Stats AT BDD'!D4)</f>
        <v>0</v>
      </c>
      <c r="C17" s="250" t="str">
        <f ca="1">'Stats AT BDD'!D2</f>
        <v/>
      </c>
      <c r="D17" s="250" t="str">
        <f ca="1">'Stats AT BDD'!D4</f>
        <v/>
      </c>
      <c r="E17" s="250">
        <f ca="1">'Stats AT BDD'!D3</f>
        <v>55</v>
      </c>
      <c r="F17" s="311" t="s">
        <v>246</v>
      </c>
      <c r="G17" s="250">
        <f>SUM(H17+I17)</f>
        <v>8</v>
      </c>
      <c r="H17" s="250">
        <f>SUM(COUNTIFS('Suivi des DPx'!$A$11:$A$105,"UO Relation client",'Suivi des DPx'!$O$11:$O$105,"OUI"))</f>
        <v>7</v>
      </c>
      <c r="I17" s="250">
        <f>SUM(COUNTIFS('Suivi des DPx'!$A$11:$A$105,"Siège",'Suivi des DPx'!$O$11:$O$105,"OUI"))</f>
        <v>1</v>
      </c>
      <c r="J17" s="523">
        <f>SUM(COUNTIFS('Suivi des DPx'!$A$11:$A$105,"Astreinteur hors DDL",'Suivi des DPx'!$O$11:$O$105,"OUI"))</f>
        <v>3</v>
      </c>
      <c r="K17" s="250">
        <f>SUM(COUNTIFS('Suivi des DPx'!$A$11:$A$105,"UP Traction",'Suivi des DPx'!$O$11:$O$105,"OUI"))</f>
        <v>0</v>
      </c>
      <c r="L17" s="494"/>
      <c r="M17" s="494"/>
      <c r="N17" s="494"/>
      <c r="P17" s="253" t="s">
        <v>699</v>
      </c>
      <c r="Q17" s="245" t="s">
        <v>1334</v>
      </c>
      <c r="R17" s="484" t="s">
        <v>1278</v>
      </c>
      <c r="S17" s="485" t="s">
        <v>270</v>
      </c>
      <c r="T17" s="486" t="s">
        <v>1291</v>
      </c>
    </row>
    <row r="18" spans="1:20" ht="14.25" customHeight="1" x14ac:dyDescent="0.25">
      <c r="A18" s="246" t="s">
        <v>824</v>
      </c>
      <c r="B18" s="303" t="e">
        <f ca="1">'Stats AT BDD'!L2+'Stats AT BDD'!L4</f>
        <v>#N/A</v>
      </c>
      <c r="C18" s="303" t="e">
        <f ca="1">'Stats AT BDD'!L2</f>
        <v>#N/A</v>
      </c>
      <c r="D18" s="303" t="e">
        <f ca="1">'Stats AT BDD'!L4</f>
        <v>#N/A</v>
      </c>
      <c r="E18" s="303" t="e">
        <f ca="1">'Stats AT BDD'!L3</f>
        <v>#N/A</v>
      </c>
      <c r="F18" s="309" t="s">
        <v>744</v>
      </c>
      <c r="G18" s="307">
        <f>G17/$G$39</f>
        <v>0.25</v>
      </c>
      <c r="H18" s="307">
        <f>H17/$H$39</f>
        <v>0.25925925925925924</v>
      </c>
      <c r="I18" s="307">
        <f>I17/$I$39</f>
        <v>0.2</v>
      </c>
      <c r="J18" s="307">
        <f>J17/$J$39</f>
        <v>0.375</v>
      </c>
      <c r="K18" s="307" t="e">
        <f>K17/$K$39</f>
        <v>#DIV/0!</v>
      </c>
      <c r="L18" s="494"/>
      <c r="M18" s="494"/>
      <c r="N18" s="494"/>
      <c r="P18" s="246" t="s">
        <v>775</v>
      </c>
      <c r="Q18" s="247">
        <f>SUM(R18+S18)</f>
        <v>0</v>
      </c>
      <c r="R18" s="248">
        <f>SUM(COUNTIFS('Programmation et suivi VP&amp;Icare'!$L$2:$L$84,"Filière 27",'Programmation et suivi VP&amp;Icare'!$H$2:$H$84,"&gt;1",'Programmation et suivi VP&amp;Icare'!$B$2:$B$84,"UO Relation client"))</f>
        <v>0</v>
      </c>
      <c r="S18" s="248">
        <f>SUM(COUNTIFS('Programmation et suivi VP&amp;Icare'!$L$2:$L$84,"Filière 27",'Programmation et suivi VP&amp;Icare'!$H$2:$H$84,"&gt;1",'Programmation et suivi VP&amp;Icare'!$B$2:$B$84,"Siège"))</f>
        <v>0</v>
      </c>
      <c r="T18" s="248">
        <f>SUM(COUNTIFS('Programmation et suivi VP&amp;Icare'!$L$2:$L$84,"Filière 27",'Programmation et suivi VP&amp;Icare'!$H$2:$H$84,"&gt;1",'Programmation et suivi VP&amp;Icare'!$B$2:$B$84,"UP Traction"))</f>
        <v>0</v>
      </c>
    </row>
    <row r="19" spans="1:20" ht="14.25" customHeight="1" x14ac:dyDescent="0.25">
      <c r="A19" s="312" t="s">
        <v>825</v>
      </c>
      <c r="B19" s="302" t="e">
        <f ca="1">'Stats AT BDD'!I2+'Stats AT BDD'!I4</f>
        <v>#N/A</v>
      </c>
      <c r="C19" s="302" t="e">
        <f ca="1">'Stats AT BDD'!I2</f>
        <v>#N/A</v>
      </c>
      <c r="D19" s="302" t="e">
        <f ca="1">'Stats AT BDD'!I4</f>
        <v>#N/A</v>
      </c>
      <c r="E19" s="302" t="e">
        <f ca="1">'Stats AT BDD'!I3</f>
        <v>#N/A</v>
      </c>
      <c r="F19" s="310" t="s">
        <v>245</v>
      </c>
      <c r="G19" s="247">
        <f>SUM(H19+I19)</f>
        <v>10</v>
      </c>
      <c r="H19" s="247">
        <f>SUM(COUNTIFS('Suivi des DPx'!$A$11:$A$105,"UO Relation client",'Suivi des DPx'!$Q$11:$Q$105,"OUI"))</f>
        <v>10</v>
      </c>
      <c r="I19" s="247">
        <f>SUM(COUNTIFS('Suivi des DPx'!$A$11:$A$105,"Siège",'Suivi des DPx'!$Q$11:$Q$105,"OUI"))</f>
        <v>0</v>
      </c>
      <c r="J19" s="496">
        <f>SUM(COUNTIFS('Suivi des DPx'!$A$11:$A$105,"Astreinteur hors DDL",'Suivi des DPx'!$Q$11:$Q$105,"OUI"))</f>
        <v>4</v>
      </c>
      <c r="K19" s="247">
        <f>SUM(COUNTIFS('Suivi des DPx'!$A$11:$A$105,"UP Traction",'Suivi des DPx'!$Q$11:$Q$105,"OUI"))</f>
        <v>0</v>
      </c>
      <c r="L19" s="554" t="s">
        <v>779</v>
      </c>
      <c r="M19" s="551"/>
      <c r="N19" s="551"/>
      <c r="P19" s="249" t="s">
        <v>776</v>
      </c>
      <c r="Q19" s="250">
        <f>SUM(R19+S19)</f>
        <v>0</v>
      </c>
      <c r="R19" s="251">
        <f>SUM(COUNTIFS('Programmation et suivi VP&amp;Icare'!$L$2:$L$84,"Filière 27",'Programmation et suivi VP&amp;Icare'!$I$2:$I$84,"&gt;1",'Programmation et suivi VP&amp;Icare'!$B$2:$B$84,"UO Relation client"))</f>
        <v>0</v>
      </c>
      <c r="S19" s="251">
        <f>SUM(COUNTIFS('Programmation et suivi VP&amp;Icare'!$L$2:$L$84,"Filière 27",'Programmation et suivi VP&amp;Icare'!$I$2:$I$84,"&gt;1",'Programmation et suivi VP&amp;Icare'!$B$2:$B$84,"Siège"))</f>
        <v>0</v>
      </c>
      <c r="T19" s="251">
        <f>SUM(COUNTIFS('Programmation et suivi VP&amp;Icare'!$L$2:$L$84,"Filière 27",'Programmation et suivi VP&amp;Icare'!$I$2:$I$84,"&gt;1",'Programmation et suivi VP&amp;Icare'!$B$2:$B$84,"UP Traction"))</f>
        <v>0</v>
      </c>
    </row>
    <row r="20" spans="1:20" ht="14.25" customHeight="1" x14ac:dyDescent="0.25">
      <c r="A20" s="246" t="s">
        <v>830</v>
      </c>
      <c r="B20" s="247">
        <f ca="1">'Stats AT BDD'!S2+'Stats AT BDD'!S4</f>
        <v>6</v>
      </c>
      <c r="C20" s="247">
        <f ca="1">'Stats AT BDD'!S2</f>
        <v>5</v>
      </c>
      <c r="D20" s="247">
        <f ca="1">'Stats AT BDD'!S4</f>
        <v>1</v>
      </c>
      <c r="E20" s="247">
        <f>'Stats AT BDD'!S3</f>
        <v>0</v>
      </c>
      <c r="F20" s="308" t="s">
        <v>744</v>
      </c>
      <c r="G20" s="306">
        <f>G19/$G$39</f>
        <v>0.3125</v>
      </c>
      <c r="H20" s="306">
        <f>H19/$H$39</f>
        <v>0.37037037037037035</v>
      </c>
      <c r="I20" s="306">
        <f>I19/$I$39</f>
        <v>0</v>
      </c>
      <c r="J20" s="306">
        <f>J19/$J$39</f>
        <v>0.5</v>
      </c>
      <c r="K20" s="306" t="e">
        <f>K19/$K$39</f>
        <v>#DIV/0!</v>
      </c>
      <c r="L20" s="499" t="s">
        <v>780</v>
      </c>
      <c r="M20" s="500" t="s">
        <v>768</v>
      </c>
      <c r="N20" s="501" t="s">
        <v>744</v>
      </c>
      <c r="P20" s="246" t="s">
        <v>744</v>
      </c>
      <c r="Q20" s="306" t="e">
        <f>Q19/Q18</f>
        <v>#DIV/0!</v>
      </c>
      <c r="R20" s="306" t="e">
        <f t="shared" ref="R20" si="2">R19/R18</f>
        <v>#DIV/0!</v>
      </c>
      <c r="S20" s="306" t="e">
        <f t="shared" ref="S20:T20" si="3">S19/S18</f>
        <v>#DIV/0!</v>
      </c>
      <c r="T20" s="306" t="e">
        <f t="shared" si="3"/>
        <v>#DIV/0!</v>
      </c>
    </row>
    <row r="21" spans="1:20" ht="14.25" customHeight="1" x14ac:dyDescent="0.25">
      <c r="A21" s="246" t="s">
        <v>1342</v>
      </c>
      <c r="B21" s="247">
        <f>'Stats AT BDD'!T2+'Stats AT BDD'!T4</f>
        <v>0</v>
      </c>
      <c r="C21" s="247">
        <f>'Stats AT BDD'!T2</f>
        <v>0</v>
      </c>
      <c r="D21" s="247">
        <f>'Stats AT BDD'!T4</f>
        <v>0</v>
      </c>
      <c r="E21" s="247">
        <f>'Stats AT BDD'!T3</f>
        <v>0</v>
      </c>
      <c r="F21" s="311" t="s">
        <v>555</v>
      </c>
      <c r="G21" s="250">
        <f>SUM(H21+I21)</f>
        <v>8</v>
      </c>
      <c r="H21" s="250">
        <f>SUM(COUNTIFS('Suivi des DPx'!$A$11:$A$105,"UO Relation client",'Suivi des DPx'!$U$11:$U$105,"OUI"))</f>
        <v>8</v>
      </c>
      <c r="I21" s="250">
        <f>SUM(COUNTIFS('Suivi des DPx'!$A$11:$A$105,"Siège",'Suivi des DPx'!$U$11:$U$105,"OUI"))</f>
        <v>0</v>
      </c>
      <c r="J21" s="523">
        <f>SUM(COUNTIFS('Suivi des DPx'!$A$11:$A$105,"Astreinteur hors DDL",'Suivi des DPx'!$U$11:$U$105,"OUI"))</f>
        <v>5</v>
      </c>
      <c r="K21" s="250">
        <f>SUM(COUNTIFS('Suivi des DPx'!$A$11:$A$105,"UP Traction",'Suivi des DPx'!$U$11:$U$105,"OUI"))</f>
        <v>0</v>
      </c>
      <c r="L21" s="495" t="s">
        <v>272</v>
      </c>
      <c r="M21" s="496">
        <f>COUNTIF('Suivi du PAS 2020'!$P$9:$P$15,"TERMINEE")</f>
        <v>1</v>
      </c>
      <c r="N21" s="502">
        <f>M21/SUM($M$21:$M$23)</f>
        <v>0.14285714285714285</v>
      </c>
      <c r="P21" s="249" t="s">
        <v>792</v>
      </c>
      <c r="Q21" s="250">
        <f>SUM(R21+S21)</f>
        <v>0</v>
      </c>
      <c r="R21" s="251">
        <f>SUM(COUNTIFS('Programmation et suivi VP&amp;Icare'!$L$2:$L$84,"Filière 26",'Programmation et suivi VP&amp;Icare'!$I$2:$I$84,"&gt;1",'Programmation et suivi VP&amp;Icare'!$B$2:$B$84,"UO Relation client"))</f>
        <v>0</v>
      </c>
      <c r="S21" s="251">
        <f>SUM(COUNTIFS('Programmation et suivi VP&amp;Icare'!$L$2:$L$84,"Filière 26",'Programmation et suivi VP&amp;Icare'!$I$2:$I$84,"&gt;1",'Programmation et suivi VP&amp;Icare'!$B$2:$B$84,"Siège"))</f>
        <v>0</v>
      </c>
      <c r="T21" s="251">
        <f>SUM(COUNTIFS('Programmation et suivi VP&amp;Icare'!$L$2:$L$84,"Filière 26",'Programmation et suivi VP&amp;Icare'!$I$2:$I$84,"&gt;1",'Programmation et suivi VP&amp;Icare'!$B$2:$B$84,"UP Traction"))</f>
        <v>0</v>
      </c>
    </row>
    <row r="22" spans="1:20" ht="49.5" customHeight="1" x14ac:dyDescent="0.25">
      <c r="A22" s="246" t="s">
        <v>885</v>
      </c>
      <c r="B22" s="247">
        <f>SUM(C22,D22)</f>
        <v>1</v>
      </c>
      <c r="C22" s="247">
        <f>COUNTIFS('Liste AT'!$F$7:$F$165,$C$25,'Liste AT'!$AD$7:$AD$165,"=oui")</f>
        <v>1</v>
      </c>
      <c r="D22" s="247">
        <f>COUNTIFS('Liste AT'!$F$7:$F$165,$D$25,'Liste AT'!$AD$7:$AD$165,"=oui")</f>
        <v>0</v>
      </c>
      <c r="E22" s="247">
        <f>COUNTIFS('Liste AT'!$F$7:$F$165,$E$25,'Liste AT'!$AD$7:$AD$165,"=oui")</f>
        <v>0</v>
      </c>
      <c r="F22" s="309" t="s">
        <v>744</v>
      </c>
      <c r="G22" s="307">
        <f>G21/$G$39</f>
        <v>0.25</v>
      </c>
      <c r="H22" s="307">
        <f>H21/$H$39</f>
        <v>0.29629629629629628</v>
      </c>
      <c r="I22" s="307">
        <f>I21/$I$39</f>
        <v>0</v>
      </c>
      <c r="J22" s="307">
        <f>J21/$J$39</f>
        <v>0.625</v>
      </c>
      <c r="K22" s="307" t="e">
        <f>K21/$K$39</f>
        <v>#DIV/0!</v>
      </c>
      <c r="L22" s="497" t="s">
        <v>273</v>
      </c>
      <c r="M22" s="498">
        <f>SUM(COUNTIF('Suivi du PAS 2020'!$P$9:$P$15,"20%"),COUNTIF('Suivi du PAS 2020'!$P$9:$P$15,"50%"),COUNTIF('Suivi du PAS 2020'!$P$9:$P$15,"80%"))</f>
        <v>5</v>
      </c>
      <c r="N22" s="503">
        <f>M22/SUM($M$21:$M$23)</f>
        <v>0.7142857142857143</v>
      </c>
      <c r="P22" s="253" t="s">
        <v>777</v>
      </c>
      <c r="Q22" s="245" t="s">
        <v>1334</v>
      </c>
      <c r="R22" s="484" t="s">
        <v>1278</v>
      </c>
      <c r="S22" s="485" t="s">
        <v>270</v>
      </c>
      <c r="T22" s="486" t="s">
        <v>1291</v>
      </c>
    </row>
    <row r="23" spans="1:20" ht="39" customHeight="1" x14ac:dyDescent="0.25">
      <c r="F23" s="310" t="s">
        <v>1332</v>
      </c>
      <c r="G23" s="247">
        <f>SUM(H23+I23)</f>
        <v>19</v>
      </c>
      <c r="H23" s="247">
        <f>SUM(COUNTIFS('Suivi des DPx'!$A$11:$A$105,"UO Relation client",'Suivi des DPx'!$W$11:$W$105,"OUI"))</f>
        <v>17</v>
      </c>
      <c r="I23" s="247">
        <f>SUM(COUNTIFS('Suivi des DPx'!$A$11:$A$105,"Siège",'Suivi des DPx'!$W$11:$W$105,"OUI"))</f>
        <v>2</v>
      </c>
      <c r="J23" s="496">
        <f>SUM(COUNTIFS('Suivi des DPx'!$A$11:$A$105,"Astreinteur hors DDL",'Suivi des DPx'!$W$11:$W$105,"OUI"))</f>
        <v>5</v>
      </c>
      <c r="K23" s="247">
        <f>SUM(COUNTIFS('Suivi des DPx'!$A$11:$A$105,"UP Traction",'Suivi des DPx'!$W$11:$W$105,"OUI"))</f>
        <v>0</v>
      </c>
      <c r="L23" s="495" t="s">
        <v>274</v>
      </c>
      <c r="M23" s="496">
        <f>COUNTIF('Suivi du PAS 2020'!$P$9:$P$15,"NON COMMENCEE")</f>
        <v>1</v>
      </c>
      <c r="N23" s="502">
        <f>M23/SUM($M$21:$M$23)</f>
        <v>0.14285714285714285</v>
      </c>
      <c r="P23" s="246" t="s">
        <v>775</v>
      </c>
      <c r="Q23" s="247">
        <f>SUM(R23+S23)</f>
        <v>0</v>
      </c>
      <c r="R23" s="248">
        <f>SUM(COUNTIFS('Programmation et suivi VP&amp;Icare'!$L$2:$L$84,"Filière 27",'Programmation et suivi VP&amp;Icare'!$H$2:$H$84,"&gt;1",'Programmation et suivi VP&amp;Icare'!$B$2:$B$84,"UO Relation client"))</f>
        <v>0</v>
      </c>
      <c r="S23" s="248">
        <f>SUM(COUNTIFS('Programmation et suivi VP&amp;Icare'!$L$2:$L$84,"Filière 27",'Programmation et suivi VP&amp;Icare'!$H$2:$H$84,"&gt;1",'Programmation et suivi VP&amp;Icare'!$B$2:$B$84,"Siège"))</f>
        <v>0</v>
      </c>
      <c r="T23" s="248">
        <f>SUM(COUNTIFS('Programmation et suivi VP&amp;Icare'!$L$2:$L$84,"Filière 27",'Programmation et suivi VP&amp;Icare'!$H$2:$H$84,"&gt;1",'Programmation et suivi VP&amp;Icare'!$B$2:$B$84,"UP Traction"))</f>
        <v>0</v>
      </c>
    </row>
    <row r="24" spans="1:20" ht="14.25" customHeight="1" x14ac:dyDescent="0.25">
      <c r="F24" s="308" t="s">
        <v>744</v>
      </c>
      <c r="G24" s="306">
        <f>G23/$G$39</f>
        <v>0.59375</v>
      </c>
      <c r="H24" s="306">
        <f>H23/$H$39</f>
        <v>0.62962962962962965</v>
      </c>
      <c r="I24" s="306">
        <f>I23/$I$39</f>
        <v>0.4</v>
      </c>
      <c r="J24" s="306">
        <f>J23/$J$39</f>
        <v>0.625</v>
      </c>
      <c r="K24" s="306" t="e">
        <f>K23/$K$39</f>
        <v>#DIV/0!</v>
      </c>
      <c r="L24" s="499" t="s">
        <v>781</v>
      </c>
      <c r="M24" s="500" t="s">
        <v>768</v>
      </c>
      <c r="N24" s="501" t="s">
        <v>744</v>
      </c>
      <c r="P24" s="249" t="s">
        <v>776</v>
      </c>
      <c r="Q24" s="250">
        <f>SUM(R24+S24)</f>
        <v>0</v>
      </c>
      <c r="R24" s="251">
        <f>SUM(COUNTIFS('Programmation et suivi VP&amp;Icare'!$L$2:$L$84,"Filière 27",'Programmation et suivi VP&amp;Icare'!$J$2:$J$84,"&gt;1",'Programmation et suivi VP&amp;Icare'!$B$2:$B$84,"UO Relation client"))</f>
        <v>0</v>
      </c>
      <c r="S24" s="251">
        <f>SUM(COUNTIFS('Programmation et suivi VP&amp;Icare'!$L$2:$L$84,"Filière 27",'Programmation et suivi VP&amp;Icare'!$J$2:$J$84,"&gt;1",'Programmation et suivi VP&amp;Icare'!$B$2:$B$84,"Siège"))</f>
        <v>0</v>
      </c>
      <c r="T24" s="251">
        <f>SUM(COUNTIFS('Programmation et suivi VP&amp;Icare'!$L$2:$L$84,"Filière 27",'Programmation et suivi VP&amp;Icare'!$J$2:$J$84,"&gt;1",'Programmation et suivi VP&amp;Icare'!$B$2:$B$84,"UP Traction"))</f>
        <v>0</v>
      </c>
    </row>
    <row r="25" spans="1:20" ht="36.75" customHeight="1" x14ac:dyDescent="0.25">
      <c r="A25" s="244" t="s">
        <v>762</v>
      </c>
      <c r="B25" s="245" t="s">
        <v>1334</v>
      </c>
      <c r="C25" s="484" t="s">
        <v>1278</v>
      </c>
      <c r="D25" s="485" t="s">
        <v>270</v>
      </c>
      <c r="E25" s="486" t="s">
        <v>1291</v>
      </c>
      <c r="F25" s="518" t="s">
        <v>1333</v>
      </c>
      <c r="G25" s="530">
        <f>SUM(H25+I25)</f>
        <v>0</v>
      </c>
      <c r="H25" s="530">
        <f>SUM(COUNTIFS('Suivi des DPx'!$A$11:$A$105,"UO Relation client",'Suivi des DPx'!$Y$11:$Y$105,"OUI"))</f>
        <v>0</v>
      </c>
      <c r="I25" s="530">
        <f>SUM(COUNTIFS('Suivi des DPx'!$A$11:$A$105,"Siège",'Suivi des DPx'!$Y$11:$Y$105,"OUI"))</f>
        <v>0</v>
      </c>
      <c r="J25" s="530">
        <f>SUM(COUNTIFS('Suivi des DPx'!$A$11:$A$105,"Astreinteur hors DDL",'Suivi des DPx'!$Y$11:$Y$105,"OUI"))</f>
        <v>0</v>
      </c>
      <c r="K25" s="530">
        <f>SUM(COUNTIFS('Suivi des DPx'!$A$11:$A$105,"UP Traction",'Suivi des DPx'!$Y$11:$Y$105,"OUI"))</f>
        <v>0</v>
      </c>
      <c r="L25" s="495" t="s">
        <v>272</v>
      </c>
      <c r="M25" s="496">
        <f>COUNTIF('Suivi du PAS 2020'!$P$18:$P$20,"TERMINEE")</f>
        <v>1</v>
      </c>
      <c r="N25" s="502">
        <f>M25/SUM($M$25:$M$27)</f>
        <v>0.33333333333333331</v>
      </c>
      <c r="P25" s="246" t="s">
        <v>744</v>
      </c>
      <c r="Q25" s="306" t="e">
        <f>Q24/Q23</f>
        <v>#DIV/0!</v>
      </c>
      <c r="R25" s="306" t="e">
        <f t="shared" ref="R25" si="4">R24/R23</f>
        <v>#DIV/0!</v>
      </c>
      <c r="S25" s="306" t="e">
        <f t="shared" ref="S25:T25" si="5">S24/S23</f>
        <v>#DIV/0!</v>
      </c>
      <c r="T25" s="306" t="e">
        <f t="shared" si="5"/>
        <v>#DIV/0!</v>
      </c>
    </row>
    <row r="26" spans="1:20" ht="39" customHeight="1" x14ac:dyDescent="0.25">
      <c r="A26" s="337" t="s">
        <v>42</v>
      </c>
      <c r="B26" s="340">
        <f>SUM(C26,D26)</f>
        <v>3</v>
      </c>
      <c r="C26" s="340">
        <f>COUNTIFS('Liste AT'!$F$7:$F$165,$C$25,'Liste AT'!$Q$7:$Q$165,$A26)</f>
        <v>2</v>
      </c>
      <c r="D26" s="340">
        <f>COUNTIFS('Liste AT'!$F$7:$F$165,$D$25,'Liste AT'!$Q$7:$Q$165,$A26)</f>
        <v>1</v>
      </c>
      <c r="E26" s="340">
        <f>COUNTIFS('Liste AT'!$F$7:$F$165,$E$25,'Liste AT'!$Q$7:$Q$165,$A26)</f>
        <v>0</v>
      </c>
      <c r="F26" s="519" t="s">
        <v>744</v>
      </c>
      <c r="G26" s="540">
        <f>G25/$G$39</f>
        <v>0</v>
      </c>
      <c r="H26" s="540">
        <f>H25/$H$39</f>
        <v>0</v>
      </c>
      <c r="I26" s="540">
        <f>I25/$I$39</f>
        <v>0</v>
      </c>
      <c r="J26" s="540">
        <f>J25/$J$39</f>
        <v>0</v>
      </c>
      <c r="K26" s="540" t="e">
        <f>K25/$K$39</f>
        <v>#DIV/0!</v>
      </c>
      <c r="L26" s="540" t="e">
        <f t="shared" ref="L26" si="6">L25/$G$39</f>
        <v>#VALUE!</v>
      </c>
      <c r="M26" s="498">
        <f>SUM(COUNTIF('Suivi du PAS 2020'!$P$18:$P$20,"20%"),COUNTIF('Suivi du PAS 2020'!$P$18:$P$20,"50%"),COUNTIF('Suivi du PAS 2020'!$P$18:$P$20,"80%"))</f>
        <v>2</v>
      </c>
      <c r="N26" s="503">
        <f>M26/SUM($M$25:$M$27)</f>
        <v>0.66666666666666663</v>
      </c>
      <c r="P26" s="253" t="s">
        <v>778</v>
      </c>
      <c r="Q26" s="245" t="s">
        <v>1334</v>
      </c>
      <c r="R26" s="484" t="s">
        <v>1278</v>
      </c>
      <c r="S26" s="485" t="s">
        <v>270</v>
      </c>
      <c r="T26" s="529" t="s">
        <v>1291</v>
      </c>
    </row>
    <row r="27" spans="1:20" ht="14.25" customHeight="1" x14ac:dyDescent="0.25">
      <c r="A27" s="338" t="s">
        <v>51</v>
      </c>
      <c r="B27" s="340">
        <f t="shared" ref="B27:B42" si="7">SUM(C27,D27)</f>
        <v>1</v>
      </c>
      <c r="C27" s="340">
        <f>COUNTIFS('Liste AT'!$F$7:$F$165,$C$25,'Liste AT'!$Q$7:$Q$165,$A27)</f>
        <v>1</v>
      </c>
      <c r="D27" s="340">
        <f>COUNTIFS('Liste AT'!$F$7:$F$165,$D$25,'Liste AT'!$Q$7:$Q$165,$A27)</f>
        <v>0</v>
      </c>
      <c r="E27" s="340">
        <f>COUNTIFS('Liste AT'!$F$7:$F$165,$E$25,'Liste AT'!$Q$7:$Q$165,$A27)</f>
        <v>0</v>
      </c>
      <c r="F27" s="311" t="s">
        <v>566</v>
      </c>
      <c r="G27" s="250">
        <f>SUM(H27+I27)</f>
        <v>6</v>
      </c>
      <c r="H27" s="250">
        <f>SUM(COUNTIFS('Suivi des DPx'!$A$11:$A$105,"UO Relation client",'Suivi des DPx'!$AA$11:$AA$105,"OUI"))</f>
        <v>4</v>
      </c>
      <c r="I27" s="250">
        <f>SUM(COUNTIFS('Suivi des DPx'!$A$11:$A$105,"Siège",'Suivi des DPx'!$AA$11:$AA$105,"OUI"))</f>
        <v>2</v>
      </c>
      <c r="J27" s="523">
        <f>SUM(COUNTIFS('Suivi des DPx'!$A$11:$A$105,"Astreinteur hors DDL",'Suivi des DPx'!$AA$11:$AA$105,"OUI"))</f>
        <v>1</v>
      </c>
      <c r="K27" s="250">
        <f>SUM(COUNTIFS('Suivi des DPx'!$A$11:$A$105,"UP Traction",'Suivi des DPx'!$AA$11:$AA$105,"OUI"))</f>
        <v>0</v>
      </c>
      <c r="L27" s="495" t="s">
        <v>274</v>
      </c>
      <c r="M27" s="496">
        <f>COUNTIF('Suivi du PAS 2020'!$P$18:$P$20,"NON COMMENCEE")</f>
        <v>0</v>
      </c>
      <c r="N27" s="502">
        <f>M27/SUM($M$25:$M$27)</f>
        <v>0</v>
      </c>
      <c r="P27" s="246" t="s">
        <v>775</v>
      </c>
      <c r="Q27" s="247">
        <f>SUM(R27+S27)</f>
        <v>0</v>
      </c>
      <c r="R27" s="248">
        <f>SUM(COUNTIFS('Programmation et suivi VP&amp;Icare'!$L$2:$L$84,"Filière 27",'Programmation et suivi VP&amp;Icare'!$M$2:$M$84,"&gt;1",'Programmation et suivi VP&amp;Icare'!$B$2:$B$84,"UO Relation client"))</f>
        <v>0</v>
      </c>
      <c r="S27" s="248">
        <f>SUM(COUNTIFS('Programmation et suivi VP&amp;Icare'!$L$2:$L$84,"Filière 27",'Programmation et suivi VP&amp;Icare'!$M$2:$M$84,"&gt;1",'Programmation et suivi VP&amp;Icare'!$B$2:$B$84,"Siège"))</f>
        <v>0</v>
      </c>
      <c r="T27" s="248">
        <f>SUM(COUNTIFS('Programmation et suivi VP&amp;Icare'!$L$2:$L$84,"Filière 27",'Programmation et suivi VP&amp;Icare'!$M$2:$M$84,"&gt;1",'Programmation et suivi VP&amp;Icare'!$B$2:$B$84,"UP Traction"))</f>
        <v>0</v>
      </c>
    </row>
    <row r="28" spans="1:20" ht="18" customHeight="1" x14ac:dyDescent="0.25">
      <c r="A28" s="337" t="s">
        <v>61</v>
      </c>
      <c r="B28" s="340">
        <f t="shared" si="7"/>
        <v>0</v>
      </c>
      <c r="C28" s="340">
        <f>COUNTIFS('Liste AT'!$F$7:$F$165,$C$25,'Liste AT'!$Q$7:$Q$165,$A28)</f>
        <v>0</v>
      </c>
      <c r="D28" s="340">
        <f>COUNTIFS('Liste AT'!$F$7:$F$165,$D$25,'Liste AT'!$Q$7:$Q$165,$A28)</f>
        <v>0</v>
      </c>
      <c r="E28" s="340">
        <f>COUNTIFS('Liste AT'!$F$7:$F$165,$E$25,'Liste AT'!$Q$7:$Q$165,$A28)</f>
        <v>0</v>
      </c>
      <c r="F28" s="534" t="s">
        <v>744</v>
      </c>
      <c r="G28" s="535">
        <f>G27/$G$39</f>
        <v>0.1875</v>
      </c>
      <c r="H28" s="535">
        <f>H27/$H$39</f>
        <v>0.14814814814814814</v>
      </c>
      <c r="I28" s="535">
        <f>I27/$I$39</f>
        <v>0.4</v>
      </c>
      <c r="J28" s="535">
        <f>J27/$J$39</f>
        <v>0.125</v>
      </c>
      <c r="K28" s="535" t="e">
        <f>K27/$K$39</f>
        <v>#DIV/0!</v>
      </c>
      <c r="L28" s="499" t="s">
        <v>782</v>
      </c>
      <c r="M28" s="500" t="s">
        <v>768</v>
      </c>
      <c r="N28" s="501" t="s">
        <v>744</v>
      </c>
      <c r="P28" s="249" t="s">
        <v>776</v>
      </c>
      <c r="Q28" s="250">
        <f>SUM(R28+S28)</f>
        <v>0</v>
      </c>
      <c r="R28" s="251">
        <f>SUM(COUNTIFS('Programmation et suivi VP&amp;Icare'!$L$2:$L$84,"Filière 27",'Programmation et suivi VP&amp;Icare'!$N$2:$N$84,"&gt;1",'Programmation et suivi VP&amp;Icare'!$B$2:$B$84,"UO Relation client"))</f>
        <v>0</v>
      </c>
      <c r="S28" s="251">
        <f>SUM(COUNTIFS('Programmation et suivi VP&amp;Icare'!$L$2:$L$84,"Filière 27",'Programmation et suivi VP&amp;Icare'!$N$2:$N$84,"&gt;1",'Programmation et suivi VP&amp;Icare'!$B$2:$B$84,"Siège"))</f>
        <v>0</v>
      </c>
      <c r="T28" s="251">
        <f>SUM(COUNTIFS('Programmation et suivi VP&amp;Icare'!$L$2:$L$84,"Filière 27",'Programmation et suivi VP&amp;Icare'!$N$2:$N$84,"&gt;1",'Programmation et suivi VP&amp;Icare'!$B$2:$B$84,"UP Traction"))</f>
        <v>0</v>
      </c>
    </row>
    <row r="29" spans="1:20" ht="14.25" customHeight="1" x14ac:dyDescent="0.25">
      <c r="A29" s="338" t="s">
        <v>71</v>
      </c>
      <c r="B29" s="340">
        <f t="shared" si="7"/>
        <v>0</v>
      </c>
      <c r="C29" s="340">
        <f>COUNTIFS('Liste AT'!$F$7:$F$165,$C$25,'Liste AT'!$Q$7:$Q$165,$A29)</f>
        <v>0</v>
      </c>
      <c r="D29" s="340">
        <f>COUNTIFS('Liste AT'!$F$7:$F$165,$D$25,'Liste AT'!$Q$7:$Q$165,$A29)</f>
        <v>0</v>
      </c>
      <c r="E29" s="517">
        <f>COUNTIFS('Liste AT'!$F$7:$F$165,$E$25,'Liste AT'!$Q$7:$Q$165,$A29)</f>
        <v>0</v>
      </c>
      <c r="F29" s="536"/>
      <c r="G29" s="537"/>
      <c r="H29" s="537"/>
      <c r="I29" s="537"/>
      <c r="J29" s="537"/>
      <c r="K29" s="537"/>
      <c r="L29" s="515" t="s">
        <v>272</v>
      </c>
      <c r="M29" s="496">
        <f>COUNTIF('Suivi du PAS 2020'!$P$5:$P$6,"TERMINEE")</f>
        <v>1</v>
      </c>
      <c r="N29" s="502">
        <f>M29/SUM($M$29:$M$31)</f>
        <v>0.5</v>
      </c>
      <c r="P29" s="246" t="s">
        <v>744</v>
      </c>
      <c r="Q29" s="247" t="e">
        <f>Q28/Q27</f>
        <v>#DIV/0!</v>
      </c>
      <c r="R29" s="247" t="e">
        <f t="shared" ref="R29" si="8">R28/R27</f>
        <v>#DIV/0!</v>
      </c>
      <c r="S29" s="247" t="e">
        <f t="shared" ref="S29:T29" si="9">S28/S27</f>
        <v>#DIV/0!</v>
      </c>
      <c r="T29" s="247" t="e">
        <f t="shared" si="9"/>
        <v>#DIV/0!</v>
      </c>
    </row>
    <row r="30" spans="1:20" ht="30.75" customHeight="1" x14ac:dyDescent="0.25">
      <c r="A30" s="337" t="s">
        <v>64</v>
      </c>
      <c r="B30" s="340">
        <f t="shared" si="7"/>
        <v>0</v>
      </c>
      <c r="C30" s="340">
        <f>COUNTIFS('Liste AT'!$F$7:$F$165,$C$25,'Liste AT'!$Q$7:$Q$165,$A30)</f>
        <v>0</v>
      </c>
      <c r="D30" s="340">
        <f>COUNTIFS('Liste AT'!$F$7:$F$165,$D$25,'Liste AT'!$Q$7:$Q$165,$A30)</f>
        <v>0</v>
      </c>
      <c r="E30" s="517">
        <f>COUNTIFS('Liste AT'!$F$7:$F$165,$E$25,'Liste AT'!$Q$7:$Q$165,$A30)</f>
        <v>0</v>
      </c>
      <c r="F30" s="538"/>
      <c r="G30" s="537"/>
      <c r="H30" s="537"/>
      <c r="I30" s="537"/>
      <c r="J30" s="537"/>
      <c r="K30" s="537"/>
      <c r="L30" s="533" t="s">
        <v>273</v>
      </c>
      <c r="M30" s="498">
        <f>SUM(COUNTIF('Suivi du PAS 2020'!$P$5:$P$6,"20%"),COUNTIF('Suivi du PAS 2020'!$P$5:$P$6,"50%"),COUNTIF('Suivi du PAS 2020'!$P$5:$P$6,"80%"))</f>
        <v>0</v>
      </c>
      <c r="N30" s="503">
        <f>M30/SUM($M$29:$M$31)</f>
        <v>0</v>
      </c>
    </row>
    <row r="31" spans="1:20" ht="14.25" customHeight="1" x14ac:dyDescent="0.25">
      <c r="A31" s="338" t="s">
        <v>73</v>
      </c>
      <c r="B31" s="340">
        <f t="shared" si="7"/>
        <v>0</v>
      </c>
      <c r="C31" s="340">
        <f>COUNTIFS('Liste AT'!$F$7:$F$165,$C$25,'Liste AT'!$Q$7:$Q$165,$A31)</f>
        <v>0</v>
      </c>
      <c r="D31" s="340">
        <f>COUNTIFS('Liste AT'!$F$7:$F$165,$D$25,'Liste AT'!$Q$7:$Q$165,$A31)</f>
        <v>0</v>
      </c>
      <c r="E31" s="340">
        <f>COUNTIFS('Liste AT'!$F$7:$F$165,$E$25,'Liste AT'!$Q$7:$Q$165,$A31)</f>
        <v>0</v>
      </c>
      <c r="L31" s="495" t="s">
        <v>274</v>
      </c>
      <c r="M31" s="496">
        <f>COUNTIF('Suivi du PAS 2020'!$P$5:$P$6,"NON COMMENCEE")</f>
        <v>1</v>
      </c>
      <c r="N31" s="502">
        <f>M31/SUM($M$29:$M$31)</f>
        <v>0.5</v>
      </c>
    </row>
    <row r="32" spans="1:20" ht="15" customHeight="1" x14ac:dyDescent="0.25">
      <c r="A32" s="337" t="s">
        <v>77</v>
      </c>
      <c r="B32" s="340">
        <f t="shared" si="7"/>
        <v>0</v>
      </c>
      <c r="C32" s="340">
        <f>COUNTIFS('Liste AT'!$F$7:$F$165,$C$25,'Liste AT'!$Q$7:$Q$165,$A32)</f>
        <v>0</v>
      </c>
      <c r="D32" s="340">
        <f>COUNTIFS('Liste AT'!$F$7:$F$165,$D$25,'Liste AT'!$Q$7:$Q$165,$A32)</f>
        <v>0</v>
      </c>
      <c r="E32" s="340">
        <f>COUNTIFS('Liste AT'!$F$7:$F$165,$E$25,'Liste AT'!$Q$7:$Q$165,$A32)</f>
        <v>0</v>
      </c>
      <c r="F32" s="494"/>
      <c r="G32" s="494"/>
      <c r="H32" s="494"/>
      <c r="I32" s="494"/>
      <c r="K32" s="494"/>
      <c r="L32" s="514" t="s">
        <v>783</v>
      </c>
      <c r="M32" s="254" t="s">
        <v>768</v>
      </c>
      <c r="N32" s="255" t="s">
        <v>744</v>
      </c>
    </row>
    <row r="33" spans="1:14" ht="14.25" customHeight="1" x14ac:dyDescent="0.25">
      <c r="A33" s="338" t="s">
        <v>97</v>
      </c>
      <c r="B33" s="340">
        <f t="shared" si="7"/>
        <v>0</v>
      </c>
      <c r="C33" s="340">
        <f>COUNTIFS('Liste AT'!$F$7:$F$165,$C$25,'Liste AT'!$Q$7:$Q$165,$A33)</f>
        <v>0</v>
      </c>
      <c r="D33" s="340">
        <f>COUNTIFS('Liste AT'!$F$7:$F$165,$D$25,'Liste AT'!$Q$7:$Q$165,$A33)</f>
        <v>0</v>
      </c>
      <c r="E33" s="340">
        <f>COUNTIFS('Liste AT'!$F$7:$F$165,$E$25,'Liste AT'!$Q$7:$Q$165,$A33)</f>
        <v>0</v>
      </c>
      <c r="F33" s="494"/>
      <c r="G33" s="494"/>
      <c r="H33" s="494"/>
      <c r="I33" s="494"/>
      <c r="K33" s="494"/>
      <c r="L33" s="515" t="s">
        <v>272</v>
      </c>
      <c r="M33" s="247">
        <f>COUNTIF('Suivi du PAS 2020'!$P$23:$P$25,"TERMINEE")</f>
        <v>0</v>
      </c>
      <c r="N33" s="304">
        <f>M33/SUM($M$33:$M$35)</f>
        <v>0</v>
      </c>
    </row>
    <row r="34" spans="1:14" ht="26.25" customHeight="1" x14ac:dyDescent="0.25">
      <c r="A34" s="337" t="s">
        <v>304</v>
      </c>
      <c r="B34" s="340">
        <f t="shared" si="7"/>
        <v>0</v>
      </c>
      <c r="C34" s="340">
        <f>COUNTIFS('Liste AT'!$F$7:$F$165,$C$25,'Liste AT'!$Q$7:$Q$165,$A34)</f>
        <v>0</v>
      </c>
      <c r="D34" s="340">
        <f>COUNTIFS('Liste AT'!$F$7:$F$165,$D$25,'Liste AT'!$Q$7:$Q$165,$A34)</f>
        <v>0</v>
      </c>
      <c r="E34" s="517">
        <f>COUNTIFS('Liste AT'!$F$7:$F$165,$E$25,'Liste AT'!$Q$7:$Q$165,$A34)</f>
        <v>0</v>
      </c>
      <c r="L34" s="249" t="s">
        <v>273</v>
      </c>
      <c r="M34" s="250">
        <f>SUM(COUNTIF('Suivi du PAS 2020'!$P$23:$P$25,"20%"),COUNTIF('Suivi du PAS 2020'!$P$23:$P$25,"50%"),COUNTIF('Suivi du PAS 2020'!$P$23:$P$25,"80%"))</f>
        <v>2</v>
      </c>
      <c r="N34" s="305">
        <f>M34/SUM($M$33:$M$35)</f>
        <v>0.66666666666666663</v>
      </c>
    </row>
    <row r="35" spans="1:14" ht="22.5" customHeight="1" x14ac:dyDescent="0.25">
      <c r="A35" s="338" t="s">
        <v>98</v>
      </c>
      <c r="B35" s="340">
        <f t="shared" si="7"/>
        <v>0</v>
      </c>
      <c r="C35" s="340">
        <f>COUNTIFS('Liste AT'!$F$7:$F$165,$C$25,'Liste AT'!$Q$7:$Q$165,$A35)</f>
        <v>0</v>
      </c>
      <c r="D35" s="340">
        <f>COUNTIFS('Liste AT'!$F$7:$F$165,$D$25,'Liste AT'!$Q$7:$Q$165,$A35)</f>
        <v>0</v>
      </c>
      <c r="E35" s="517">
        <f>COUNTIFS('Liste AT'!$F$7:$F$165,$E$25,'Liste AT'!$Q$7:$Q$165,$A35)</f>
        <v>0</v>
      </c>
      <c r="L35" s="246" t="s">
        <v>274</v>
      </c>
      <c r="M35" s="247">
        <f>COUNTIF('Suivi du PAS 2020'!$P$23:$P$25,"NON COMMENCEE")</f>
        <v>1</v>
      </c>
      <c r="N35" s="304">
        <f>M35/SUM($M$33:$M$35)</f>
        <v>0.33333333333333331</v>
      </c>
    </row>
    <row r="36" spans="1:14" ht="14.25" customHeight="1" x14ac:dyDescent="0.25">
      <c r="A36" s="337" t="s">
        <v>343</v>
      </c>
      <c r="B36" s="340">
        <f t="shared" si="7"/>
        <v>0</v>
      </c>
      <c r="C36" s="340">
        <f>COUNTIFS('Liste AT'!$F$7:$F$165,$C$25,'Liste AT'!$Q$7:$Q$165,$A36)</f>
        <v>0</v>
      </c>
      <c r="D36" s="340">
        <f>COUNTIFS('Liste AT'!$F$7:$F$165,$D$25,'Liste AT'!$Q$7:$Q$165,$A36)</f>
        <v>0</v>
      </c>
      <c r="E36" s="340">
        <f>COUNTIFS('Liste AT'!$F$7:$F$165,$E$25,'Liste AT'!$Q$7:$Q$165,$A36)</f>
        <v>0</v>
      </c>
    </row>
    <row r="37" spans="1:14" ht="29.25" customHeight="1" x14ac:dyDescent="0.25">
      <c r="A37" s="338" t="s">
        <v>346</v>
      </c>
      <c r="B37" s="340">
        <f t="shared" si="7"/>
        <v>0</v>
      </c>
      <c r="C37" s="340">
        <f>COUNTIFS('Liste AT'!$F$7:$F$165,$C$25,'Liste AT'!$Q$7:$Q$165,$A37)</f>
        <v>0</v>
      </c>
      <c r="D37" s="340">
        <f>COUNTIFS('Liste AT'!$F$7:$F$165,$D$25,'Liste AT'!$Q$7:$Q$165,$A37)</f>
        <v>0</v>
      </c>
      <c r="E37" s="340">
        <f>COUNTIFS('Liste AT'!$F$7:$F$165,$E$25,'Liste AT'!$Q$7:$Q$165,$A37)</f>
        <v>0</v>
      </c>
    </row>
    <row r="38" spans="1:14" ht="37.5" customHeight="1" x14ac:dyDescent="0.25">
      <c r="A38" s="337" t="s">
        <v>100</v>
      </c>
      <c r="B38" s="340">
        <f t="shared" si="7"/>
        <v>0</v>
      </c>
      <c r="C38" s="340">
        <f>COUNTIFS('Liste AT'!$F$7:$F$165,$C$25,'Liste AT'!$Q$7:$Q$165,$A38)</f>
        <v>0</v>
      </c>
      <c r="D38" s="340">
        <f>COUNTIFS('Liste AT'!$F$7:$F$165,$D$25,'Liste AT'!$Q$7:$Q$165,$A38)</f>
        <v>0</v>
      </c>
      <c r="E38" s="340">
        <f>COUNTIFS('Liste AT'!$F$7:$F$165,$E$25,'Liste AT'!$Q$7:$Q$165,$A38)</f>
        <v>0</v>
      </c>
      <c r="F38" s="244" t="s">
        <v>790</v>
      </c>
      <c r="G38" s="245" t="s">
        <v>1334</v>
      </c>
      <c r="H38" s="484" t="s">
        <v>1278</v>
      </c>
      <c r="I38" s="485" t="s">
        <v>270</v>
      </c>
      <c r="J38" s="539" t="s">
        <v>1297</v>
      </c>
      <c r="K38" s="486" t="s">
        <v>1291</v>
      </c>
      <c r="L38" s="552" t="s">
        <v>785</v>
      </c>
      <c r="M38" s="552"/>
      <c r="N38" s="552"/>
    </row>
    <row r="39" spans="1:14" ht="14.25" customHeight="1" x14ac:dyDescent="0.25">
      <c r="A39" s="338" t="s">
        <v>99</v>
      </c>
      <c r="B39" s="340">
        <f t="shared" si="7"/>
        <v>0</v>
      </c>
      <c r="C39" s="340">
        <f>COUNTIFS('Liste AT'!$F$7:$F$165,$C$25,'Liste AT'!$Q$7:$Q$165,$A39)</f>
        <v>0</v>
      </c>
      <c r="D39" s="340">
        <f>COUNTIFS('Liste AT'!$F$7:$F$165,$D$25,'Liste AT'!$Q$7:$Q$165,$A39)</f>
        <v>0</v>
      </c>
      <c r="E39" s="340">
        <f>COUNTIFS('Liste AT'!$F$7:$F$165,$E$25,'Liste AT'!$Q$7:$Q$165,$A39)</f>
        <v>0</v>
      </c>
      <c r="F39" s="246" t="s">
        <v>791</v>
      </c>
      <c r="G39" s="247">
        <f>SUM(H39+I39)</f>
        <v>32</v>
      </c>
      <c r="H39" s="247">
        <f>SUM(COUNTIF('Suivi des DPx'!$A$11:$A$105,"UO Relation client"))</f>
        <v>27</v>
      </c>
      <c r="I39" s="247">
        <f>SUM(COUNTIF('Suivi des DPx'!$A$11:$A$105,"Siège"))</f>
        <v>5</v>
      </c>
      <c r="J39" s="496">
        <f>SUM(COUNTIF('Suivi des DPx'!$A$11:$A$105,"Astreinteur hors DDL"))</f>
        <v>8</v>
      </c>
      <c r="K39" s="247">
        <f>SUM(COUNTIF('Suivi des DPx'!$A$11:$A$105,"UP Traction"))</f>
        <v>0</v>
      </c>
      <c r="L39" s="253" t="s">
        <v>769</v>
      </c>
      <c r="M39" s="254" t="s">
        <v>768</v>
      </c>
      <c r="N39" s="255" t="s">
        <v>744</v>
      </c>
    </row>
    <row r="40" spans="1:14" ht="14.25" customHeight="1" x14ac:dyDescent="0.25">
      <c r="A40" s="337" t="s">
        <v>29</v>
      </c>
      <c r="B40" s="340">
        <f t="shared" si="7"/>
        <v>0</v>
      </c>
      <c r="C40" s="340">
        <f>COUNTIFS('Liste AT'!$F$7:$F$165,$C$25,'Liste AT'!$Q$7:$Q$165,$A40)</f>
        <v>0</v>
      </c>
      <c r="D40" s="340">
        <f>COUNTIFS('Liste AT'!$F$7:$F$165,$D$25,'Liste AT'!$Q$7:$Q$165,$A40)</f>
        <v>0</v>
      </c>
      <c r="E40" s="340">
        <f>COUNTIFS('Liste AT'!$F$7:$F$165,$E$25,'Liste AT'!$Q$7:$Q$165,$A40)</f>
        <v>0</v>
      </c>
      <c r="L40" s="246" t="s">
        <v>272</v>
      </c>
      <c r="M40" s="247">
        <f>COUNTIF('Plan Post Audit'!$P$6:$P$37,"TERMINEE")</f>
        <v>24</v>
      </c>
      <c r="N40" s="304">
        <f>M40/SUM($M$40:$M$42)</f>
        <v>0.77419354838709675</v>
      </c>
    </row>
    <row r="41" spans="1:14" ht="14.25" customHeight="1" x14ac:dyDescent="0.25">
      <c r="A41" s="338" t="s">
        <v>39</v>
      </c>
      <c r="B41" s="340">
        <f t="shared" si="7"/>
        <v>2</v>
      </c>
      <c r="C41" s="340">
        <f>COUNTIFS('Liste AT'!$F$7:$F$165,$C$25,'Liste AT'!$Q$7:$Q$165,$A41)</f>
        <v>2</v>
      </c>
      <c r="D41" s="340">
        <f>COUNTIFS('Liste AT'!$F$7:$F$165,$D$25,'Liste AT'!$Q$7:$Q$165,$A41)</f>
        <v>0</v>
      </c>
      <c r="E41" s="340">
        <f>COUNTIFS('Liste AT'!$F$7:$F$165,$E$25,'Liste AT'!$Q$7:$Q$165,$A41)</f>
        <v>0</v>
      </c>
      <c r="L41" s="249" t="s">
        <v>273</v>
      </c>
      <c r="M41" s="250">
        <f>COUNTIF('Plan Post Audit'!$P$6:$P$37,"EN COURS")</f>
        <v>5</v>
      </c>
      <c r="N41" s="305">
        <f>M41/SUM($M$40:$M$42)</f>
        <v>0.16129032258064516</v>
      </c>
    </row>
    <row r="42" spans="1:14" ht="14.25" customHeight="1" x14ac:dyDescent="0.25">
      <c r="A42" s="337" t="s">
        <v>402</v>
      </c>
      <c r="B42" s="340">
        <f t="shared" si="7"/>
        <v>0</v>
      </c>
      <c r="C42" s="340">
        <f>COUNTIFS('Liste AT'!$F$7:$F$165,$C$25,'Liste AT'!$Q$7:$Q$165,$A42)</f>
        <v>0</v>
      </c>
      <c r="D42" s="340">
        <f>COUNTIFS('Liste AT'!$F$7:$F$165,$D$25,'Liste AT'!$Q$7:$Q$165,$A42)</f>
        <v>0</v>
      </c>
      <c r="E42" s="340">
        <f>COUNTIFS('Liste AT'!$F$7:$F$165,$E$25,'Liste AT'!$Q$7:$Q$165,$A42)</f>
        <v>0</v>
      </c>
      <c r="L42" s="246" t="s">
        <v>274</v>
      </c>
      <c r="M42" s="247">
        <f>COUNTIF('Plan Post Audit'!$P$6:$P$37,"NON COMMENCEE")</f>
        <v>2</v>
      </c>
      <c r="N42" s="304">
        <f>M42/SUM($M$40:$M$42)</f>
        <v>6.4516129032258063E-2</v>
      </c>
    </row>
    <row r="43" spans="1:14" ht="14.25" customHeight="1" x14ac:dyDescent="0.25"/>
    <row r="44" spans="1:14" ht="14.25" customHeight="1" x14ac:dyDescent="0.25"/>
    <row r="45" spans="1:14" ht="14.25" customHeight="1" x14ac:dyDescent="0.25"/>
    <row r="46" spans="1:14" ht="14.25" customHeight="1" x14ac:dyDescent="0.25"/>
    <row r="47" spans="1:14" ht="14.25" customHeight="1" x14ac:dyDescent="0.25">
      <c r="A47" s="553" t="s">
        <v>765</v>
      </c>
      <c r="B47" s="553"/>
      <c r="C47" s="553"/>
      <c r="D47" s="553"/>
      <c r="E47" s="553"/>
    </row>
    <row r="48" spans="1:14" ht="45" customHeight="1" x14ac:dyDescent="0.25">
      <c r="A48" s="244" t="s">
        <v>763</v>
      </c>
      <c r="B48" s="245" t="s">
        <v>1334</v>
      </c>
      <c r="C48" s="484" t="s">
        <v>1278</v>
      </c>
      <c r="D48" s="528" t="s">
        <v>270</v>
      </c>
      <c r="E48" s="529" t="s">
        <v>1291</v>
      </c>
    </row>
    <row r="49" spans="1:5" ht="14.25" customHeight="1" x14ac:dyDescent="0.25">
      <c r="A49" s="246" t="s">
        <v>796</v>
      </c>
      <c r="B49" s="247">
        <f ca="1">SUM(C49,D49)</f>
        <v>6</v>
      </c>
      <c r="C49" s="247">
        <f ca="1">COUNTIFS('Liste AT'!$F$7:$F$165,C$48,'Liste AT'!$I$7:$I$165,CONCATENATE("&gt;=","01/",MONTH(TODAY()),"/",YEAR(TODAY())))</f>
        <v>5</v>
      </c>
      <c r="D49" s="248">
        <f ca="1">COUNTIFS('Liste AT'!$F$7:$F$165,D$48,'Liste AT'!$I$7:$I$165,CONCATENATE("&gt;=","01/",MONTH(TODAY()),"/",YEAR(TODAY())))</f>
        <v>1</v>
      </c>
      <c r="E49" s="248">
        <f ca="1">COUNTIFS('Liste AT'!$F$7:$F$165,E$48,'Liste AT'!$I$7:$I$165,CONCATENATE("&gt;=","01/",MONTH(TODAY()),"/",YEAR(TODAY())))</f>
        <v>0</v>
      </c>
    </row>
    <row r="50" spans="1:5" ht="14.25" customHeight="1" x14ac:dyDescent="0.25">
      <c r="A50" s="249" t="s">
        <v>766</v>
      </c>
      <c r="B50" s="251">
        <f ca="1">SUM(C50,D50)</f>
        <v>2</v>
      </c>
      <c r="C50" s="251">
        <f ca="1">COUNTIFS('Liste AT'!$F$7:$F$165,C$48,'Liste AT'!$I$7:$I$165,CONCATENATE("&gt;=","01/",MONTH(TODAY()),"/",YEAR(TODAY())),'Liste AT'!$K$7:$K$165,"trajet")</f>
        <v>1</v>
      </c>
      <c r="D50" s="251">
        <f ca="1">COUNTIFS('Liste AT'!$F$7:$F$165,D$48,'Liste AT'!$I$7:$I$165,CONCATENATE("&gt;=","01/",MONTH(TODAY()),"/",YEAR(TODAY())),'Liste AT'!$K$7:$K$165,"trajet")</f>
        <v>1</v>
      </c>
      <c r="E50" s="251">
        <f ca="1">COUNTIFS('Liste AT'!$F$7:$F$165,E$48,'Liste AT'!$I$7:$I$165,CONCATENATE("&gt;=","01/",MONTH(TODAY()),"/",YEAR(TODAY())),'Liste AT'!$K$7:$K$165,"trajet")</f>
        <v>0</v>
      </c>
    </row>
    <row r="51" spans="1:5" ht="14.25" customHeight="1" x14ac:dyDescent="0.25">
      <c r="A51" s="246" t="s">
        <v>759</v>
      </c>
      <c r="B51" s="251">
        <f t="shared" ref="B51:B52" ca="1" si="10">SUM(C51,D51)</f>
        <v>2</v>
      </c>
      <c r="C51" s="248">
        <f ca="1">COUNTIFS('Liste AT'!$F$7:$F$165,C$48,'Liste AT'!$I$7:$I$165,CONCATENATE("&gt;=","01/",MONTH(TODAY()),"/",YEAR(TODAY())),'Liste AT'!$L$7:$L$165,"avec arrêt")</f>
        <v>2</v>
      </c>
      <c r="D51" s="248">
        <f ca="1">COUNTIFS('Liste AT'!$F$7:$F$165,D$48,'Liste AT'!$I$7:$I$165,CONCATENATE("&gt;=","01/",MONTH(TODAY()),"/",YEAR(TODAY())),'Liste AT'!$L$7:$L$165,"avec arrêt")</f>
        <v>0</v>
      </c>
      <c r="E51" s="248">
        <f ca="1">COUNTIFS('Liste AT'!$F$7:$F$165,E$48,'Liste AT'!$I$7:$I$165,CONCATENATE("&gt;=","01/",MONTH(TODAY()),"/",YEAR(TODAY())),'Liste AT'!$L$7:$L$165,"avec arrêt")</f>
        <v>0</v>
      </c>
    </row>
    <row r="52" spans="1:5" ht="14.25" customHeight="1" x14ac:dyDescent="0.25">
      <c r="A52" s="249" t="s">
        <v>760</v>
      </c>
      <c r="B52" s="251">
        <f t="shared" ca="1" si="10"/>
        <v>15</v>
      </c>
      <c r="C52" s="250">
        <f ca="1">SUMIFS('Liste AT'!$O$7:$O$165,'Liste AT'!$I$7:$I$165,CONCATENATE("&gt;=","01/",MONTH(TODAY()),"/",YEAR(TODAY())),'Liste AT'!$F$7:$F$165,C48)</f>
        <v>15</v>
      </c>
      <c r="D52" s="250">
        <f ca="1">SUMIFS('Liste AT'!$O$7:$O$165,'Liste AT'!$I$7:$I$165,CONCATENATE("&gt;=","01/",MONTH(TODAY()),"/",YEAR(TODAY())),'Liste AT'!$F$7:$F$165,D48)</f>
        <v>0</v>
      </c>
      <c r="E52" s="250">
        <f ca="1">SUMIFS('Liste AT'!$O$7:$O$165,'Liste AT'!$I$7:$I$165,CONCATENATE("&gt;=","01/",MONTH(TODAY()),"/",YEAR(TODAY())),'Liste AT'!$F$7:$F$165,E48)</f>
        <v>0</v>
      </c>
    </row>
    <row r="53" spans="1:5" ht="14.25" customHeight="1" x14ac:dyDescent="0.25"/>
    <row r="54" spans="1:5" ht="14.25" customHeight="1" x14ac:dyDescent="0.25"/>
    <row r="55" spans="1:5" ht="14.25" customHeight="1" x14ac:dyDescent="0.25"/>
    <row r="56" spans="1:5" ht="14.25" customHeight="1" x14ac:dyDescent="0.25"/>
    <row r="57" spans="1:5" ht="14.25" customHeight="1" x14ac:dyDescent="0.25"/>
    <row r="58" spans="1:5" ht="14.25" customHeight="1" x14ac:dyDescent="0.25"/>
    <row r="59" spans="1:5" ht="14.25" customHeight="1" x14ac:dyDescent="0.25"/>
    <row r="60" spans="1:5" ht="14.25" customHeight="1" x14ac:dyDescent="0.25"/>
    <row r="61" spans="1:5" ht="14.25" customHeight="1" x14ac:dyDescent="0.25"/>
    <row r="62" spans="1:5" ht="14.25" customHeight="1" x14ac:dyDescent="0.25"/>
    <row r="63" spans="1:5" ht="14.25" customHeight="1" x14ac:dyDescent="0.25"/>
    <row r="64" spans="1:5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</sheetData>
  <mergeCells count="8">
    <mergeCell ref="P16:T16"/>
    <mergeCell ref="L38:N38"/>
    <mergeCell ref="A5:E5"/>
    <mergeCell ref="A47:E47"/>
    <mergeCell ref="L8:N8"/>
    <mergeCell ref="L19:N19"/>
    <mergeCell ref="F5:K5"/>
    <mergeCell ref="P8:T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Y25" activePane="bottomRight" state="frozen"/>
      <selection activeCell="A4" sqref="A4"/>
      <selection pane="topRight" activeCell="D4" sqref="D4"/>
      <selection pane="bottomLeft" activeCell="A7" sqref="A7"/>
      <selection pane="bottomRight" activeCell="AD53" sqref="AD53"/>
    </sheetView>
  </sheetViews>
  <sheetFormatPr baseColWidth="10" defaultRowHeight="12.75" x14ac:dyDescent="0.2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 x14ac:dyDescent="0.25">
      <c r="AQ1" s="37"/>
      <c r="AR1" s="46" t="s">
        <v>553</v>
      </c>
    </row>
    <row r="2" spans="1:44" ht="30" x14ac:dyDescent="0.25">
      <c r="A2" s="560" t="s">
        <v>813</v>
      </c>
      <c r="B2" s="560"/>
      <c r="C2" s="560"/>
      <c r="AQ2" s="37" t="s">
        <v>574</v>
      </c>
      <c r="AR2" s="46">
        <f>COUNTIF(A11:A105, "TER MIXTE")</f>
        <v>0</v>
      </c>
    </row>
    <row r="3" spans="1:44" x14ac:dyDescent="0.25">
      <c r="AQ3" s="37" t="s">
        <v>573</v>
      </c>
      <c r="AR3" s="46">
        <f>COUNTIF(A11:A105, "TER ESCALE EST")</f>
        <v>0</v>
      </c>
    </row>
    <row r="4" spans="1:44" x14ac:dyDescent="0.25">
      <c r="A4" s="561" t="s">
        <v>291</v>
      </c>
      <c r="B4" s="561"/>
      <c r="C4" s="561"/>
      <c r="AQ4" s="43" t="s">
        <v>799</v>
      </c>
      <c r="AR4" s="46">
        <v>11</v>
      </c>
    </row>
    <row r="5" spans="1:44" ht="24.75" customHeight="1" x14ac:dyDescent="0.25">
      <c r="A5" s="561"/>
      <c r="B5" s="561"/>
      <c r="C5" s="561"/>
      <c r="E5" s="562" t="s">
        <v>254</v>
      </c>
      <c r="F5" s="562"/>
      <c r="G5" s="562"/>
      <c r="H5" s="562"/>
      <c r="I5" s="562"/>
      <c r="J5" s="562"/>
      <c r="K5" s="562"/>
      <c r="L5" s="562"/>
      <c r="M5" s="562"/>
      <c r="N5" s="562"/>
      <c r="O5" s="562"/>
      <c r="P5" s="562"/>
      <c r="Q5" s="562"/>
      <c r="R5" s="562"/>
      <c r="S5" s="563"/>
      <c r="T5" s="563"/>
      <c r="U5" s="563"/>
      <c r="V5" s="563"/>
      <c r="W5" s="563"/>
      <c r="X5" s="563"/>
      <c r="Y5" s="563"/>
      <c r="Z5" s="563"/>
      <c r="AA5" s="563"/>
      <c r="AB5" s="563"/>
      <c r="AC5" s="563"/>
      <c r="AD5" s="563"/>
      <c r="AE5" s="563"/>
      <c r="AF5" s="559" t="s">
        <v>916</v>
      </c>
      <c r="AG5" s="559"/>
      <c r="AH5" s="559"/>
      <c r="AI5" s="559"/>
      <c r="AJ5" s="559"/>
      <c r="AK5" s="559"/>
      <c r="AL5" s="559"/>
      <c r="AM5" s="559"/>
      <c r="AN5" s="559"/>
      <c r="AO5" s="559"/>
      <c r="AQ5" s="38" t="s">
        <v>256</v>
      </c>
      <c r="AR5" s="45">
        <f>COUNTIF(A11:A105, "SIEGE")</f>
        <v>0</v>
      </c>
    </row>
    <row r="6" spans="1:44" ht="31.5" customHeight="1" x14ac:dyDescent="0.25">
      <c r="E6" s="564" t="s">
        <v>1338</v>
      </c>
      <c r="F6" s="565"/>
      <c r="G6" s="566" t="s">
        <v>536</v>
      </c>
      <c r="H6" s="567"/>
      <c r="I6" s="566" t="s">
        <v>250</v>
      </c>
      <c r="J6" s="567"/>
      <c r="K6" s="568" t="s">
        <v>248</v>
      </c>
      <c r="L6" s="568"/>
      <c r="M6" s="568" t="s">
        <v>267</v>
      </c>
      <c r="N6" s="568"/>
      <c r="O6" s="566" t="s">
        <v>835</v>
      </c>
      <c r="P6" s="567"/>
      <c r="Q6" s="566" t="s">
        <v>245</v>
      </c>
      <c r="R6" s="567"/>
      <c r="S6" s="566" t="s">
        <v>733</v>
      </c>
      <c r="T6" s="567"/>
      <c r="U6" s="566" t="s">
        <v>555</v>
      </c>
      <c r="V6" s="567"/>
      <c r="W6" s="576" t="s">
        <v>1332</v>
      </c>
      <c r="X6" s="576"/>
      <c r="Y6" s="579" t="s">
        <v>1333</v>
      </c>
      <c r="Z6" s="579"/>
      <c r="AA6" s="574" t="s">
        <v>556</v>
      </c>
      <c r="AB6" s="575"/>
      <c r="AC6" s="574" t="s">
        <v>862</v>
      </c>
      <c r="AD6" s="575"/>
      <c r="AE6" s="92" t="s">
        <v>242</v>
      </c>
      <c r="AF6" s="569" t="s">
        <v>535</v>
      </c>
      <c r="AG6" s="570"/>
      <c r="AH6" s="571" t="s">
        <v>557</v>
      </c>
      <c r="AI6" s="570"/>
      <c r="AJ6" s="571" t="s">
        <v>536</v>
      </c>
      <c r="AK6" s="570"/>
      <c r="AL6" s="577" t="s">
        <v>537</v>
      </c>
      <c r="AM6" s="578"/>
      <c r="AN6" s="369" t="s">
        <v>541</v>
      </c>
      <c r="AO6" s="454" t="s">
        <v>964</v>
      </c>
      <c r="AP6" s="209"/>
      <c r="AQ6" s="93" t="s">
        <v>805</v>
      </c>
      <c r="AR6" s="46">
        <v>2</v>
      </c>
    </row>
    <row r="7" spans="1:44" ht="12.75" customHeight="1" x14ac:dyDescent="0.25">
      <c r="A7" s="118" t="s">
        <v>16</v>
      </c>
      <c r="B7" s="119" t="s">
        <v>13</v>
      </c>
      <c r="C7" s="119" t="s">
        <v>14</v>
      </c>
      <c r="D7" s="119" t="s">
        <v>266</v>
      </c>
      <c r="E7" s="118" t="s">
        <v>243</v>
      </c>
      <c r="F7" s="120" t="s">
        <v>17</v>
      </c>
      <c r="G7" s="120" t="s">
        <v>243</v>
      </c>
      <c r="H7" s="120" t="s">
        <v>17</v>
      </c>
      <c r="I7" s="118" t="s">
        <v>243</v>
      </c>
      <c r="J7" s="121" t="s">
        <v>17</v>
      </c>
      <c r="K7" s="118" t="s">
        <v>243</v>
      </c>
      <c r="L7" s="121" t="s">
        <v>17</v>
      </c>
      <c r="M7" s="121" t="s">
        <v>243</v>
      </c>
      <c r="N7" s="121" t="s">
        <v>17</v>
      </c>
      <c r="O7" s="121" t="s">
        <v>243</v>
      </c>
      <c r="P7" s="121" t="s">
        <v>17</v>
      </c>
      <c r="Q7" s="121" t="s">
        <v>243</v>
      </c>
      <c r="R7" s="121" t="s">
        <v>17</v>
      </c>
      <c r="S7" s="121" t="s">
        <v>243</v>
      </c>
      <c r="T7" s="121" t="s">
        <v>17</v>
      </c>
      <c r="U7" s="121" t="s">
        <v>243</v>
      </c>
      <c r="V7" s="121" t="s">
        <v>17</v>
      </c>
      <c r="W7" s="122" t="s">
        <v>243</v>
      </c>
      <c r="X7" s="122" t="s">
        <v>17</v>
      </c>
      <c r="Y7" s="122"/>
      <c r="Z7" s="122"/>
      <c r="AA7" s="122" t="s">
        <v>243</v>
      </c>
      <c r="AB7" s="122" t="s">
        <v>17</v>
      </c>
      <c r="AC7" s="122" t="s">
        <v>243</v>
      </c>
      <c r="AD7" s="122" t="s">
        <v>17</v>
      </c>
      <c r="AE7" s="122" t="s">
        <v>265</v>
      </c>
      <c r="AF7" s="123" t="s">
        <v>243</v>
      </c>
      <c r="AG7" s="120" t="s">
        <v>17</v>
      </c>
      <c r="AH7" s="123" t="s">
        <v>243</v>
      </c>
      <c r="AI7" s="120" t="s">
        <v>751</v>
      </c>
      <c r="AJ7" s="124" t="s">
        <v>243</v>
      </c>
      <c r="AK7" s="120" t="s">
        <v>17</v>
      </c>
      <c r="AL7" s="124" t="s">
        <v>243</v>
      </c>
      <c r="AM7" s="125" t="s">
        <v>17</v>
      </c>
      <c r="AN7" s="126" t="s">
        <v>541</v>
      </c>
      <c r="AO7" s="126" t="s">
        <v>243</v>
      </c>
      <c r="AQ7" s="368" t="s">
        <v>755</v>
      </c>
      <c r="AR7" s="46">
        <f xml:space="preserve"> SUM(AR2:AR6)</f>
        <v>13</v>
      </c>
    </row>
    <row r="8" spans="1:44" ht="16.5" customHeight="1" x14ac:dyDescent="0.25">
      <c r="A8" s="37" t="s">
        <v>1278</v>
      </c>
      <c r="B8" s="179" t="s">
        <v>908</v>
      </c>
      <c r="C8" s="179" t="s">
        <v>909</v>
      </c>
      <c r="D8" s="178" t="s">
        <v>1313</v>
      </c>
      <c r="E8" s="43" t="s">
        <v>239</v>
      </c>
      <c r="F8" s="175"/>
      <c r="G8" s="43" t="s">
        <v>239</v>
      </c>
      <c r="H8" s="175"/>
      <c r="I8" s="43" t="s">
        <v>239</v>
      </c>
      <c r="J8" s="175"/>
      <c r="K8" s="43" t="s">
        <v>239</v>
      </c>
      <c r="L8" s="175"/>
      <c r="M8" s="44" t="s">
        <v>241</v>
      </c>
      <c r="N8" s="175">
        <v>43487</v>
      </c>
      <c r="O8" s="44" t="s">
        <v>239</v>
      </c>
      <c r="P8" s="175"/>
      <c r="Q8" s="44" t="s">
        <v>241</v>
      </c>
      <c r="R8" s="175">
        <v>39013</v>
      </c>
      <c r="S8" s="175"/>
      <c r="T8" s="175"/>
      <c r="U8" s="44" t="s">
        <v>239</v>
      </c>
      <c r="V8" s="95"/>
      <c r="W8" s="44" t="s">
        <v>239</v>
      </c>
      <c r="X8" s="175"/>
      <c r="Y8" s="175"/>
      <c r="Z8" s="175"/>
      <c r="AA8" s="44" t="s">
        <v>239</v>
      </c>
      <c r="AB8" s="95"/>
      <c r="AC8" s="44" t="s">
        <v>239</v>
      </c>
      <c r="AD8" s="95"/>
      <c r="AE8" s="320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21">
        <f>COUNTIF('Liste AT'!$E$7:$E$31, "Siège UO TER OUEST")</f>
        <v>0</v>
      </c>
      <c r="AO8" s="37"/>
    </row>
    <row r="9" spans="1:44" ht="16.5" customHeight="1" x14ac:dyDescent="0.25">
      <c r="A9" s="37" t="s">
        <v>1278</v>
      </c>
      <c r="B9" s="178" t="s">
        <v>263</v>
      </c>
      <c r="C9" s="178" t="s">
        <v>262</v>
      </c>
      <c r="D9" s="178" t="s">
        <v>1314</v>
      </c>
      <c r="E9" s="43" t="s">
        <v>241</v>
      </c>
      <c r="F9" s="175">
        <v>41059</v>
      </c>
      <c r="G9" s="43" t="s">
        <v>241</v>
      </c>
      <c r="H9" s="176">
        <v>41452</v>
      </c>
      <c r="I9" s="43" t="s">
        <v>239</v>
      </c>
      <c r="J9" s="175"/>
      <c r="K9" s="43" t="s">
        <v>239</v>
      </c>
      <c r="L9" s="175"/>
      <c r="M9" s="44" t="s">
        <v>239</v>
      </c>
      <c r="N9" s="175"/>
      <c r="O9" s="44" t="s">
        <v>239</v>
      </c>
      <c r="P9" s="175"/>
      <c r="Q9" s="44" t="s">
        <v>241</v>
      </c>
      <c r="R9" s="175">
        <v>2005</v>
      </c>
      <c r="S9" s="175" t="s">
        <v>241</v>
      </c>
      <c r="T9" s="175">
        <v>42549</v>
      </c>
      <c r="U9" s="44" t="s">
        <v>241</v>
      </c>
      <c r="V9" s="95">
        <v>42635</v>
      </c>
      <c r="W9" s="44" t="s">
        <v>241</v>
      </c>
      <c r="X9" s="175">
        <v>42053</v>
      </c>
      <c r="Y9" s="175"/>
      <c r="Z9" s="175"/>
      <c r="AA9" s="44" t="s">
        <v>241</v>
      </c>
      <c r="AB9" s="175">
        <v>39127</v>
      </c>
      <c r="AC9" s="44" t="s">
        <v>241</v>
      </c>
      <c r="AD9" s="175">
        <v>41613</v>
      </c>
      <c r="AE9" s="320">
        <f t="shared" si="0"/>
        <v>0.33333333333333331</v>
      </c>
      <c r="AF9" s="37" t="s">
        <v>239</v>
      </c>
      <c r="AG9" s="177"/>
      <c r="AH9" s="37" t="s">
        <v>239</v>
      </c>
      <c r="AI9" s="95"/>
      <c r="AJ9" s="37" t="s">
        <v>241</v>
      </c>
      <c r="AK9" s="42">
        <v>41381</v>
      </c>
      <c r="AL9" s="37" t="s">
        <v>241</v>
      </c>
      <c r="AM9" s="42">
        <v>41459</v>
      </c>
      <c r="AN9" s="321"/>
      <c r="AO9" s="37" t="s">
        <v>241</v>
      </c>
    </row>
    <row r="10" spans="1:44" ht="26.25" customHeight="1" x14ac:dyDescent="0.25">
      <c r="A10" s="474" t="s">
        <v>1297</v>
      </c>
      <c r="B10" s="179" t="s">
        <v>905</v>
      </c>
      <c r="C10" s="179" t="s">
        <v>906</v>
      </c>
      <c r="D10" s="178" t="s">
        <v>1315</v>
      </c>
      <c r="E10" s="43" t="s">
        <v>239</v>
      </c>
      <c r="F10" s="175"/>
      <c r="G10" s="43" t="s">
        <v>239</v>
      </c>
      <c r="H10" s="175"/>
      <c r="I10" s="43" t="s">
        <v>239</v>
      </c>
      <c r="J10" s="175"/>
      <c r="K10" s="43" t="s">
        <v>239</v>
      </c>
      <c r="L10" s="175"/>
      <c r="M10" s="44" t="s">
        <v>241</v>
      </c>
      <c r="N10" s="175">
        <v>43280</v>
      </c>
      <c r="O10" s="44" t="s">
        <v>241</v>
      </c>
      <c r="P10" s="175">
        <v>43697</v>
      </c>
      <c r="Q10" s="44" t="s">
        <v>239</v>
      </c>
      <c r="R10" s="175"/>
      <c r="S10" s="175"/>
      <c r="T10" s="175"/>
      <c r="U10" s="44" t="s">
        <v>241</v>
      </c>
      <c r="V10" s="95">
        <v>42810</v>
      </c>
      <c r="W10" s="44" t="s">
        <v>241</v>
      </c>
      <c r="X10" s="175">
        <v>43384</v>
      </c>
      <c r="Y10" s="175"/>
      <c r="Z10" s="175"/>
      <c r="AA10" s="44" t="s">
        <v>239</v>
      </c>
      <c r="AB10" s="95"/>
      <c r="AC10" s="44" t="s">
        <v>241</v>
      </c>
      <c r="AD10" s="95">
        <v>42894</v>
      </c>
      <c r="AE10" s="320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19"/>
      <c r="AN10" s="321"/>
      <c r="AO10" s="37"/>
    </row>
    <row r="11" spans="1:44" ht="16.5" customHeight="1" x14ac:dyDescent="0.25">
      <c r="A11" s="38" t="s">
        <v>1278</v>
      </c>
      <c r="B11" s="178" t="s">
        <v>264</v>
      </c>
      <c r="C11" s="178" t="s">
        <v>75</v>
      </c>
      <c r="D11" s="179" t="s">
        <v>1316</v>
      </c>
      <c r="E11" s="43" t="s">
        <v>241</v>
      </c>
      <c r="F11" s="175">
        <v>41422</v>
      </c>
      <c r="G11" s="43" t="s">
        <v>241</v>
      </c>
      <c r="H11" s="175">
        <v>41422</v>
      </c>
      <c r="I11" s="43" t="s">
        <v>241</v>
      </c>
      <c r="J11" s="175">
        <v>41422</v>
      </c>
      <c r="K11" s="43" t="s">
        <v>241</v>
      </c>
      <c r="L11" s="175">
        <v>41241</v>
      </c>
      <c r="M11" s="44" t="s">
        <v>241</v>
      </c>
      <c r="N11" s="175">
        <v>43217</v>
      </c>
      <c r="O11" s="44" t="s">
        <v>241</v>
      </c>
      <c r="P11" s="175">
        <v>41591</v>
      </c>
      <c r="Q11" s="44" t="s">
        <v>241</v>
      </c>
      <c r="R11" s="175">
        <v>42823</v>
      </c>
      <c r="S11" s="175"/>
      <c r="T11" s="175"/>
      <c r="U11" s="44" t="s">
        <v>239</v>
      </c>
      <c r="V11" s="95"/>
      <c r="W11" s="44" t="s">
        <v>241</v>
      </c>
      <c r="X11" s="175">
        <v>43202</v>
      </c>
      <c r="Y11" s="175"/>
      <c r="Z11" s="175"/>
      <c r="AA11" s="44" t="s">
        <v>255</v>
      </c>
      <c r="AB11" s="95"/>
      <c r="AC11" s="44" t="s">
        <v>241</v>
      </c>
      <c r="AD11" s="95">
        <v>42902</v>
      </c>
      <c r="AE11" s="320">
        <f t="shared" si="0"/>
        <v>0.1</v>
      </c>
      <c r="AF11" s="37" t="s">
        <v>241</v>
      </c>
      <c r="AG11" s="175">
        <v>43395</v>
      </c>
      <c r="AH11" s="37" t="s">
        <v>239</v>
      </c>
      <c r="AI11" s="95"/>
      <c r="AJ11" s="37" t="s">
        <v>241</v>
      </c>
      <c r="AK11" s="42">
        <v>41584</v>
      </c>
      <c r="AL11" s="37" t="s">
        <v>241</v>
      </c>
      <c r="AM11" s="42">
        <v>41491</v>
      </c>
      <c r="AN11" s="321">
        <f>COUNTIF('Liste AT'!$E$7:$E$31, "CPH Cannes la Bocca - Grasse")</f>
        <v>0</v>
      </c>
      <c r="AO11" s="37" t="s">
        <v>241</v>
      </c>
      <c r="AQ11" s="368" t="s">
        <v>850</v>
      </c>
      <c r="AR11" s="46">
        <f xml:space="preserve"> SUM(AR2:AR3,AR4,AR6)</f>
        <v>13</v>
      </c>
    </row>
    <row r="12" spans="1:44" ht="16.5" customHeight="1" x14ac:dyDescent="0.25">
      <c r="A12" s="38" t="s">
        <v>1278</v>
      </c>
      <c r="B12" s="178" t="s">
        <v>739</v>
      </c>
      <c r="C12" s="178" t="s">
        <v>259</v>
      </c>
      <c r="D12" s="178" t="s">
        <v>1317</v>
      </c>
      <c r="E12" s="43" t="s">
        <v>241</v>
      </c>
      <c r="F12" s="175">
        <v>40626</v>
      </c>
      <c r="G12" s="43" t="s">
        <v>241</v>
      </c>
      <c r="H12" s="176">
        <v>40626</v>
      </c>
      <c r="I12" s="43" t="s">
        <v>241</v>
      </c>
      <c r="J12" s="175">
        <v>41310</v>
      </c>
      <c r="K12" s="43" t="s">
        <v>241</v>
      </c>
      <c r="L12" s="175">
        <v>41241</v>
      </c>
      <c r="M12" s="44" t="s">
        <v>241</v>
      </c>
      <c r="N12" s="175">
        <v>43370</v>
      </c>
      <c r="O12" s="44" t="s">
        <v>241</v>
      </c>
      <c r="P12" s="175">
        <v>41662</v>
      </c>
      <c r="Q12" s="44" t="s">
        <v>241</v>
      </c>
      <c r="R12" s="175">
        <v>39989</v>
      </c>
      <c r="S12" s="175" t="s">
        <v>241</v>
      </c>
      <c r="T12" s="175">
        <v>42502</v>
      </c>
      <c r="U12" s="44" t="s">
        <v>241</v>
      </c>
      <c r="V12" s="95">
        <v>42502</v>
      </c>
      <c r="W12" s="44" t="s">
        <v>239</v>
      </c>
      <c r="X12" s="175"/>
      <c r="Y12" s="175"/>
      <c r="Z12" s="175"/>
      <c r="AA12" s="44" t="s">
        <v>255</v>
      </c>
      <c r="AB12" s="95"/>
      <c r="AC12" s="44" t="s">
        <v>241</v>
      </c>
      <c r="AD12" s="95">
        <v>43188</v>
      </c>
      <c r="AE12" s="320">
        <f t="shared" si="0"/>
        <v>9.0909090909090912E-2</v>
      </c>
      <c r="AF12" s="37" t="s">
        <v>239</v>
      </c>
      <c r="AG12" s="175"/>
      <c r="AH12" s="37" t="s">
        <v>239</v>
      </c>
      <c r="AI12" s="95"/>
      <c r="AJ12" s="37" t="s">
        <v>239</v>
      </c>
      <c r="AK12" s="42"/>
      <c r="AL12" s="37" t="s">
        <v>239</v>
      </c>
      <c r="AM12" s="42"/>
      <c r="AN12" s="321">
        <f>COUNTIF('Liste AT'!$E$7:$E$31, "Les Arcs-Fréjus Auto Train")</f>
        <v>0</v>
      </c>
      <c r="AO12" s="37" t="s">
        <v>241</v>
      </c>
    </row>
    <row r="13" spans="1:44" ht="16.5" customHeight="1" x14ac:dyDescent="0.25">
      <c r="A13" s="38" t="s">
        <v>1278</v>
      </c>
      <c r="B13" s="178" t="s">
        <v>589</v>
      </c>
      <c r="C13" s="179" t="s">
        <v>542</v>
      </c>
      <c r="D13" s="178" t="s">
        <v>912</v>
      </c>
      <c r="E13" s="43" t="s">
        <v>241</v>
      </c>
      <c r="F13" s="175">
        <v>39380</v>
      </c>
      <c r="G13" s="43" t="s">
        <v>241</v>
      </c>
      <c r="H13" s="175">
        <v>39380</v>
      </c>
      <c r="I13" s="43" t="s">
        <v>239</v>
      </c>
      <c r="J13" s="177"/>
      <c r="K13" s="43" t="s">
        <v>239</v>
      </c>
      <c r="L13" s="175"/>
      <c r="M13" s="44" t="s">
        <v>241</v>
      </c>
      <c r="N13" s="175">
        <v>43487</v>
      </c>
      <c r="O13" s="44" t="s">
        <v>239</v>
      </c>
      <c r="P13" s="175"/>
      <c r="Q13" s="44" t="s">
        <v>241</v>
      </c>
      <c r="R13" s="175">
        <v>41074</v>
      </c>
      <c r="S13" s="175" t="s">
        <v>241</v>
      </c>
      <c r="T13" s="175">
        <v>42549</v>
      </c>
      <c r="U13" s="44" t="s">
        <v>241</v>
      </c>
      <c r="V13" s="95">
        <v>42817</v>
      </c>
      <c r="W13" s="44" t="s">
        <v>241</v>
      </c>
      <c r="X13" s="175">
        <v>42114</v>
      </c>
      <c r="Y13" s="175"/>
      <c r="Z13" s="175"/>
      <c r="AA13" s="44" t="s">
        <v>241</v>
      </c>
      <c r="AB13" s="175">
        <v>39246</v>
      </c>
      <c r="AC13" s="44" t="s">
        <v>241</v>
      </c>
      <c r="AD13" s="175">
        <v>43188</v>
      </c>
      <c r="AE13" s="320">
        <f t="shared" si="0"/>
        <v>0.25</v>
      </c>
      <c r="AF13" s="37" t="s">
        <v>239</v>
      </c>
      <c r="AG13" s="175"/>
      <c r="AH13" s="37" t="s">
        <v>239</v>
      </c>
      <c r="AI13" s="95"/>
      <c r="AJ13" s="37" t="s">
        <v>241</v>
      </c>
      <c r="AK13" s="175">
        <v>42038</v>
      </c>
      <c r="AL13" s="37" t="s">
        <v>241</v>
      </c>
      <c r="AM13" s="42">
        <v>41459</v>
      </c>
      <c r="AN13" s="321">
        <f>COUNTIF('Liste AT'!$E$7:$E$31, "Cannes Voyageurs")</f>
        <v>0</v>
      </c>
      <c r="AO13" s="37" t="s">
        <v>241</v>
      </c>
    </row>
    <row r="14" spans="1:44" ht="16.5" customHeight="1" x14ac:dyDescent="0.25">
      <c r="A14" s="38" t="s">
        <v>1278</v>
      </c>
      <c r="B14" s="179" t="s">
        <v>1298</v>
      </c>
      <c r="C14" s="179" t="s">
        <v>1299</v>
      </c>
      <c r="D14" s="178" t="s">
        <v>913</v>
      </c>
      <c r="E14" s="43" t="s">
        <v>239</v>
      </c>
      <c r="F14" s="175"/>
      <c r="G14" s="43" t="s">
        <v>239</v>
      </c>
      <c r="H14" s="176"/>
      <c r="I14" s="43" t="s">
        <v>239</v>
      </c>
      <c r="J14" s="175"/>
      <c r="K14" s="43" t="s">
        <v>239</v>
      </c>
      <c r="L14" s="175"/>
      <c r="M14" s="44" t="s">
        <v>241</v>
      </c>
      <c r="N14" s="175">
        <v>43844</v>
      </c>
      <c r="O14" s="44" t="s">
        <v>239</v>
      </c>
      <c r="P14" s="175"/>
      <c r="Q14" s="44" t="s">
        <v>239</v>
      </c>
      <c r="R14" s="175"/>
      <c r="S14" s="175" t="s">
        <v>241</v>
      </c>
      <c r="T14" s="175">
        <v>43425</v>
      </c>
      <c r="U14" s="44" t="s">
        <v>239</v>
      </c>
      <c r="V14" s="95"/>
      <c r="W14" s="44" t="s">
        <v>241</v>
      </c>
      <c r="X14" s="175">
        <v>42822</v>
      </c>
      <c r="Y14" s="175"/>
      <c r="Z14" s="175"/>
      <c r="AA14" s="44" t="s">
        <v>239</v>
      </c>
      <c r="AB14" s="95"/>
      <c r="AC14" s="44" t="s">
        <v>241</v>
      </c>
      <c r="AD14" s="95">
        <v>42902</v>
      </c>
      <c r="AE14" s="320">
        <f t="shared" si="0"/>
        <v>0.66666666666666663</v>
      </c>
      <c r="AF14" s="37" t="s">
        <v>239</v>
      </c>
      <c r="AG14" s="175">
        <v>43490</v>
      </c>
      <c r="AH14" s="37" t="s">
        <v>239</v>
      </c>
      <c r="AI14" s="95"/>
      <c r="AJ14" s="37" t="s">
        <v>241</v>
      </c>
      <c r="AK14" s="42">
        <v>41542</v>
      </c>
      <c r="AL14" s="37" t="s">
        <v>241</v>
      </c>
      <c r="AM14" s="42">
        <v>41505</v>
      </c>
      <c r="AN14" s="321">
        <f>COUNTIF('Liste AT'!$E$7:$E$31, "Antibes Golf Juan &amp; Juan les Pins")</f>
        <v>0</v>
      </c>
      <c r="AO14" s="37" t="s">
        <v>241</v>
      </c>
    </row>
    <row r="15" spans="1:44" ht="16.5" customHeight="1" x14ac:dyDescent="0.25">
      <c r="A15" s="38" t="s">
        <v>1278</v>
      </c>
      <c r="B15" s="179" t="s">
        <v>1</v>
      </c>
      <c r="C15" s="179" t="s">
        <v>888</v>
      </c>
      <c r="D15" s="393" t="s">
        <v>1318</v>
      </c>
      <c r="E15" s="43" t="s">
        <v>239</v>
      </c>
      <c r="F15" s="175"/>
      <c r="G15" s="43" t="s">
        <v>241</v>
      </c>
      <c r="H15" s="176">
        <v>39947</v>
      </c>
      <c r="I15" s="43" t="s">
        <v>239</v>
      </c>
      <c r="J15" s="175"/>
      <c r="K15" s="43" t="s">
        <v>241</v>
      </c>
      <c r="L15" s="175">
        <v>40072</v>
      </c>
      <c r="M15" s="44" t="s">
        <v>241</v>
      </c>
      <c r="N15" s="175">
        <v>43280</v>
      </c>
      <c r="O15" s="44" t="s">
        <v>241</v>
      </c>
      <c r="P15" s="175">
        <v>43264</v>
      </c>
      <c r="Q15" s="44" t="s">
        <v>241</v>
      </c>
      <c r="R15" s="175">
        <v>43571</v>
      </c>
      <c r="S15" s="175"/>
      <c r="T15" s="175"/>
      <c r="U15" s="44" t="s">
        <v>241</v>
      </c>
      <c r="V15" s="95">
        <v>42810</v>
      </c>
      <c r="W15" s="44" t="s">
        <v>241</v>
      </c>
      <c r="X15" s="175">
        <v>43384</v>
      </c>
      <c r="Y15" s="175"/>
      <c r="Z15" s="175"/>
      <c r="AA15" s="44" t="s">
        <v>239</v>
      </c>
      <c r="AB15" s="95"/>
      <c r="AC15" s="44" t="s">
        <v>239</v>
      </c>
      <c r="AD15" s="95"/>
      <c r="AE15" s="320">
        <f t="shared" si="0"/>
        <v>0.36363636363636365</v>
      </c>
      <c r="AF15" s="37" t="s">
        <v>239</v>
      </c>
      <c r="AG15" s="175"/>
      <c r="AH15" s="37"/>
      <c r="AI15" s="95"/>
      <c r="AJ15" s="37"/>
      <c r="AK15" s="42"/>
      <c r="AL15" s="37"/>
      <c r="AM15" s="42"/>
      <c r="AN15" s="321">
        <f>COUNTIF('Liste AT'!$E$7:$E$31, "Secteur Esterel / RSC Esterel")</f>
        <v>0</v>
      </c>
      <c r="AO15" s="37" t="s">
        <v>241</v>
      </c>
    </row>
    <row r="16" spans="1:44" ht="16.5" customHeight="1" x14ac:dyDescent="0.25">
      <c r="A16" s="38" t="s">
        <v>1278</v>
      </c>
      <c r="B16" s="179" t="s">
        <v>6</v>
      </c>
      <c r="C16" s="179" t="s">
        <v>7</v>
      </c>
      <c r="D16" s="179" t="s">
        <v>1319</v>
      </c>
      <c r="E16" s="43" t="s">
        <v>239</v>
      </c>
      <c r="F16" s="175"/>
      <c r="G16" s="43" t="s">
        <v>239</v>
      </c>
      <c r="H16" s="176"/>
      <c r="I16" s="43" t="s">
        <v>241</v>
      </c>
      <c r="J16" s="175">
        <v>42052</v>
      </c>
      <c r="K16" s="43" t="s">
        <v>241</v>
      </c>
      <c r="L16" s="175">
        <v>43010</v>
      </c>
      <c r="M16" s="44" t="s">
        <v>241</v>
      </c>
      <c r="N16" s="175">
        <v>43280</v>
      </c>
      <c r="O16" s="44" t="s">
        <v>241</v>
      </c>
      <c r="P16" s="175">
        <v>42053</v>
      </c>
      <c r="Q16" s="44" t="s">
        <v>241</v>
      </c>
      <c r="R16" s="175">
        <v>42054</v>
      </c>
      <c r="S16" s="175" t="s">
        <v>241</v>
      </c>
      <c r="T16" s="175">
        <v>41921</v>
      </c>
      <c r="U16" s="44" t="s">
        <v>241</v>
      </c>
      <c r="V16" s="95">
        <v>42817</v>
      </c>
      <c r="W16" s="44" t="s">
        <v>241</v>
      </c>
      <c r="X16" s="175">
        <v>43110</v>
      </c>
      <c r="Y16" s="175"/>
      <c r="Z16" s="175"/>
      <c r="AA16" s="44" t="s">
        <v>255</v>
      </c>
      <c r="AB16" s="95"/>
      <c r="AC16" s="44" t="s">
        <v>241</v>
      </c>
      <c r="AD16" s="95">
        <v>42902</v>
      </c>
      <c r="AE16" s="320">
        <f t="shared" si="0"/>
        <v>0.18181818181818182</v>
      </c>
      <c r="AF16" s="37" t="s">
        <v>241</v>
      </c>
      <c r="AG16" s="175"/>
      <c r="AH16" s="37" t="s">
        <v>241</v>
      </c>
      <c r="AI16" s="95"/>
      <c r="AJ16" s="37" t="s">
        <v>241</v>
      </c>
      <c r="AK16" s="42">
        <v>41407</v>
      </c>
      <c r="AL16" s="37" t="s">
        <v>241</v>
      </c>
      <c r="AM16" s="42">
        <v>41411</v>
      </c>
      <c r="AN16" s="321">
        <f>COUNTIF('Liste AT'!$E$7:$E$31, "Ligne Ouest/Agent de la relation Client Ouest")</f>
        <v>0</v>
      </c>
      <c r="AO16" s="37" t="s">
        <v>241</v>
      </c>
    </row>
    <row r="17" spans="1:41" ht="16.5" customHeight="1" x14ac:dyDescent="0.25">
      <c r="A17" s="38" t="s">
        <v>1297</v>
      </c>
      <c r="B17" s="179" t="s">
        <v>0</v>
      </c>
      <c r="C17" s="179" t="s">
        <v>260</v>
      </c>
      <c r="D17" s="482"/>
      <c r="E17" s="43" t="s">
        <v>241</v>
      </c>
      <c r="F17" s="175">
        <v>41605</v>
      </c>
      <c r="G17" s="43" t="s">
        <v>241</v>
      </c>
      <c r="H17" s="175">
        <v>41605</v>
      </c>
      <c r="I17" s="43" t="s">
        <v>241</v>
      </c>
      <c r="J17" s="175">
        <v>41604</v>
      </c>
      <c r="K17" s="43" t="s">
        <v>255</v>
      </c>
      <c r="L17" s="175"/>
      <c r="M17" s="44" t="s">
        <v>241</v>
      </c>
      <c r="N17" s="175">
        <v>43280</v>
      </c>
      <c r="O17" s="44" t="s">
        <v>255</v>
      </c>
      <c r="P17" s="175"/>
      <c r="Q17" s="44" t="s">
        <v>239</v>
      </c>
      <c r="R17" s="175"/>
      <c r="S17" s="175" t="s">
        <v>241</v>
      </c>
      <c r="T17" s="175">
        <v>41921</v>
      </c>
      <c r="U17" s="44" t="s">
        <v>241</v>
      </c>
      <c r="V17" s="95">
        <v>42716</v>
      </c>
      <c r="W17" s="44" t="s">
        <v>241</v>
      </c>
      <c r="X17" s="175">
        <v>42342</v>
      </c>
      <c r="Y17" s="175"/>
      <c r="Z17" s="175"/>
      <c r="AA17" s="44" t="s">
        <v>255</v>
      </c>
      <c r="AB17" s="95"/>
      <c r="AC17" s="44" t="s">
        <v>241</v>
      </c>
      <c r="AD17" s="95">
        <v>42894</v>
      </c>
      <c r="AE17" s="320">
        <f t="shared" si="0"/>
        <v>0.1111111111111111</v>
      </c>
      <c r="AF17" s="37" t="s">
        <v>239</v>
      </c>
      <c r="AG17" s="177"/>
      <c r="AH17" s="37" t="s">
        <v>239</v>
      </c>
      <c r="AI17" s="95"/>
      <c r="AJ17" s="37" t="s">
        <v>241</v>
      </c>
      <c r="AK17" s="42">
        <v>41464</v>
      </c>
      <c r="AL17" s="37" t="s">
        <v>241</v>
      </c>
      <c r="AM17" s="319">
        <v>41505</v>
      </c>
      <c r="AN17" s="321">
        <f>COUNTIF('Liste AT'!$E$7:$E$31, "Siège UO TER EST")</f>
        <v>0</v>
      </c>
      <c r="AO17" s="37" t="s">
        <v>239</v>
      </c>
    </row>
    <row r="18" spans="1:41" ht="16.5" customHeight="1" x14ac:dyDescent="0.25">
      <c r="A18" s="38" t="s">
        <v>1278</v>
      </c>
      <c r="B18" s="178" t="s">
        <v>730</v>
      </c>
      <c r="C18" s="178" t="s">
        <v>731</v>
      </c>
      <c r="D18" s="178" t="s">
        <v>1314</v>
      </c>
      <c r="E18" s="43" t="s">
        <v>241</v>
      </c>
      <c r="F18" s="175">
        <v>40331</v>
      </c>
      <c r="G18" s="43" t="s">
        <v>239</v>
      </c>
      <c r="H18" s="175"/>
      <c r="I18" s="43" t="s">
        <v>239</v>
      </c>
      <c r="J18" s="177"/>
      <c r="K18" s="43" t="s">
        <v>239</v>
      </c>
      <c r="L18" s="175"/>
      <c r="M18" s="44" t="s">
        <v>241</v>
      </c>
      <c r="N18" s="175">
        <v>43473</v>
      </c>
      <c r="O18" s="44" t="s">
        <v>239</v>
      </c>
      <c r="P18" s="175"/>
      <c r="Q18" s="44" t="s">
        <v>241</v>
      </c>
      <c r="R18" s="175">
        <v>43251</v>
      </c>
      <c r="S18" s="175" t="s">
        <v>241</v>
      </c>
      <c r="T18" s="175">
        <v>42549</v>
      </c>
      <c r="U18" s="44" t="s">
        <v>241</v>
      </c>
      <c r="V18" s="95">
        <v>42817</v>
      </c>
      <c r="W18" s="44" t="s">
        <v>255</v>
      </c>
      <c r="X18" s="175"/>
      <c r="Y18" s="175"/>
      <c r="Z18" s="175"/>
      <c r="AA18" s="44" t="s">
        <v>255</v>
      </c>
      <c r="AB18" s="95"/>
      <c r="AC18" s="44" t="s">
        <v>241</v>
      </c>
      <c r="AD18" s="95">
        <v>42894</v>
      </c>
      <c r="AE18" s="320">
        <f t="shared" si="0"/>
        <v>0.4</v>
      </c>
      <c r="AF18" s="37" t="s">
        <v>239</v>
      </c>
      <c r="AG18" s="177"/>
      <c r="AH18" s="37" t="s">
        <v>239</v>
      </c>
      <c r="AI18" s="95"/>
      <c r="AJ18" s="37" t="s">
        <v>241</v>
      </c>
      <c r="AK18" s="319">
        <v>41491</v>
      </c>
      <c r="AL18" s="37" t="s">
        <v>241</v>
      </c>
      <c r="AM18" s="319">
        <v>41505</v>
      </c>
      <c r="AN18" s="321"/>
      <c r="AO18" s="37" t="s">
        <v>241</v>
      </c>
    </row>
    <row r="19" spans="1:41" ht="16.5" customHeight="1" x14ac:dyDescent="0.25">
      <c r="A19" s="38" t="s">
        <v>1278</v>
      </c>
      <c r="B19" s="179" t="s">
        <v>969</v>
      </c>
      <c r="C19" s="179" t="s">
        <v>970</v>
      </c>
      <c r="D19" s="178" t="s">
        <v>971</v>
      </c>
      <c r="E19" s="43" t="s">
        <v>239</v>
      </c>
      <c r="F19" s="175"/>
      <c r="G19" s="43" t="s">
        <v>239</v>
      </c>
      <c r="H19" s="175"/>
      <c r="I19" s="43" t="s">
        <v>239</v>
      </c>
      <c r="J19" s="175"/>
      <c r="K19" s="43" t="s">
        <v>239</v>
      </c>
      <c r="L19" s="175"/>
      <c r="M19" s="44" t="s">
        <v>241</v>
      </c>
      <c r="N19" s="175">
        <v>43473</v>
      </c>
      <c r="O19" s="44" t="s">
        <v>239</v>
      </c>
      <c r="P19" s="175"/>
      <c r="Q19" s="44" t="s">
        <v>239</v>
      </c>
      <c r="R19" s="175"/>
      <c r="S19" s="175"/>
      <c r="T19" s="175"/>
      <c r="U19" s="44" t="s">
        <v>239</v>
      </c>
      <c r="V19" s="95"/>
      <c r="W19" s="44" t="s">
        <v>239</v>
      </c>
      <c r="X19" s="175"/>
      <c r="Y19" s="175"/>
      <c r="Z19" s="175"/>
      <c r="AA19" s="44" t="s">
        <v>239</v>
      </c>
      <c r="AB19" s="95"/>
      <c r="AC19" s="44" t="s">
        <v>241</v>
      </c>
      <c r="AD19" s="95">
        <v>42887</v>
      </c>
      <c r="AE19" s="320"/>
      <c r="AF19" s="37"/>
      <c r="AG19" s="175"/>
      <c r="AH19" s="37"/>
      <c r="AI19" s="95"/>
      <c r="AJ19" s="37"/>
      <c r="AK19" s="175"/>
      <c r="AL19" s="37"/>
      <c r="AM19" s="42"/>
      <c r="AN19" s="321"/>
      <c r="AO19" s="37"/>
    </row>
    <row r="20" spans="1:41" ht="16.5" customHeight="1" x14ac:dyDescent="0.25">
      <c r="A20" s="38" t="s">
        <v>1278</v>
      </c>
      <c r="B20" s="179" t="s">
        <v>911</v>
      </c>
      <c r="C20" s="179" t="s">
        <v>909</v>
      </c>
      <c r="D20" s="178" t="s">
        <v>1320</v>
      </c>
      <c r="E20" s="43" t="s">
        <v>239</v>
      </c>
      <c r="F20" s="175"/>
      <c r="G20" s="43" t="s">
        <v>239</v>
      </c>
      <c r="H20" s="175"/>
      <c r="I20" s="43" t="s">
        <v>239</v>
      </c>
      <c r="J20" s="175"/>
      <c r="K20" s="43" t="s">
        <v>241</v>
      </c>
      <c r="L20" s="175">
        <v>38986</v>
      </c>
      <c r="M20" s="44" t="s">
        <v>239</v>
      </c>
      <c r="N20" s="175"/>
      <c r="O20" s="44" t="s">
        <v>239</v>
      </c>
      <c r="P20" s="175"/>
      <c r="Q20" s="44" t="s">
        <v>239</v>
      </c>
      <c r="R20" s="175"/>
      <c r="S20" s="175"/>
      <c r="T20" s="175"/>
      <c r="U20" s="44" t="s">
        <v>239</v>
      </c>
      <c r="V20" s="95"/>
      <c r="W20" s="44" t="s">
        <v>239</v>
      </c>
      <c r="X20" s="175"/>
      <c r="Y20" s="175"/>
      <c r="Z20" s="175"/>
      <c r="AA20" s="44" t="s">
        <v>239</v>
      </c>
      <c r="AB20" s="95"/>
      <c r="AC20" s="44" t="s">
        <v>241</v>
      </c>
      <c r="AD20" s="95">
        <v>42902</v>
      </c>
      <c r="AE20" s="320">
        <f t="shared" ref="AE20:AE49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239</v>
      </c>
      <c r="AG20" s="175"/>
      <c r="AH20" s="37"/>
      <c r="AI20" s="95"/>
      <c r="AJ20" s="37"/>
      <c r="AK20" s="175"/>
      <c r="AL20" s="37"/>
      <c r="AM20" s="42"/>
      <c r="AN20" s="321">
        <f>COUNTIF('Liste AT'!$E$7:$E$31, "Equipe mobile Ligne Est &amp; Merveilles/RSC Merveilles")</f>
        <v>0</v>
      </c>
      <c r="AO20" s="37" t="s">
        <v>239</v>
      </c>
    </row>
    <row r="21" spans="1:41" ht="16.5" customHeight="1" x14ac:dyDescent="0.25">
      <c r="A21" s="38" t="s">
        <v>1278</v>
      </c>
      <c r="B21" s="179" t="s">
        <v>855</v>
      </c>
      <c r="C21" s="179" t="s">
        <v>856</v>
      </c>
      <c r="D21" s="179" t="s">
        <v>1321</v>
      </c>
      <c r="E21" s="43" t="s">
        <v>241</v>
      </c>
      <c r="F21" s="175">
        <v>39947</v>
      </c>
      <c r="G21" s="43" t="s">
        <v>241</v>
      </c>
      <c r="H21" s="176">
        <v>39177</v>
      </c>
      <c r="I21" s="43" t="s">
        <v>241</v>
      </c>
      <c r="J21" s="175">
        <v>39177</v>
      </c>
      <c r="K21" s="43" t="s">
        <v>241</v>
      </c>
      <c r="L21" s="175">
        <v>43010</v>
      </c>
      <c r="M21" s="44" t="s">
        <v>241</v>
      </c>
      <c r="N21" s="175">
        <v>43370</v>
      </c>
      <c r="O21" s="44" t="s">
        <v>239</v>
      </c>
      <c r="P21" s="175"/>
      <c r="Q21" s="44" t="s">
        <v>241</v>
      </c>
      <c r="R21" s="175">
        <v>43571</v>
      </c>
      <c r="S21" s="175" t="s">
        <v>241</v>
      </c>
      <c r="T21" s="175">
        <v>42810</v>
      </c>
      <c r="U21" s="44" t="s">
        <v>241</v>
      </c>
      <c r="V21" s="95">
        <v>42810</v>
      </c>
      <c r="W21" s="44" t="s">
        <v>241</v>
      </c>
      <c r="X21" s="175">
        <v>42053</v>
      </c>
      <c r="Y21" s="175"/>
      <c r="Z21" s="175"/>
      <c r="AA21" s="44" t="s">
        <v>255</v>
      </c>
      <c r="AB21" s="95"/>
      <c r="AC21" s="44" t="s">
        <v>241</v>
      </c>
      <c r="AD21" s="95">
        <v>43557</v>
      </c>
      <c r="AE21" s="320">
        <f t="shared" si="1"/>
        <v>9.0909090909090912E-2</v>
      </c>
      <c r="AF21" s="37" t="s">
        <v>241</v>
      </c>
      <c r="AG21" s="175">
        <v>43525</v>
      </c>
      <c r="AH21" s="37" t="s">
        <v>239</v>
      </c>
      <c r="AI21" s="95"/>
      <c r="AJ21" s="37" t="s">
        <v>241</v>
      </c>
      <c r="AK21" s="42">
        <v>41617</v>
      </c>
      <c r="AL21" s="37" t="s">
        <v>241</v>
      </c>
      <c r="AM21" s="42">
        <v>41480</v>
      </c>
      <c r="AN21" s="321">
        <f>COUNTIF('Liste AT'!$E$7:$E$31, "Agent de la relation client Est")</f>
        <v>0</v>
      </c>
      <c r="AO21" s="37" t="s">
        <v>241</v>
      </c>
    </row>
    <row r="22" spans="1:41" ht="16.5" customHeight="1" x14ac:dyDescent="0.25">
      <c r="A22" s="38" t="s">
        <v>1278</v>
      </c>
      <c r="B22" s="178" t="s">
        <v>806</v>
      </c>
      <c r="C22" s="178" t="s">
        <v>807</v>
      </c>
      <c r="D22" s="179" t="s">
        <v>914</v>
      </c>
      <c r="E22" s="43" t="s">
        <v>239</v>
      </c>
      <c r="F22" s="175"/>
      <c r="G22" s="43" t="s">
        <v>239</v>
      </c>
      <c r="H22" s="175"/>
      <c r="I22" s="43" t="s">
        <v>241</v>
      </c>
      <c r="J22" s="175">
        <v>41331</v>
      </c>
      <c r="K22" s="43" t="s">
        <v>241</v>
      </c>
      <c r="L22" s="175">
        <v>43010</v>
      </c>
      <c r="M22" s="44" t="s">
        <v>239</v>
      </c>
      <c r="N22" s="175"/>
      <c r="O22" s="44" t="s">
        <v>241</v>
      </c>
      <c r="P22" s="175">
        <v>41436</v>
      </c>
      <c r="Q22" s="44" t="s">
        <v>241</v>
      </c>
      <c r="R22" s="175">
        <v>40290</v>
      </c>
      <c r="S22" s="175" t="s">
        <v>241</v>
      </c>
      <c r="T22" s="175">
        <v>42549</v>
      </c>
      <c r="U22" s="44" t="s">
        <v>239</v>
      </c>
      <c r="V22" s="95"/>
      <c r="W22" s="44" t="s">
        <v>241</v>
      </c>
      <c r="X22" s="175">
        <v>40629</v>
      </c>
      <c r="Y22" s="175"/>
      <c r="Z22" s="175"/>
      <c r="AA22" s="44" t="s">
        <v>241</v>
      </c>
      <c r="AB22" s="95">
        <v>39133</v>
      </c>
      <c r="AC22" s="44" t="s">
        <v>239</v>
      </c>
      <c r="AD22" s="95"/>
      <c r="AE22" s="320">
        <f t="shared" si="1"/>
        <v>0.41666666666666669</v>
      </c>
      <c r="AF22" s="37" t="s">
        <v>538</v>
      </c>
      <c r="AG22" s="175"/>
      <c r="AH22" s="37" t="s">
        <v>239</v>
      </c>
      <c r="AI22" s="95"/>
      <c r="AJ22" s="37" t="s">
        <v>241</v>
      </c>
      <c r="AK22" s="42">
        <v>41617</v>
      </c>
      <c r="AL22" s="37" t="s">
        <v>241</v>
      </c>
      <c r="AM22" s="42">
        <v>41459</v>
      </c>
      <c r="AN22" s="321">
        <f>COUNTIF('Liste AT'!$E$7:$E$31, "Secteur Menton-Vintimille")</f>
        <v>0</v>
      </c>
      <c r="AO22" s="37" t="s">
        <v>239</v>
      </c>
    </row>
    <row r="23" spans="1:41" ht="16.5" customHeight="1" x14ac:dyDescent="0.25">
      <c r="A23" s="38" t="s">
        <v>1278</v>
      </c>
      <c r="B23" s="178" t="s">
        <v>261</v>
      </c>
      <c r="C23" s="178" t="s">
        <v>732</v>
      </c>
      <c r="D23" s="178" t="s">
        <v>1322</v>
      </c>
      <c r="E23" s="43" t="s">
        <v>241</v>
      </c>
      <c r="F23" s="175">
        <v>40001</v>
      </c>
      <c r="G23" s="43" t="s">
        <v>241</v>
      </c>
      <c r="H23" s="176">
        <v>41452</v>
      </c>
      <c r="I23" s="43" t="s">
        <v>241</v>
      </c>
      <c r="J23" s="175">
        <v>41310</v>
      </c>
      <c r="K23" s="43" t="s">
        <v>239</v>
      </c>
      <c r="L23" s="175"/>
      <c r="M23" s="44" t="s">
        <v>241</v>
      </c>
      <c r="N23" s="175">
        <v>43480</v>
      </c>
      <c r="O23" s="44" t="s">
        <v>241</v>
      </c>
      <c r="P23" s="175">
        <v>40241</v>
      </c>
      <c r="Q23" s="44" t="s">
        <v>241</v>
      </c>
      <c r="R23" s="175">
        <v>41024</v>
      </c>
      <c r="S23" s="175" t="s">
        <v>241</v>
      </c>
      <c r="T23" s="175">
        <v>42801</v>
      </c>
      <c r="U23" s="44" t="s">
        <v>241</v>
      </c>
      <c r="V23" s="95">
        <v>42824</v>
      </c>
      <c r="W23" s="44" t="s">
        <v>241</v>
      </c>
      <c r="X23" s="175">
        <v>43851</v>
      </c>
      <c r="Y23" s="175"/>
      <c r="Z23" s="175"/>
      <c r="AA23" s="44" t="s">
        <v>255</v>
      </c>
      <c r="AB23" s="95"/>
      <c r="AC23" s="44" t="s">
        <v>239</v>
      </c>
      <c r="AD23" s="95"/>
      <c r="AE23" s="320">
        <f t="shared" si="1"/>
        <v>0.18181818181818182</v>
      </c>
      <c r="AF23" s="37" t="s">
        <v>241</v>
      </c>
      <c r="AG23" s="175"/>
      <c r="AH23" s="37" t="s">
        <v>239</v>
      </c>
      <c r="AI23" s="95"/>
      <c r="AJ23" s="37" t="s">
        <v>241</v>
      </c>
      <c r="AK23" s="42">
        <v>41381</v>
      </c>
      <c r="AL23" s="37" t="s">
        <v>241</v>
      </c>
      <c r="AM23" s="42"/>
      <c r="AN23" s="321">
        <f>COUNTIF('Liste AT'!$E$7:$E$31, "COE Nice")</f>
        <v>0</v>
      </c>
      <c r="AO23" s="37" t="s">
        <v>241</v>
      </c>
    </row>
    <row r="24" spans="1:41" ht="16.5" customHeight="1" x14ac:dyDescent="0.25">
      <c r="A24" s="38" t="s">
        <v>270</v>
      </c>
      <c r="B24" s="179" t="s">
        <v>1300</v>
      </c>
      <c r="C24" s="179" t="s">
        <v>1301</v>
      </c>
      <c r="D24" s="179" t="s">
        <v>1323</v>
      </c>
      <c r="E24" s="43" t="s">
        <v>239</v>
      </c>
      <c r="F24" s="175"/>
      <c r="G24" s="43" t="s">
        <v>239</v>
      </c>
      <c r="H24" s="175"/>
      <c r="I24" s="43" t="s">
        <v>239</v>
      </c>
      <c r="J24" s="175"/>
      <c r="K24" s="43" t="s">
        <v>239</v>
      </c>
      <c r="L24" s="175"/>
      <c r="M24" s="44" t="s">
        <v>241</v>
      </c>
      <c r="N24" s="175">
        <v>42110</v>
      </c>
      <c r="O24" s="44" t="s">
        <v>241</v>
      </c>
      <c r="P24" s="175">
        <v>41584</v>
      </c>
      <c r="Q24" s="44" t="s">
        <v>239</v>
      </c>
      <c r="R24" s="175"/>
      <c r="S24" s="175" t="s">
        <v>239</v>
      </c>
      <c r="T24" s="175"/>
      <c r="U24" s="44" t="s">
        <v>239</v>
      </c>
      <c r="V24" s="95"/>
      <c r="W24" s="44" t="s">
        <v>239</v>
      </c>
      <c r="X24" s="175"/>
      <c r="Y24" s="175"/>
      <c r="Z24" s="175"/>
      <c r="AA24" s="44" t="s">
        <v>239</v>
      </c>
      <c r="AB24" s="95"/>
      <c r="AC24" s="44" t="s">
        <v>239</v>
      </c>
      <c r="AD24" s="95"/>
      <c r="AE24" s="320">
        <f t="shared" si="1"/>
        <v>0.83333333333333337</v>
      </c>
      <c r="AF24" s="37" t="s">
        <v>241</v>
      </c>
      <c r="AG24" s="175">
        <v>43595</v>
      </c>
      <c r="AH24" s="37" t="s">
        <v>239</v>
      </c>
      <c r="AI24" s="95"/>
      <c r="AJ24" s="37" t="s">
        <v>239</v>
      </c>
      <c r="AK24" s="42"/>
      <c r="AL24" s="37" t="s">
        <v>239</v>
      </c>
      <c r="AM24" s="42"/>
      <c r="AN24" s="321">
        <f>COUNTIF('Liste AT'!$E$7:$E$31, "Service en gare Nice Ville")</f>
        <v>0</v>
      </c>
      <c r="AO24" s="37" t="s">
        <v>241</v>
      </c>
    </row>
    <row r="25" spans="1:41" ht="16.5" customHeight="1" x14ac:dyDescent="0.25">
      <c r="A25" s="38" t="s">
        <v>270</v>
      </c>
      <c r="B25" s="179" t="s">
        <v>257</v>
      </c>
      <c r="C25" s="179" t="s">
        <v>74</v>
      </c>
      <c r="D25" s="178" t="s">
        <v>810</v>
      </c>
      <c r="E25" s="43" t="s">
        <v>241</v>
      </c>
      <c r="F25" s="175">
        <v>40731</v>
      </c>
      <c r="G25" s="43" t="s">
        <v>239</v>
      </c>
      <c r="H25" s="175"/>
      <c r="I25" s="43" t="s">
        <v>239</v>
      </c>
      <c r="J25" s="177"/>
      <c r="K25" s="43" t="s">
        <v>255</v>
      </c>
      <c r="L25" s="175"/>
      <c r="M25" s="44" t="s">
        <v>241</v>
      </c>
      <c r="N25" s="175">
        <v>43280</v>
      </c>
      <c r="O25" s="44" t="s">
        <v>255</v>
      </c>
      <c r="P25" s="175"/>
      <c r="Q25" s="44" t="s">
        <v>239</v>
      </c>
      <c r="R25" s="175"/>
      <c r="S25" s="175"/>
      <c r="T25" s="175"/>
      <c r="U25" s="44" t="s">
        <v>239</v>
      </c>
      <c r="V25" s="95"/>
      <c r="W25" s="44" t="s">
        <v>255</v>
      </c>
      <c r="X25" s="175"/>
      <c r="Y25" s="175"/>
      <c r="Z25" s="175"/>
      <c r="AA25" s="44" t="s">
        <v>255</v>
      </c>
      <c r="AB25" s="95"/>
      <c r="AC25" s="44" t="s">
        <v>239</v>
      </c>
      <c r="AD25" s="95"/>
      <c r="AE25" s="320">
        <f t="shared" si="1"/>
        <v>0.7142857142857143</v>
      </c>
      <c r="AF25" s="37" t="s">
        <v>239</v>
      </c>
      <c r="AG25" s="177"/>
      <c r="AH25" s="37" t="s">
        <v>239</v>
      </c>
      <c r="AI25" s="95"/>
      <c r="AJ25" s="37" t="s">
        <v>241</v>
      </c>
      <c r="AK25" s="319">
        <v>41449</v>
      </c>
      <c r="AL25" s="37" t="s">
        <v>241</v>
      </c>
      <c r="AM25" s="319">
        <v>41505</v>
      </c>
      <c r="AN25" s="321"/>
      <c r="AO25" s="37" t="s">
        <v>241</v>
      </c>
    </row>
    <row r="26" spans="1:41" ht="16.5" customHeight="1" x14ac:dyDescent="0.25">
      <c r="A26" s="38" t="s">
        <v>1297</v>
      </c>
      <c r="B26" s="178" t="s">
        <v>809</v>
      </c>
      <c r="C26" s="178" t="s">
        <v>808</v>
      </c>
      <c r="D26" s="179" t="s">
        <v>1324</v>
      </c>
      <c r="E26" s="43" t="s">
        <v>241</v>
      </c>
      <c r="F26" s="175">
        <v>41592</v>
      </c>
      <c r="G26" s="43"/>
      <c r="H26" s="175"/>
      <c r="I26" s="43" t="s">
        <v>239</v>
      </c>
      <c r="J26" s="175"/>
      <c r="K26" s="43" t="s">
        <v>239</v>
      </c>
      <c r="L26" s="175"/>
      <c r="M26" s="44" t="s">
        <v>241</v>
      </c>
      <c r="N26" s="175">
        <v>43370</v>
      </c>
      <c r="O26" s="44" t="s">
        <v>241</v>
      </c>
      <c r="P26" s="175">
        <v>39786</v>
      </c>
      <c r="Q26" s="44" t="s">
        <v>239</v>
      </c>
      <c r="R26" s="175"/>
      <c r="S26" s="175" t="s">
        <v>241</v>
      </c>
      <c r="T26" s="175">
        <v>42656</v>
      </c>
      <c r="U26" s="44" t="s">
        <v>241</v>
      </c>
      <c r="V26" s="95">
        <v>42667</v>
      </c>
      <c r="W26" s="44" t="s">
        <v>239</v>
      </c>
      <c r="X26" s="175"/>
      <c r="Y26" s="175"/>
      <c r="Z26" s="175"/>
      <c r="AA26" s="44" t="s">
        <v>239</v>
      </c>
      <c r="AB26" s="95"/>
      <c r="AC26" s="44" t="s">
        <v>241</v>
      </c>
      <c r="AD26" s="95">
        <v>43391</v>
      </c>
      <c r="AE26" s="320">
        <f t="shared" si="1"/>
        <v>0.45454545454545453</v>
      </c>
      <c r="AF26" s="37"/>
      <c r="AG26" s="175"/>
      <c r="AH26" s="37" t="s">
        <v>239</v>
      </c>
      <c r="AI26" s="95"/>
      <c r="AJ26" s="37"/>
      <c r="AK26" s="42"/>
      <c r="AL26" s="37"/>
      <c r="AM26" s="42"/>
      <c r="AN26" s="321">
        <f>COUNTIF('Liste AT'!$E$7:$E$31, "Pôle QP")</f>
        <v>0</v>
      </c>
      <c r="AO26" s="37" t="s">
        <v>241</v>
      </c>
    </row>
    <row r="27" spans="1:41" ht="16.5" customHeight="1" x14ac:dyDescent="0.25">
      <c r="A27" s="38" t="s">
        <v>270</v>
      </c>
      <c r="B27" s="178" t="s">
        <v>756</v>
      </c>
      <c r="C27" s="178" t="s">
        <v>757</v>
      </c>
      <c r="D27" s="178" t="s">
        <v>1325</v>
      </c>
      <c r="E27" s="43" t="s">
        <v>239</v>
      </c>
      <c r="F27" s="175"/>
      <c r="G27" s="43" t="s">
        <v>239</v>
      </c>
      <c r="H27" s="175"/>
      <c r="I27" s="43" t="s">
        <v>239</v>
      </c>
      <c r="J27" s="175"/>
      <c r="K27" s="43" t="s">
        <v>255</v>
      </c>
      <c r="L27" s="175"/>
      <c r="M27" s="44" t="s">
        <v>239</v>
      </c>
      <c r="N27" s="175"/>
      <c r="O27" s="44" t="s">
        <v>255</v>
      </c>
      <c r="P27" s="175"/>
      <c r="Q27" s="44" t="s">
        <v>255</v>
      </c>
      <c r="R27" s="175"/>
      <c r="S27" s="175"/>
      <c r="T27" s="175"/>
      <c r="U27" s="44" t="s">
        <v>239</v>
      </c>
      <c r="V27" s="95"/>
      <c r="W27" s="44" t="s">
        <v>255</v>
      </c>
      <c r="X27" s="175"/>
      <c r="Y27" s="175"/>
      <c r="Z27" s="175"/>
      <c r="AA27" s="44" t="s">
        <v>255</v>
      </c>
      <c r="AB27" s="95"/>
      <c r="AC27" s="44" t="s">
        <v>239</v>
      </c>
      <c r="AD27" s="95"/>
      <c r="AE27" s="320">
        <f t="shared" si="1"/>
        <v>1</v>
      </c>
      <c r="AF27" s="37" t="s">
        <v>239</v>
      </c>
      <c r="AG27" s="175"/>
      <c r="AH27" s="37" t="s">
        <v>239</v>
      </c>
      <c r="AI27" s="95"/>
      <c r="AJ27" s="37" t="s">
        <v>241</v>
      </c>
      <c r="AK27" s="42">
        <v>41474</v>
      </c>
      <c r="AL27" s="37" t="s">
        <v>241</v>
      </c>
      <c r="AM27" s="42">
        <v>41505</v>
      </c>
      <c r="AN27" s="321">
        <f>COUNTIF('Liste AT'!$E$7:$E$31, "Pôle RH")</f>
        <v>0</v>
      </c>
      <c r="AO27" s="37" t="s">
        <v>239</v>
      </c>
    </row>
    <row r="28" spans="1:41" ht="16.5" customHeight="1" x14ac:dyDescent="0.25">
      <c r="A28" s="38" t="s">
        <v>1297</v>
      </c>
      <c r="B28" s="178" t="s">
        <v>811</v>
      </c>
      <c r="C28" s="178" t="s">
        <v>812</v>
      </c>
      <c r="D28" s="179" t="s">
        <v>1326</v>
      </c>
      <c r="E28" s="43" t="s">
        <v>239</v>
      </c>
      <c r="F28" s="175"/>
      <c r="G28" s="43" t="s">
        <v>239</v>
      </c>
      <c r="H28" s="175"/>
      <c r="I28" s="43" t="s">
        <v>239</v>
      </c>
      <c r="J28" s="175"/>
      <c r="K28" s="43" t="s">
        <v>239</v>
      </c>
      <c r="L28" s="175"/>
      <c r="M28" s="44" t="s">
        <v>241</v>
      </c>
      <c r="N28" s="175">
        <v>43370</v>
      </c>
      <c r="O28" s="44" t="s">
        <v>239</v>
      </c>
      <c r="P28" s="175"/>
      <c r="Q28" s="44" t="s">
        <v>241</v>
      </c>
      <c r="R28" s="175">
        <v>42171</v>
      </c>
      <c r="S28" s="175" t="s">
        <v>241</v>
      </c>
      <c r="T28" s="175">
        <v>42635</v>
      </c>
      <c r="U28" s="44" t="s">
        <v>241</v>
      </c>
      <c r="V28" s="95">
        <v>42653</v>
      </c>
      <c r="W28" s="44" t="s">
        <v>239</v>
      </c>
      <c r="X28" s="175"/>
      <c r="Y28" s="175"/>
      <c r="Z28" s="175"/>
      <c r="AA28" s="44" t="s">
        <v>239</v>
      </c>
      <c r="AB28" s="95"/>
      <c r="AC28" s="44" t="s">
        <v>241</v>
      </c>
      <c r="AD28" s="95">
        <v>43118</v>
      </c>
      <c r="AE28" s="320">
        <f t="shared" si="1"/>
        <v>0.58333333333333337</v>
      </c>
      <c r="AF28" s="37"/>
      <c r="AG28" s="177"/>
      <c r="AH28" s="37"/>
      <c r="AI28" s="95"/>
      <c r="AJ28" s="37"/>
      <c r="AK28" s="319"/>
      <c r="AL28" s="37"/>
      <c r="AM28" s="319"/>
      <c r="AN28" s="321">
        <f>COUNTIF('Liste AT'!$E$7:$E$31, "Pôle S")</f>
        <v>0</v>
      </c>
      <c r="AO28" s="37" t="s">
        <v>241</v>
      </c>
    </row>
    <row r="29" spans="1:41" ht="16.5" customHeight="1" x14ac:dyDescent="0.25">
      <c r="A29" s="38" t="s">
        <v>1297</v>
      </c>
      <c r="B29" s="178" t="s">
        <v>258</v>
      </c>
      <c r="C29" s="178" t="s">
        <v>70</v>
      </c>
      <c r="D29" s="178" t="s">
        <v>1326</v>
      </c>
      <c r="E29" s="43" t="s">
        <v>239</v>
      </c>
      <c r="F29" s="175"/>
      <c r="G29" s="43" t="s">
        <v>239</v>
      </c>
      <c r="H29" s="175"/>
      <c r="I29" s="43" t="s">
        <v>239</v>
      </c>
      <c r="J29" s="177"/>
      <c r="K29" s="43" t="s">
        <v>239</v>
      </c>
      <c r="L29" s="175"/>
      <c r="M29" s="44" t="s">
        <v>241</v>
      </c>
      <c r="N29" s="175">
        <v>43363</v>
      </c>
      <c r="O29" s="44" t="s">
        <v>255</v>
      </c>
      <c r="P29" s="175"/>
      <c r="Q29" s="44" t="s">
        <v>255</v>
      </c>
      <c r="R29" s="175"/>
      <c r="S29" s="175" t="s">
        <v>241</v>
      </c>
      <c r="T29" s="175">
        <v>41921</v>
      </c>
      <c r="U29" s="44" t="s">
        <v>241</v>
      </c>
      <c r="V29" s="95">
        <v>42817</v>
      </c>
      <c r="W29" s="44" t="s">
        <v>241</v>
      </c>
      <c r="X29" s="175">
        <v>43123</v>
      </c>
      <c r="Y29" s="175"/>
      <c r="Z29" s="175"/>
      <c r="AA29" s="44" t="s">
        <v>255</v>
      </c>
      <c r="AB29" s="95"/>
      <c r="AC29" s="44" t="s">
        <v>241</v>
      </c>
      <c r="AD29" s="95">
        <v>42909</v>
      </c>
      <c r="AE29" s="320">
        <f t="shared" si="1"/>
        <v>0.44444444444444442</v>
      </c>
      <c r="AF29" s="37" t="s">
        <v>239</v>
      </c>
      <c r="AG29" s="177"/>
      <c r="AH29" s="37" t="s">
        <v>239</v>
      </c>
      <c r="AI29" s="95"/>
      <c r="AJ29" s="37" t="s">
        <v>241</v>
      </c>
      <c r="AK29" s="319">
        <v>41491</v>
      </c>
      <c r="AL29" s="37" t="s">
        <v>241</v>
      </c>
      <c r="AM29" s="319">
        <v>41505</v>
      </c>
      <c r="AN29" s="321"/>
      <c r="AO29" s="37" t="s">
        <v>241</v>
      </c>
    </row>
    <row r="30" spans="1:41" ht="16.5" customHeight="1" x14ac:dyDescent="0.25">
      <c r="A30" s="38" t="s">
        <v>1297</v>
      </c>
      <c r="B30" s="179" t="s">
        <v>740</v>
      </c>
      <c r="C30" s="179" t="s">
        <v>741</v>
      </c>
      <c r="D30" s="179" t="s">
        <v>1327</v>
      </c>
      <c r="E30" s="43" t="s">
        <v>241</v>
      </c>
      <c r="F30" s="175">
        <v>42793</v>
      </c>
      <c r="G30" s="43" t="s">
        <v>241</v>
      </c>
      <c r="H30" s="175">
        <v>42793</v>
      </c>
      <c r="I30" s="43" t="s">
        <v>239</v>
      </c>
      <c r="J30" s="175"/>
      <c r="K30" s="43" t="s">
        <v>239</v>
      </c>
      <c r="L30" s="175"/>
      <c r="M30" s="44" t="s">
        <v>241</v>
      </c>
      <c r="N30" s="175">
        <v>43280</v>
      </c>
      <c r="O30" s="44" t="s">
        <v>239</v>
      </c>
      <c r="P30" s="175"/>
      <c r="Q30" s="44" t="s">
        <v>241</v>
      </c>
      <c r="R30" s="175">
        <v>42823</v>
      </c>
      <c r="S30" s="175"/>
      <c r="T30" s="175"/>
      <c r="U30" s="44" t="s">
        <v>241</v>
      </c>
      <c r="V30" s="95">
        <v>42824</v>
      </c>
      <c r="W30" s="44" t="s">
        <v>241</v>
      </c>
      <c r="X30" s="175">
        <v>43137</v>
      </c>
      <c r="Y30" s="175"/>
      <c r="Z30" s="175"/>
      <c r="AA30" s="44" t="s">
        <v>241</v>
      </c>
      <c r="AB30" s="95">
        <v>39112</v>
      </c>
      <c r="AC30" s="44" t="s">
        <v>241</v>
      </c>
      <c r="AD30" s="95">
        <v>42909</v>
      </c>
      <c r="AE30" s="320">
        <f t="shared" si="1"/>
        <v>0.27272727272727271</v>
      </c>
      <c r="AF30" s="37" t="s">
        <v>239</v>
      </c>
      <c r="AG30" s="177"/>
      <c r="AH30" s="37" t="s">
        <v>239</v>
      </c>
      <c r="AI30" s="95"/>
      <c r="AJ30" s="37" t="s">
        <v>241</v>
      </c>
      <c r="AK30" s="319">
        <v>41491</v>
      </c>
      <c r="AL30" s="37" t="s">
        <v>241</v>
      </c>
      <c r="AM30" s="319">
        <v>41505</v>
      </c>
      <c r="AN30" s="321"/>
      <c r="AO30" s="37" t="s">
        <v>241</v>
      </c>
    </row>
    <row r="31" spans="1:41" ht="16.5" customHeight="1" x14ac:dyDescent="0.25">
      <c r="A31" s="38" t="s">
        <v>1297</v>
      </c>
      <c r="B31" s="178" t="s">
        <v>797</v>
      </c>
      <c r="C31" s="178" t="s">
        <v>798</v>
      </c>
      <c r="D31" s="178" t="s">
        <v>1327</v>
      </c>
      <c r="E31" s="43" t="s">
        <v>241</v>
      </c>
      <c r="F31" s="175">
        <v>43132</v>
      </c>
      <c r="G31" s="43" t="s">
        <v>241</v>
      </c>
      <c r="H31" s="175">
        <v>43132</v>
      </c>
      <c r="I31" s="43" t="s">
        <v>239</v>
      </c>
      <c r="J31" s="177"/>
      <c r="K31" s="43" t="s">
        <v>239</v>
      </c>
      <c r="L31" s="175"/>
      <c r="M31" s="44" t="s">
        <v>241</v>
      </c>
      <c r="N31" s="175">
        <v>43217</v>
      </c>
      <c r="O31" s="44" t="s">
        <v>241</v>
      </c>
      <c r="P31" s="175">
        <v>43370</v>
      </c>
      <c r="Q31" s="44" t="s">
        <v>241</v>
      </c>
      <c r="R31" s="175">
        <v>43256</v>
      </c>
      <c r="S31" s="175"/>
      <c r="T31" s="175"/>
      <c r="U31" s="44" t="s">
        <v>239</v>
      </c>
      <c r="V31" s="95"/>
      <c r="W31" s="44" t="s">
        <v>241</v>
      </c>
      <c r="X31" s="175">
        <v>42066</v>
      </c>
      <c r="Y31" s="175"/>
      <c r="Z31" s="175"/>
      <c r="AA31" s="44" t="s">
        <v>239</v>
      </c>
      <c r="AB31" s="95"/>
      <c r="AC31" s="44" t="s">
        <v>241</v>
      </c>
      <c r="AD31" s="95">
        <v>43146</v>
      </c>
      <c r="AE31" s="320">
        <f t="shared" si="1"/>
        <v>0.36363636363636365</v>
      </c>
      <c r="AF31" s="37"/>
      <c r="AG31" s="177"/>
      <c r="AH31" s="37" t="s">
        <v>239</v>
      </c>
      <c r="AI31" s="95"/>
      <c r="AJ31" s="37"/>
      <c r="AK31" s="319"/>
      <c r="AL31" s="37"/>
      <c r="AM31" s="319"/>
      <c r="AN31" s="321"/>
      <c r="AO31" s="37" t="s">
        <v>241</v>
      </c>
    </row>
    <row r="32" spans="1:41" ht="16.5" customHeight="1" x14ac:dyDescent="0.25">
      <c r="A32" s="38" t="s">
        <v>270</v>
      </c>
      <c r="B32" s="178" t="s">
        <v>1302</v>
      </c>
      <c r="C32" s="178" t="s">
        <v>1303</v>
      </c>
      <c r="D32" s="178" t="s">
        <v>1293</v>
      </c>
      <c r="E32" s="43" t="s">
        <v>241</v>
      </c>
      <c r="F32" s="175">
        <v>40813</v>
      </c>
      <c r="G32" s="43" t="s">
        <v>239</v>
      </c>
      <c r="H32" s="175"/>
      <c r="I32" s="43" t="s">
        <v>241</v>
      </c>
      <c r="J32" s="177">
        <v>41389</v>
      </c>
      <c r="K32" s="43" t="s">
        <v>241</v>
      </c>
      <c r="L32" s="175">
        <v>41317</v>
      </c>
      <c r="M32" s="44" t="s">
        <v>241</v>
      </c>
      <c r="N32" s="175">
        <v>43363</v>
      </c>
      <c r="O32" s="44" t="s">
        <v>239</v>
      </c>
      <c r="P32" s="175"/>
      <c r="Q32" s="44" t="s">
        <v>239</v>
      </c>
      <c r="R32" s="175"/>
      <c r="S32" s="175" t="s">
        <v>241</v>
      </c>
      <c r="T32" s="175">
        <v>43425</v>
      </c>
      <c r="U32" s="44" t="s">
        <v>239</v>
      </c>
      <c r="V32" s="95"/>
      <c r="W32" s="44" t="s">
        <v>241</v>
      </c>
      <c r="X32" s="175">
        <v>38855</v>
      </c>
      <c r="Y32" s="175"/>
      <c r="Z32" s="175"/>
      <c r="AA32" s="44" t="s">
        <v>241</v>
      </c>
      <c r="AB32" s="95">
        <v>39258</v>
      </c>
      <c r="AC32" s="44" t="s">
        <v>241</v>
      </c>
      <c r="AD32" s="95">
        <v>42915</v>
      </c>
      <c r="AE32" s="320">
        <f t="shared" si="1"/>
        <v>0.33333333333333331</v>
      </c>
      <c r="AF32" s="37"/>
      <c r="AG32" s="177"/>
      <c r="AH32" s="37"/>
      <c r="AI32" s="95"/>
      <c r="AJ32" s="37"/>
      <c r="AK32" s="319"/>
      <c r="AL32" s="37"/>
      <c r="AM32" s="319"/>
      <c r="AN32" s="321"/>
      <c r="AO32" s="37"/>
    </row>
    <row r="33" spans="1:41" ht="16.5" customHeight="1" x14ac:dyDescent="0.25">
      <c r="A33" s="38" t="s">
        <v>270</v>
      </c>
      <c r="B33" s="179" t="s">
        <v>1304</v>
      </c>
      <c r="C33" s="179" t="s">
        <v>1305</v>
      </c>
      <c r="D33" s="178" t="s">
        <v>1293</v>
      </c>
      <c r="E33" s="43" t="s">
        <v>239</v>
      </c>
      <c r="F33" s="175"/>
      <c r="G33" s="43" t="s">
        <v>239</v>
      </c>
      <c r="H33" s="175"/>
      <c r="I33" s="43" t="s">
        <v>239</v>
      </c>
      <c r="J33" s="175"/>
      <c r="K33" s="43" t="s">
        <v>239</v>
      </c>
      <c r="L33" s="175"/>
      <c r="M33" s="44" t="s">
        <v>239</v>
      </c>
      <c r="N33" s="175"/>
      <c r="O33" s="44" t="s">
        <v>239</v>
      </c>
      <c r="P33" s="175"/>
      <c r="Q33" s="44" t="s">
        <v>239</v>
      </c>
      <c r="R33" s="175"/>
      <c r="S33" s="175" t="s">
        <v>239</v>
      </c>
      <c r="T33" s="175"/>
      <c r="U33" s="44" t="s">
        <v>239</v>
      </c>
      <c r="V33" s="95"/>
      <c r="W33" s="44" t="s">
        <v>241</v>
      </c>
      <c r="X33" s="175">
        <v>38891</v>
      </c>
      <c r="Y33" s="175"/>
      <c r="Z33" s="175"/>
      <c r="AA33" s="44" t="s">
        <v>241</v>
      </c>
      <c r="AB33" s="95">
        <v>42786</v>
      </c>
      <c r="AC33" s="44" t="s">
        <v>239</v>
      </c>
      <c r="AD33" s="95"/>
      <c r="AE33" s="320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19"/>
      <c r="AN33" s="321"/>
      <c r="AO33" s="37"/>
    </row>
    <row r="34" spans="1:41" ht="16.5" customHeight="1" x14ac:dyDescent="0.25">
      <c r="A34" s="38" t="s">
        <v>1297</v>
      </c>
      <c r="B34" s="179" t="s">
        <v>1306</v>
      </c>
      <c r="C34" s="179" t="s">
        <v>823</v>
      </c>
      <c r="D34" s="178" t="s">
        <v>1324</v>
      </c>
      <c r="E34" s="43" t="s">
        <v>239</v>
      </c>
      <c r="F34" s="175"/>
      <c r="G34" s="43" t="s">
        <v>239</v>
      </c>
      <c r="H34" s="175"/>
      <c r="I34" s="43" t="s">
        <v>239</v>
      </c>
      <c r="J34" s="177"/>
      <c r="K34" s="43" t="s">
        <v>239</v>
      </c>
      <c r="L34" s="175"/>
      <c r="M34" s="44" t="s">
        <v>241</v>
      </c>
      <c r="N34" s="175">
        <v>43844</v>
      </c>
      <c r="O34" s="44" t="s">
        <v>239</v>
      </c>
      <c r="P34" s="175"/>
      <c r="Q34" s="44" t="s">
        <v>239</v>
      </c>
      <c r="R34" s="175"/>
      <c r="S34" s="175" t="s">
        <v>239</v>
      </c>
      <c r="T34" s="175"/>
      <c r="U34" s="44" t="s">
        <v>239</v>
      </c>
      <c r="V34" s="95"/>
      <c r="W34" s="44" t="s">
        <v>241</v>
      </c>
      <c r="X34" s="175">
        <v>43438</v>
      </c>
      <c r="Y34" s="175"/>
      <c r="Z34" s="175"/>
      <c r="AA34" s="44" t="s">
        <v>239</v>
      </c>
      <c r="AB34" s="95"/>
      <c r="AC34" s="44" t="s">
        <v>241</v>
      </c>
      <c r="AD34" s="95">
        <v>42894</v>
      </c>
      <c r="AE34" s="320">
        <f t="shared" si="1"/>
        <v>0.75</v>
      </c>
      <c r="AF34" s="37"/>
      <c r="AG34" s="177"/>
      <c r="AH34" s="37"/>
      <c r="AI34" s="95"/>
      <c r="AJ34" s="37"/>
      <c r="AK34" s="319"/>
      <c r="AL34" s="37"/>
      <c r="AM34" s="319"/>
      <c r="AN34" s="321"/>
      <c r="AO34" s="37"/>
    </row>
    <row r="35" spans="1:41" ht="16.5" customHeight="1" x14ac:dyDescent="0.25">
      <c r="A35" s="38" t="s">
        <v>1278</v>
      </c>
      <c r="B35" s="178" t="s">
        <v>973</v>
      </c>
      <c r="C35" s="178" t="s">
        <v>915</v>
      </c>
      <c r="D35" s="179" t="s">
        <v>1328</v>
      </c>
      <c r="E35" s="43" t="s">
        <v>239</v>
      </c>
      <c r="F35" s="175"/>
      <c r="G35" s="43" t="s">
        <v>239</v>
      </c>
      <c r="H35" s="175"/>
      <c r="I35" s="43" t="s">
        <v>239</v>
      </c>
      <c r="J35" s="175"/>
      <c r="K35" s="43" t="s">
        <v>239</v>
      </c>
      <c r="L35" s="175"/>
      <c r="M35" s="44" t="s">
        <v>241</v>
      </c>
      <c r="N35" s="175">
        <v>42172</v>
      </c>
      <c r="O35" s="44" t="s">
        <v>239</v>
      </c>
      <c r="P35" s="175"/>
      <c r="Q35" s="44" t="s">
        <v>241</v>
      </c>
      <c r="R35" s="175">
        <v>39120</v>
      </c>
      <c r="S35" s="175"/>
      <c r="T35" s="175"/>
      <c r="U35" s="44" t="s">
        <v>239</v>
      </c>
      <c r="V35" s="95"/>
      <c r="W35" s="44" t="s">
        <v>241</v>
      </c>
      <c r="X35" s="175">
        <v>41723</v>
      </c>
      <c r="Y35" s="175"/>
      <c r="Z35" s="175"/>
      <c r="AA35" s="44" t="s">
        <v>241</v>
      </c>
      <c r="AB35" s="95">
        <v>39154</v>
      </c>
      <c r="AC35" s="44" t="s">
        <v>239</v>
      </c>
      <c r="AD35" s="95"/>
      <c r="AE35" s="320">
        <f t="shared" si="1"/>
        <v>0.63636363636363635</v>
      </c>
      <c r="AF35" s="37"/>
      <c r="AG35" s="177"/>
      <c r="AH35" s="37"/>
      <c r="AI35" s="95"/>
      <c r="AJ35" s="37"/>
      <c r="AK35" s="319"/>
      <c r="AL35" s="37"/>
      <c r="AM35" s="319"/>
      <c r="AN35" s="321">
        <f>COUNTIF('Liste AT'!$E$7:$E$31, "Siège UO TER TRAINS")</f>
        <v>0</v>
      </c>
      <c r="AO35" s="37"/>
    </row>
    <row r="36" spans="1:41" ht="16.5" customHeight="1" x14ac:dyDescent="0.25">
      <c r="A36" s="38" t="s">
        <v>1278</v>
      </c>
      <c r="B36" s="178" t="s">
        <v>903</v>
      </c>
      <c r="C36" s="178" t="s">
        <v>904</v>
      </c>
      <c r="D36" s="483"/>
      <c r="E36" s="43" t="s">
        <v>241</v>
      </c>
      <c r="F36" s="175">
        <v>39742</v>
      </c>
      <c r="G36" s="43" t="s">
        <v>241</v>
      </c>
      <c r="H36" s="175">
        <v>39742</v>
      </c>
      <c r="I36" s="43" t="s">
        <v>241</v>
      </c>
      <c r="J36" s="175">
        <v>39709</v>
      </c>
      <c r="K36" s="43" t="s">
        <v>241</v>
      </c>
      <c r="L36" s="175">
        <v>39120</v>
      </c>
      <c r="M36" s="44" t="s">
        <v>241</v>
      </c>
      <c r="N36" s="175">
        <v>43487</v>
      </c>
      <c r="O36" s="44" t="s">
        <v>239</v>
      </c>
      <c r="P36" s="175"/>
      <c r="Q36" s="44" t="s">
        <v>239</v>
      </c>
      <c r="R36" s="175"/>
      <c r="S36" s="175"/>
      <c r="T36" s="175"/>
      <c r="U36" s="44" t="s">
        <v>239</v>
      </c>
      <c r="V36" s="95"/>
      <c r="W36" s="44" t="s">
        <v>241</v>
      </c>
      <c r="X36" s="175">
        <v>43181</v>
      </c>
      <c r="Y36" s="175"/>
      <c r="Z36" s="175"/>
      <c r="AA36" s="44" t="s">
        <v>239</v>
      </c>
      <c r="AB36" s="95"/>
      <c r="AC36" s="44" t="s">
        <v>239</v>
      </c>
      <c r="AD36" s="95"/>
      <c r="AE36" s="320">
        <f t="shared" si="1"/>
        <v>0.45454545454545453</v>
      </c>
      <c r="AF36" s="37"/>
      <c r="AG36" s="177"/>
      <c r="AH36" s="37"/>
      <c r="AI36" s="95"/>
      <c r="AJ36" s="37"/>
      <c r="AK36" s="319"/>
      <c r="AL36" s="37"/>
      <c r="AM36" s="319"/>
      <c r="AN36" s="321"/>
      <c r="AO36" s="37"/>
    </row>
    <row r="37" spans="1:41" ht="16.5" customHeight="1" x14ac:dyDescent="0.25">
      <c r="A37" s="38" t="s">
        <v>1278</v>
      </c>
      <c r="B37" s="179" t="s">
        <v>917</v>
      </c>
      <c r="C37" s="179" t="s">
        <v>919</v>
      </c>
      <c r="D37" s="178" t="s">
        <v>1329</v>
      </c>
      <c r="E37" s="43" t="s">
        <v>239</v>
      </c>
      <c r="F37" s="175"/>
      <c r="G37" s="43" t="s">
        <v>239</v>
      </c>
      <c r="H37" s="175"/>
      <c r="I37" s="43" t="s">
        <v>239</v>
      </c>
      <c r="J37" s="177"/>
      <c r="K37" s="43" t="s">
        <v>239</v>
      </c>
      <c r="L37" s="175"/>
      <c r="M37" s="44" t="s">
        <v>241</v>
      </c>
      <c r="N37" s="175">
        <v>43370</v>
      </c>
      <c r="O37" s="44" t="s">
        <v>239</v>
      </c>
      <c r="P37" s="175"/>
      <c r="Q37" s="44" t="s">
        <v>239</v>
      </c>
      <c r="R37" s="175"/>
      <c r="S37" s="175"/>
      <c r="T37" s="175"/>
      <c r="U37" s="44" t="s">
        <v>239</v>
      </c>
      <c r="V37" s="95"/>
      <c r="W37" s="44" t="s">
        <v>239</v>
      </c>
      <c r="X37" s="175"/>
      <c r="Y37" s="175"/>
      <c r="Z37" s="175"/>
      <c r="AA37" s="44" t="s">
        <v>239</v>
      </c>
      <c r="AB37" s="95"/>
      <c r="AC37" s="44" t="s">
        <v>239</v>
      </c>
      <c r="AD37" s="95"/>
      <c r="AE37" s="320">
        <f t="shared" si="1"/>
        <v>0.90909090909090906</v>
      </c>
      <c r="AF37" s="37"/>
      <c r="AG37" s="177"/>
      <c r="AH37" s="37"/>
      <c r="AI37" s="95"/>
      <c r="AJ37" s="37"/>
      <c r="AK37" s="319"/>
      <c r="AL37" s="37"/>
      <c r="AM37" s="319"/>
      <c r="AN37" s="321"/>
      <c r="AO37" s="37"/>
    </row>
    <row r="38" spans="1:41" ht="16.5" customHeight="1" x14ac:dyDescent="0.25">
      <c r="A38" s="38" t="s">
        <v>1278</v>
      </c>
      <c r="B38" s="179" t="s">
        <v>918</v>
      </c>
      <c r="C38" s="179" t="s">
        <v>732</v>
      </c>
      <c r="D38" s="178" t="s">
        <v>920</v>
      </c>
      <c r="E38" s="43" t="s">
        <v>239</v>
      </c>
      <c r="F38" s="175"/>
      <c r="G38" s="43" t="s">
        <v>239</v>
      </c>
      <c r="H38" s="175"/>
      <c r="I38" s="43" t="s">
        <v>239</v>
      </c>
      <c r="J38" s="177"/>
      <c r="K38" s="43" t="s">
        <v>239</v>
      </c>
      <c r="L38" s="175"/>
      <c r="M38" s="44" t="s">
        <v>241</v>
      </c>
      <c r="N38" s="175">
        <v>43370</v>
      </c>
      <c r="O38" s="44" t="s">
        <v>239</v>
      </c>
      <c r="P38" s="175"/>
      <c r="Q38" s="44" t="s">
        <v>239</v>
      </c>
      <c r="R38" s="175"/>
      <c r="S38" s="175"/>
      <c r="T38" s="175"/>
      <c r="U38" s="44" t="s">
        <v>239</v>
      </c>
      <c r="V38" s="95"/>
      <c r="W38" s="44" t="s">
        <v>241</v>
      </c>
      <c r="X38" s="175">
        <v>41226</v>
      </c>
      <c r="Y38" s="175"/>
      <c r="Z38" s="175"/>
      <c r="AA38" s="44" t="s">
        <v>239</v>
      </c>
      <c r="AB38" s="95"/>
      <c r="AC38" s="44" t="s">
        <v>239</v>
      </c>
      <c r="AD38" s="95"/>
      <c r="AE38" s="320">
        <f t="shared" si="1"/>
        <v>0.81818181818181823</v>
      </c>
      <c r="AF38" s="37"/>
      <c r="AG38" s="177"/>
      <c r="AH38" s="37"/>
      <c r="AI38" s="95"/>
      <c r="AJ38" s="37"/>
      <c r="AK38" s="319"/>
      <c r="AL38" s="37"/>
      <c r="AM38" s="319"/>
      <c r="AN38" s="321"/>
      <c r="AO38" s="37"/>
    </row>
    <row r="39" spans="1:41" ht="16.5" customHeight="1" x14ac:dyDescent="0.25">
      <c r="A39" s="475" t="s">
        <v>1278</v>
      </c>
      <c r="B39" s="178" t="s">
        <v>814</v>
      </c>
      <c r="C39" s="179" t="s">
        <v>844</v>
      </c>
      <c r="D39" s="349" t="s">
        <v>800</v>
      </c>
      <c r="E39" s="43" t="s">
        <v>239</v>
      </c>
      <c r="F39" s="175"/>
      <c r="G39" s="43" t="s">
        <v>239</v>
      </c>
      <c r="H39" s="175"/>
      <c r="I39" s="43" t="s">
        <v>241</v>
      </c>
      <c r="J39" s="175">
        <v>39884</v>
      </c>
      <c r="K39" s="43" t="s">
        <v>239</v>
      </c>
      <c r="L39" s="175"/>
      <c r="M39" s="44" t="s">
        <v>241</v>
      </c>
      <c r="N39" s="175">
        <v>43473</v>
      </c>
      <c r="O39" s="44" t="s">
        <v>239</v>
      </c>
      <c r="P39" s="175"/>
      <c r="Q39" s="44" t="s">
        <v>239</v>
      </c>
      <c r="R39" s="175"/>
      <c r="S39" s="175"/>
      <c r="T39" s="175"/>
      <c r="U39" s="44" t="s">
        <v>239</v>
      </c>
      <c r="V39" s="95"/>
      <c r="W39" s="44" t="s">
        <v>241</v>
      </c>
      <c r="X39" s="175">
        <v>42870</v>
      </c>
      <c r="Y39" s="175"/>
      <c r="Z39" s="175"/>
      <c r="AA39" s="44" t="s">
        <v>239</v>
      </c>
      <c r="AB39" s="95"/>
      <c r="AC39" s="44" t="s">
        <v>239</v>
      </c>
      <c r="AD39" s="95"/>
      <c r="AE39" s="320">
        <f t="shared" si="1"/>
        <v>0.72727272727272729</v>
      </c>
      <c r="AF39" s="37" t="s">
        <v>538</v>
      </c>
      <c r="AG39" s="177"/>
      <c r="AH39" s="37"/>
      <c r="AI39" s="95"/>
      <c r="AJ39" s="37"/>
      <c r="AK39" s="42"/>
      <c r="AL39" s="37"/>
      <c r="AM39" s="42"/>
      <c r="AN39" s="321">
        <f>COUNTIF('Liste AT'!$E$7:$E$31, "TER Bommarito")</f>
        <v>0</v>
      </c>
      <c r="AO39" s="37" t="s">
        <v>241</v>
      </c>
    </row>
    <row r="40" spans="1:41" ht="16.5" customHeight="1" x14ac:dyDescent="0.25">
      <c r="A40" s="475" t="s">
        <v>1278</v>
      </c>
      <c r="B40" s="178" t="s">
        <v>815</v>
      </c>
      <c r="C40" s="179" t="s">
        <v>845</v>
      </c>
      <c r="D40" s="349" t="s">
        <v>801</v>
      </c>
      <c r="E40" s="43" t="s">
        <v>241</v>
      </c>
      <c r="F40" s="175">
        <v>40730</v>
      </c>
      <c r="G40" s="43" t="s">
        <v>239</v>
      </c>
      <c r="H40" s="175"/>
      <c r="I40" s="43" t="s">
        <v>239</v>
      </c>
      <c r="J40" s="175"/>
      <c r="K40" s="43" t="s">
        <v>241</v>
      </c>
      <c r="L40" s="175">
        <v>43010</v>
      </c>
      <c r="M40" s="44" t="s">
        <v>241</v>
      </c>
      <c r="N40" s="175">
        <v>43370</v>
      </c>
      <c r="O40" s="44" t="s">
        <v>239</v>
      </c>
      <c r="P40" s="175"/>
      <c r="Q40" s="44" t="s">
        <v>239</v>
      </c>
      <c r="R40" s="175"/>
      <c r="S40" s="175" t="s">
        <v>241</v>
      </c>
      <c r="T40" s="175">
        <v>42761</v>
      </c>
      <c r="U40" s="44" t="s">
        <v>241</v>
      </c>
      <c r="V40" s="95">
        <v>42767</v>
      </c>
      <c r="W40" s="44" t="s">
        <v>239</v>
      </c>
      <c r="X40" s="175"/>
      <c r="Y40" s="175"/>
      <c r="Z40" s="175"/>
      <c r="AA40" s="44" t="s">
        <v>239</v>
      </c>
      <c r="AB40" s="95"/>
      <c r="AC40" s="44" t="s">
        <v>239</v>
      </c>
      <c r="AD40" s="95"/>
      <c r="AE40" s="320">
        <f t="shared" si="1"/>
        <v>0.58333333333333337</v>
      </c>
      <c r="AF40" s="37" t="s">
        <v>241</v>
      </c>
      <c r="AG40" s="177">
        <v>43391</v>
      </c>
      <c r="AH40" s="37"/>
      <c r="AI40" s="95"/>
      <c r="AJ40" s="37"/>
      <c r="AK40" s="42"/>
      <c r="AL40" s="37"/>
      <c r="AM40" s="42"/>
      <c r="AN40" s="321">
        <f>COUNTIF('Liste AT'!$E$7:$E$31, "TER Viteau")</f>
        <v>0</v>
      </c>
      <c r="AO40" s="37" t="s">
        <v>241</v>
      </c>
    </row>
    <row r="41" spans="1:41" ht="16.5" customHeight="1" x14ac:dyDescent="0.25">
      <c r="A41" s="475" t="s">
        <v>1278</v>
      </c>
      <c r="B41" s="178" t="s">
        <v>846</v>
      </c>
      <c r="C41" s="179" t="s">
        <v>884</v>
      </c>
      <c r="D41" s="349" t="s">
        <v>847</v>
      </c>
      <c r="E41" s="43" t="s">
        <v>239</v>
      </c>
      <c r="F41" s="175"/>
      <c r="G41" s="43" t="s">
        <v>239</v>
      </c>
      <c r="H41" s="175"/>
      <c r="I41" s="43" t="s">
        <v>239</v>
      </c>
      <c r="J41" s="175"/>
      <c r="K41" s="43" t="s">
        <v>239</v>
      </c>
      <c r="L41" s="175"/>
      <c r="M41" s="44" t="s">
        <v>241</v>
      </c>
      <c r="N41" s="175">
        <v>43473</v>
      </c>
      <c r="O41" s="44" t="s">
        <v>239</v>
      </c>
      <c r="P41" s="175"/>
      <c r="Q41" s="44" t="s">
        <v>239</v>
      </c>
      <c r="R41" s="175"/>
      <c r="S41" s="175"/>
      <c r="T41" s="175"/>
      <c r="U41" s="44" t="s">
        <v>239</v>
      </c>
      <c r="V41" s="95"/>
      <c r="W41" s="44" t="s">
        <v>241</v>
      </c>
      <c r="X41" s="175">
        <v>40865</v>
      </c>
      <c r="Y41" s="175"/>
      <c r="Z41" s="175"/>
      <c r="AA41" s="44" t="s">
        <v>239</v>
      </c>
      <c r="AB41" s="95"/>
      <c r="AC41" s="44" t="s">
        <v>241</v>
      </c>
      <c r="AD41" s="95">
        <v>42902</v>
      </c>
      <c r="AE41" s="320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21">
        <f>COUNTIF('Liste AT'!$E$7:$E$31, "TER Garcia")</f>
        <v>0</v>
      </c>
      <c r="AO41" s="37" t="s">
        <v>241</v>
      </c>
    </row>
    <row r="42" spans="1:41" ht="16.5" customHeight="1" x14ac:dyDescent="0.25">
      <c r="A42" s="475" t="s">
        <v>1278</v>
      </c>
      <c r="B42" s="178" t="s">
        <v>816</v>
      </c>
      <c r="C42" s="179" t="s">
        <v>848</v>
      </c>
      <c r="D42" s="349" t="s">
        <v>802</v>
      </c>
      <c r="E42" s="43" t="s">
        <v>239</v>
      </c>
      <c r="F42" s="175"/>
      <c r="G42" s="43" t="s">
        <v>239</v>
      </c>
      <c r="H42" s="175"/>
      <c r="I42" s="43" t="s">
        <v>241</v>
      </c>
      <c r="J42" s="175">
        <v>43139</v>
      </c>
      <c r="K42" s="43" t="s">
        <v>239</v>
      </c>
      <c r="L42" s="175"/>
      <c r="M42" s="44" t="s">
        <v>241</v>
      </c>
      <c r="N42" s="175">
        <v>43473</v>
      </c>
      <c r="O42" s="44" t="s">
        <v>239</v>
      </c>
      <c r="P42" s="175"/>
      <c r="Q42" s="44" t="s">
        <v>239</v>
      </c>
      <c r="R42" s="175"/>
      <c r="S42" s="175"/>
      <c r="T42" s="175"/>
      <c r="U42" s="44" t="s">
        <v>239</v>
      </c>
      <c r="V42" s="95"/>
      <c r="W42" s="44" t="s">
        <v>241</v>
      </c>
      <c r="X42" s="175">
        <v>42870</v>
      </c>
      <c r="Y42" s="175"/>
      <c r="Z42" s="175"/>
      <c r="AA42" s="44" t="s">
        <v>239</v>
      </c>
      <c r="AB42" s="95"/>
      <c r="AC42" s="44" t="s">
        <v>239</v>
      </c>
      <c r="AD42" s="95"/>
      <c r="AE42" s="320">
        <f t="shared" si="1"/>
        <v>0.72727272727272729</v>
      </c>
      <c r="AF42" s="37" t="s">
        <v>241</v>
      </c>
      <c r="AG42" s="177">
        <v>43391</v>
      </c>
      <c r="AH42" s="37"/>
      <c r="AI42" s="95"/>
      <c r="AJ42" s="37"/>
      <c r="AK42" s="42"/>
      <c r="AL42" s="37"/>
      <c r="AM42" s="42"/>
      <c r="AN42" s="321">
        <f>COUNTIF('Liste AT'!$E$7:$E$31, "TER Porcher")</f>
        <v>0</v>
      </c>
      <c r="AO42" s="37" t="s">
        <v>241</v>
      </c>
    </row>
    <row r="43" spans="1:41" ht="16.5" customHeight="1" x14ac:dyDescent="0.25">
      <c r="A43" s="475" t="s">
        <v>1278</v>
      </c>
      <c r="B43" s="178" t="s">
        <v>817</v>
      </c>
      <c r="C43" s="179" t="s">
        <v>843</v>
      </c>
      <c r="D43" s="349" t="s">
        <v>803</v>
      </c>
      <c r="E43" s="43" t="s">
        <v>241</v>
      </c>
      <c r="F43" s="175">
        <v>39560</v>
      </c>
      <c r="G43" s="43" t="s">
        <v>239</v>
      </c>
      <c r="H43" s="175"/>
      <c r="I43" s="43" t="s">
        <v>241</v>
      </c>
      <c r="J43" s="175">
        <v>39793</v>
      </c>
      <c r="K43" s="43" t="s">
        <v>239</v>
      </c>
      <c r="L43" s="175"/>
      <c r="M43" s="44" t="s">
        <v>241</v>
      </c>
      <c r="N43" s="175">
        <v>43370</v>
      </c>
      <c r="O43" s="44" t="s">
        <v>239</v>
      </c>
      <c r="P43" s="175"/>
      <c r="Q43" s="44" t="s">
        <v>239</v>
      </c>
      <c r="R43" s="175"/>
      <c r="S43" s="175"/>
      <c r="T43" s="175"/>
      <c r="U43" s="44" t="s">
        <v>239</v>
      </c>
      <c r="V43" s="95"/>
      <c r="W43" s="44" t="s">
        <v>239</v>
      </c>
      <c r="X43" s="175"/>
      <c r="Y43" s="175"/>
      <c r="Z43" s="175"/>
      <c r="AA43" s="44" t="s">
        <v>239</v>
      </c>
      <c r="AB43" s="95"/>
      <c r="AC43" s="44" t="s">
        <v>241</v>
      </c>
      <c r="AD43" s="95">
        <v>42909</v>
      </c>
      <c r="AE43" s="320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21">
        <f>COUNTIF('Liste AT'!$E$7:$E$31, "TER Giovagnoli")</f>
        <v>0</v>
      </c>
      <c r="AO43" s="37" t="s">
        <v>241</v>
      </c>
    </row>
    <row r="44" spans="1:41" ht="16.5" customHeight="1" x14ac:dyDescent="0.25">
      <c r="A44" s="475" t="s">
        <v>1278</v>
      </c>
      <c r="B44" s="179" t="s">
        <v>818</v>
      </c>
      <c r="C44" s="179" t="s">
        <v>849</v>
      </c>
      <c r="D44" s="349" t="s">
        <v>804</v>
      </c>
      <c r="E44" s="43" t="s">
        <v>239</v>
      </c>
      <c r="F44" s="175"/>
      <c r="G44" s="43" t="s">
        <v>239</v>
      </c>
      <c r="H44" s="175"/>
      <c r="I44" s="43" t="s">
        <v>241</v>
      </c>
      <c r="J44" s="175">
        <v>43139</v>
      </c>
      <c r="K44" s="43" t="s">
        <v>241</v>
      </c>
      <c r="L44" s="175">
        <v>43010</v>
      </c>
      <c r="M44" s="44" t="s">
        <v>241</v>
      </c>
      <c r="N44" s="175">
        <v>43370</v>
      </c>
      <c r="O44" s="44" t="s">
        <v>239</v>
      </c>
      <c r="P44" s="175"/>
      <c r="Q44" s="44" t="s">
        <v>239</v>
      </c>
      <c r="R44" s="175"/>
      <c r="S44" s="175"/>
      <c r="T44" s="175"/>
      <c r="U44" s="44" t="s">
        <v>239</v>
      </c>
      <c r="V44" s="95"/>
      <c r="W44" s="44" t="s">
        <v>239</v>
      </c>
      <c r="X44" s="175"/>
      <c r="Y44" s="175"/>
      <c r="Z44" s="175"/>
      <c r="AA44" s="44" t="s">
        <v>239</v>
      </c>
      <c r="AB44" s="95"/>
      <c r="AC44" s="44" t="s">
        <v>239</v>
      </c>
      <c r="AD44" s="95"/>
      <c r="AE44" s="320">
        <f t="shared" si="1"/>
        <v>0.72727272727272729</v>
      </c>
      <c r="AF44" s="37" t="s">
        <v>241</v>
      </c>
      <c r="AG44" s="177">
        <v>43391</v>
      </c>
      <c r="AH44" s="37"/>
      <c r="AI44" s="95"/>
      <c r="AJ44" s="37"/>
      <c r="AK44" s="42"/>
      <c r="AL44" s="37"/>
      <c r="AM44" s="42"/>
      <c r="AN44" s="321">
        <f>COUNTIF('Liste AT'!$E$7:$E$31, "TER Auguste")</f>
        <v>0</v>
      </c>
      <c r="AO44" s="37" t="s">
        <v>241</v>
      </c>
    </row>
    <row r="45" spans="1:41" ht="16.5" customHeight="1" x14ac:dyDescent="0.25">
      <c r="A45" s="476" t="s">
        <v>1297</v>
      </c>
      <c r="B45" s="352" t="s">
        <v>854</v>
      </c>
      <c r="C45" s="352" t="s">
        <v>897</v>
      </c>
      <c r="D45" s="353" t="s">
        <v>1359</v>
      </c>
      <c r="E45" s="350" t="s">
        <v>239</v>
      </c>
      <c r="F45" s="354"/>
      <c r="G45" s="350" t="s">
        <v>239</v>
      </c>
      <c r="H45" s="354"/>
      <c r="I45" s="350" t="s">
        <v>239</v>
      </c>
      <c r="J45" s="354"/>
      <c r="K45" s="350" t="s">
        <v>239</v>
      </c>
      <c r="L45" s="354"/>
      <c r="M45" s="355" t="s">
        <v>241</v>
      </c>
      <c r="N45" s="354">
        <v>43487</v>
      </c>
      <c r="O45" s="355" t="s">
        <v>241</v>
      </c>
      <c r="P45" s="354">
        <v>39786</v>
      </c>
      <c r="Q45" s="355" t="s">
        <v>241</v>
      </c>
      <c r="R45" s="354">
        <v>40290</v>
      </c>
      <c r="S45" s="354"/>
      <c r="T45" s="354"/>
      <c r="U45" s="355" t="s">
        <v>239</v>
      </c>
      <c r="V45" s="356"/>
      <c r="W45" s="355" t="s">
        <v>239</v>
      </c>
      <c r="X45" s="354"/>
      <c r="Y45" s="354"/>
      <c r="Z45" s="354"/>
      <c r="AA45" s="355" t="s">
        <v>239</v>
      </c>
      <c r="AB45" s="356"/>
      <c r="AC45" s="44" t="s">
        <v>241</v>
      </c>
      <c r="AD45" s="356">
        <v>43391</v>
      </c>
      <c r="AE45" s="320">
        <f t="shared" si="1"/>
        <v>0.63636363636363635</v>
      </c>
      <c r="AF45" s="357"/>
      <c r="AG45" s="358"/>
      <c r="AH45" s="357"/>
      <c r="AI45" s="356"/>
      <c r="AJ45" s="357"/>
      <c r="AK45" s="359"/>
      <c r="AL45" s="357"/>
      <c r="AM45" s="359"/>
      <c r="AN45" s="321"/>
      <c r="AO45" s="357"/>
    </row>
    <row r="46" spans="1:41" ht="16.5" customHeight="1" x14ac:dyDescent="0.25">
      <c r="A46" s="476" t="s">
        <v>1278</v>
      </c>
      <c r="B46" s="351" t="s">
        <v>819</v>
      </c>
      <c r="C46" s="352" t="s">
        <v>836</v>
      </c>
      <c r="D46" s="353" t="s">
        <v>821</v>
      </c>
      <c r="E46" s="350" t="s">
        <v>239</v>
      </c>
      <c r="F46" s="354"/>
      <c r="G46" s="350" t="s">
        <v>239</v>
      </c>
      <c r="H46" s="354"/>
      <c r="I46" s="350" t="s">
        <v>239</v>
      </c>
      <c r="J46" s="354"/>
      <c r="K46" s="350" t="s">
        <v>239</v>
      </c>
      <c r="L46" s="354"/>
      <c r="M46" s="355" t="s">
        <v>239</v>
      </c>
      <c r="N46" s="354"/>
      <c r="O46" s="355" t="s">
        <v>239</v>
      </c>
      <c r="P46" s="354"/>
      <c r="Q46" s="355" t="s">
        <v>239</v>
      </c>
      <c r="R46" s="354"/>
      <c r="S46" s="354"/>
      <c r="T46" s="354"/>
      <c r="U46" s="355" t="s">
        <v>239</v>
      </c>
      <c r="V46" s="356"/>
      <c r="W46" s="355" t="s">
        <v>239</v>
      </c>
      <c r="X46" s="354"/>
      <c r="Y46" s="354"/>
      <c r="Z46" s="354"/>
      <c r="AA46" s="355" t="s">
        <v>239</v>
      </c>
      <c r="AB46" s="356"/>
      <c r="AC46" s="44" t="s">
        <v>239</v>
      </c>
      <c r="AD46" s="356"/>
      <c r="AE46" s="320">
        <f t="shared" si="1"/>
        <v>1</v>
      </c>
      <c r="AF46" s="357"/>
      <c r="AG46" s="358"/>
      <c r="AH46" s="357"/>
      <c r="AI46" s="356"/>
      <c r="AJ46" s="357"/>
      <c r="AK46" s="359"/>
      <c r="AL46" s="357"/>
      <c r="AM46" s="359"/>
      <c r="AN46" s="321">
        <f>COUNTIF('Liste AT'!$E$7:$E$31, "EMI Accompagnement")</f>
        <v>0</v>
      </c>
      <c r="AO46" s="357" t="s">
        <v>239</v>
      </c>
    </row>
    <row r="47" spans="1:41" s="46" customFormat="1" ht="16.5" customHeight="1" x14ac:dyDescent="0.25">
      <c r="A47" s="475" t="s">
        <v>1278</v>
      </c>
      <c r="B47" s="348" t="s">
        <v>820</v>
      </c>
      <c r="C47" s="179" t="s">
        <v>823</v>
      </c>
      <c r="D47" s="349" t="s">
        <v>822</v>
      </c>
      <c r="E47" s="43" t="s">
        <v>241</v>
      </c>
      <c r="F47" s="175">
        <v>40731</v>
      </c>
      <c r="G47" s="43" t="s">
        <v>239</v>
      </c>
      <c r="H47" s="175"/>
      <c r="I47" s="43" t="s">
        <v>239</v>
      </c>
      <c r="J47" s="175"/>
      <c r="K47" s="43" t="s">
        <v>239</v>
      </c>
      <c r="L47" s="175"/>
      <c r="M47" s="44" t="s">
        <v>241</v>
      </c>
      <c r="N47" s="175">
        <v>43217</v>
      </c>
      <c r="O47" s="44" t="s">
        <v>239</v>
      </c>
      <c r="P47" s="175"/>
      <c r="Q47" s="44" t="s">
        <v>239</v>
      </c>
      <c r="R47" s="175"/>
      <c r="S47" s="175"/>
      <c r="T47" s="175"/>
      <c r="U47" s="44" t="s">
        <v>239</v>
      </c>
      <c r="V47" s="95"/>
      <c r="W47" s="44" t="s">
        <v>241</v>
      </c>
      <c r="X47" s="175">
        <v>43489</v>
      </c>
      <c r="Y47" s="175"/>
      <c r="Z47" s="175"/>
      <c r="AA47" s="44" t="s">
        <v>239</v>
      </c>
      <c r="AB47" s="95"/>
      <c r="AC47" s="44" t="s">
        <v>241</v>
      </c>
      <c r="AD47" s="95">
        <v>43489</v>
      </c>
      <c r="AE47" s="320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21">
        <f>COUNTIF('Liste AT'!$E$7:$E$31, "EMI ESCALE")</f>
        <v>0</v>
      </c>
      <c r="AO47" s="37" t="s">
        <v>239</v>
      </c>
    </row>
    <row r="48" spans="1:41" s="30" customFormat="1" ht="16.5" customHeight="1" x14ac:dyDescent="0.25">
      <c r="A48" s="475" t="s">
        <v>1278</v>
      </c>
      <c r="B48" s="179" t="s">
        <v>1307</v>
      </c>
      <c r="C48" s="179" t="s">
        <v>1308</v>
      </c>
      <c r="D48" s="349" t="s">
        <v>1330</v>
      </c>
      <c r="E48" s="367" t="s">
        <v>239</v>
      </c>
      <c r="F48" s="95"/>
      <c r="G48" s="367" t="s">
        <v>239</v>
      </c>
      <c r="H48" s="95"/>
      <c r="I48" s="367" t="s">
        <v>239</v>
      </c>
      <c r="J48" s="95"/>
      <c r="K48" s="367" t="s">
        <v>239</v>
      </c>
      <c r="L48" s="95"/>
      <c r="M48" s="479" t="s">
        <v>241</v>
      </c>
      <c r="N48" s="95">
        <v>43844</v>
      </c>
      <c r="O48" s="479" t="s">
        <v>239</v>
      </c>
      <c r="P48" s="95"/>
      <c r="Q48" s="479" t="s">
        <v>239</v>
      </c>
      <c r="R48" s="95"/>
      <c r="S48" s="95" t="s">
        <v>239</v>
      </c>
      <c r="T48" s="95"/>
      <c r="U48" s="479" t="s">
        <v>239</v>
      </c>
      <c r="V48" s="95"/>
      <c r="W48" s="479" t="s">
        <v>241</v>
      </c>
      <c r="X48" s="95">
        <v>42339</v>
      </c>
      <c r="Y48" s="95"/>
      <c r="Z48" s="95"/>
      <c r="AA48" s="479" t="s">
        <v>239</v>
      </c>
      <c r="AB48" s="95"/>
      <c r="AC48" s="521" t="s">
        <v>239</v>
      </c>
      <c r="AD48" s="95"/>
      <c r="AE48" s="525">
        <f t="shared" si="1"/>
        <v>0.83333333333333337</v>
      </c>
      <c r="AF48" s="38"/>
      <c r="AG48" s="480"/>
      <c r="AH48" s="38"/>
      <c r="AI48" s="95"/>
      <c r="AJ48" s="38"/>
      <c r="AK48" s="95"/>
      <c r="AL48" s="38"/>
      <c r="AM48" s="95"/>
      <c r="AN48" s="481"/>
      <c r="AO48" s="38"/>
    </row>
    <row r="49" spans="1:44" s="30" customFormat="1" ht="16.5" customHeight="1" x14ac:dyDescent="0.25">
      <c r="A49" s="475" t="s">
        <v>1278</v>
      </c>
      <c r="B49" s="178" t="s">
        <v>1309</v>
      </c>
      <c r="C49" s="179" t="s">
        <v>1310</v>
      </c>
      <c r="D49" s="349" t="s">
        <v>1314</v>
      </c>
      <c r="E49" s="367" t="s">
        <v>239</v>
      </c>
      <c r="F49" s="95"/>
      <c r="G49" s="367" t="s">
        <v>239</v>
      </c>
      <c r="H49" s="95"/>
      <c r="I49" s="367" t="s">
        <v>241</v>
      </c>
      <c r="J49" s="95">
        <v>41086</v>
      </c>
      <c r="K49" s="367" t="s">
        <v>241</v>
      </c>
      <c r="L49" s="95">
        <v>41241</v>
      </c>
      <c r="M49" s="479" t="s">
        <v>239</v>
      </c>
      <c r="N49" s="95"/>
      <c r="O49" s="479" t="s">
        <v>241</v>
      </c>
      <c r="P49" s="95">
        <v>41436</v>
      </c>
      <c r="Q49" s="479" t="s">
        <v>239</v>
      </c>
      <c r="R49" s="95"/>
      <c r="S49" s="95" t="s">
        <v>239</v>
      </c>
      <c r="T49" s="95"/>
      <c r="U49" s="479" t="s">
        <v>239</v>
      </c>
      <c r="V49" s="95"/>
      <c r="W49" s="479" t="s">
        <v>239</v>
      </c>
      <c r="X49" s="95"/>
      <c r="Y49" s="95" t="s">
        <v>239</v>
      </c>
      <c r="Z49" s="95"/>
      <c r="AA49" s="479" t="s">
        <v>239</v>
      </c>
      <c r="AB49" s="95"/>
      <c r="AC49" s="521" t="s">
        <v>241</v>
      </c>
      <c r="AD49" s="95">
        <v>42894</v>
      </c>
      <c r="AE49" s="525">
        <f t="shared" si="1"/>
        <v>0.69230769230769229</v>
      </c>
      <c r="AF49" s="38"/>
      <c r="AG49" s="480"/>
      <c r="AH49" s="38"/>
      <c r="AI49" s="95"/>
      <c r="AJ49" s="38"/>
      <c r="AK49" s="95"/>
      <c r="AL49" s="38"/>
      <c r="AM49" s="95"/>
      <c r="AN49" s="481"/>
      <c r="AO49" s="38"/>
    </row>
    <row r="50" spans="1:44" s="30" customFormat="1" ht="19.5" customHeight="1" x14ac:dyDescent="0.25">
      <c r="A50" s="475" t="s">
        <v>1278</v>
      </c>
      <c r="B50" s="178" t="s">
        <v>1311</v>
      </c>
      <c r="C50" s="178" t="s">
        <v>1312</v>
      </c>
      <c r="D50" s="349" t="s">
        <v>1331</v>
      </c>
      <c r="E50" s="526" t="s">
        <v>239</v>
      </c>
      <c r="F50" s="95"/>
      <c r="G50" s="526" t="s">
        <v>239</v>
      </c>
      <c r="H50" s="95"/>
      <c r="I50" s="526" t="s">
        <v>239</v>
      </c>
      <c r="J50" s="480"/>
      <c r="K50" s="526" t="s">
        <v>239</v>
      </c>
      <c r="L50" s="95"/>
      <c r="M50" s="527" t="s">
        <v>239</v>
      </c>
      <c r="N50" s="95"/>
      <c r="O50" s="527" t="s">
        <v>239</v>
      </c>
      <c r="P50" s="95" t="s">
        <v>851</v>
      </c>
      <c r="Q50" s="527" t="s">
        <v>239</v>
      </c>
      <c r="R50" s="480"/>
      <c r="S50" s="95" t="s">
        <v>239</v>
      </c>
      <c r="T50" s="480"/>
      <c r="U50" s="527" t="s">
        <v>239</v>
      </c>
      <c r="V50" s="480"/>
      <c r="W50" s="527" t="s">
        <v>241</v>
      </c>
      <c r="X50" s="480">
        <v>39899</v>
      </c>
      <c r="Y50" s="480" t="s">
        <v>239</v>
      </c>
      <c r="Z50" s="480"/>
      <c r="AA50" s="527" t="s">
        <v>241</v>
      </c>
      <c r="AB50" s="480">
        <v>39113</v>
      </c>
      <c r="AC50" s="521" t="s">
        <v>241</v>
      </c>
      <c r="AD50" s="480">
        <v>41808</v>
      </c>
      <c r="AE50" s="525">
        <f>IF((COUNTIF(E50:AD50, "OUI")+COUNTIF(E50:AD50, "INSCRIT")+COUNTIF(E50:AD50, "NON"))&gt;0, COUNTIF(E50:AD50, "NON")/(COUNTIF(E50:AD50, "OUI")+COUNTIF(E50:AD50, "INSCRIT")+COUNTIF(E50:AD50, "NON")), 0)</f>
        <v>0.76923076923076927</v>
      </c>
      <c r="AF50" s="367" t="s">
        <v>241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 x14ac:dyDescent="0.25">
      <c r="A51" s="41"/>
      <c r="D51" s="361"/>
      <c r="E51" s="41"/>
      <c r="F51" s="32"/>
      <c r="G51" s="32"/>
      <c r="H51" s="32"/>
      <c r="I51" s="32"/>
      <c r="J51" s="36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77" t="s">
        <v>538</v>
      </c>
      <c r="AG51" s="478">
        <f>COUNTIF(AF$11:AF$43, "PREVU")</f>
        <v>2</v>
      </c>
      <c r="AH51" s="362"/>
      <c r="AI51" s="362"/>
      <c r="AN51" s="41"/>
    </row>
    <row r="52" spans="1:44" s="30" customFormat="1" x14ac:dyDescent="0.25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67" t="s">
        <v>239</v>
      </c>
      <c r="AG52" s="80">
        <f>COUNTIF(AF$11:AF$43, "NON")</f>
        <v>11</v>
      </c>
      <c r="AH52" s="362"/>
      <c r="AI52" s="362"/>
      <c r="AJ52" s="367" t="s">
        <v>241</v>
      </c>
      <c r="AK52" s="80">
        <f>COUNTIF(AJ$11:AJ$50, "OUI")</f>
        <v>13</v>
      </c>
      <c r="AL52" s="367" t="s">
        <v>241</v>
      </c>
      <c r="AM52" s="80">
        <f>COUNTIF(AL$11:AL$50, "OUI")</f>
        <v>13</v>
      </c>
      <c r="AN52" s="41"/>
    </row>
    <row r="53" spans="1:44" s="30" customFormat="1" x14ac:dyDescent="0.25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77" t="s">
        <v>538</v>
      </c>
      <c r="AK53" s="478">
        <f>COUNTIF(AJ$11:AJ$50, "PREVU")</f>
        <v>0</v>
      </c>
      <c r="AL53" s="477" t="s">
        <v>538</v>
      </c>
      <c r="AM53" s="478">
        <f>COUNTIF(AL$11:AL$50, "PREVU")</f>
        <v>0</v>
      </c>
      <c r="AN53" s="41"/>
    </row>
    <row r="54" spans="1:44" s="30" customFormat="1" x14ac:dyDescent="0.25">
      <c r="A54" s="41"/>
      <c r="E54" s="41"/>
      <c r="F54" s="32"/>
      <c r="G54" s="32"/>
      <c r="H54" s="32"/>
      <c r="I54" s="32"/>
      <c r="J54" s="36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60"/>
      <c r="AG54" s="362"/>
      <c r="AH54" s="362"/>
      <c r="AI54" s="362"/>
      <c r="AJ54" s="367" t="s">
        <v>239</v>
      </c>
      <c r="AK54" s="80">
        <f>COUNTIF(AJ$11:AJ$50, "NON")</f>
        <v>2</v>
      </c>
      <c r="AL54" s="367" t="s">
        <v>239</v>
      </c>
      <c r="AM54" s="80">
        <f>COUNTIF(AL$11:AL$50, "NON")</f>
        <v>2</v>
      </c>
      <c r="AN54" s="41"/>
    </row>
    <row r="55" spans="1:44" s="365" customFormat="1" x14ac:dyDescent="0.25">
      <c r="A55" s="364"/>
      <c r="E55" s="364"/>
      <c r="F55" s="366"/>
      <c r="G55" s="366"/>
      <c r="H55" s="366"/>
      <c r="I55" s="30"/>
      <c r="J55" s="30"/>
      <c r="K55" s="364"/>
      <c r="L55" s="366"/>
      <c r="M55" s="36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66"/>
      <c r="AF55" s="360"/>
      <c r="AG55" s="362"/>
      <c r="AH55" s="362"/>
      <c r="AI55" s="362"/>
      <c r="AJ55" s="360"/>
      <c r="AK55" s="362"/>
      <c r="AL55" s="360"/>
      <c r="AM55" s="362"/>
      <c r="AN55" s="364"/>
    </row>
    <row r="56" spans="1:44" s="30" customFormat="1" x14ac:dyDescent="0.25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 x14ac:dyDescent="0.25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 x14ac:dyDescent="0.25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72" t="s">
        <v>539</v>
      </c>
      <c r="AG58" s="573"/>
      <c r="AH58" s="94"/>
      <c r="AI58" s="94"/>
      <c r="AJ58" s="77" t="s">
        <v>241</v>
      </c>
      <c r="AK58" s="34">
        <f>AG50+AK52+AM52</f>
        <v>33</v>
      </c>
    </row>
    <row r="59" spans="1:44" s="30" customFormat="1" x14ac:dyDescent="0.25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538</v>
      </c>
      <c r="AK59" s="80">
        <f>AG51+AK53+AM53</f>
        <v>2</v>
      </c>
      <c r="AL59" s="41"/>
      <c r="AM59" s="32"/>
      <c r="AN59" s="41"/>
      <c r="AQ59" s="23"/>
      <c r="AR59" s="23"/>
    </row>
    <row r="60" spans="1:44" x14ac:dyDescent="0.25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239</v>
      </c>
      <c r="AK60" s="34">
        <f>AG52+AK54+AM54</f>
        <v>15</v>
      </c>
      <c r="AQ60" s="30"/>
      <c r="AR60" s="30"/>
    </row>
    <row r="61" spans="1:44" x14ac:dyDescent="0.25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 x14ac:dyDescent="0.25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 x14ac:dyDescent="0.25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 x14ac:dyDescent="0.25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 x14ac:dyDescent="0.25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 x14ac:dyDescent="0.25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 x14ac:dyDescent="0.25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 x14ac:dyDescent="0.25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 x14ac:dyDescent="0.25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 x14ac:dyDescent="0.25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 x14ac:dyDescent="0.3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 x14ac:dyDescent="0.2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56" t="s">
        <v>2</v>
      </c>
      <c r="AT72" s="557"/>
      <c r="AU72" s="557"/>
      <c r="AV72" s="557"/>
      <c r="AW72" s="557"/>
      <c r="AX72" s="557"/>
      <c r="AY72" s="558"/>
    </row>
    <row r="73" spans="3:51" x14ac:dyDescent="0.25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752</v>
      </c>
      <c r="AT73" s="82"/>
      <c r="AU73" s="35" t="s">
        <v>244</v>
      </c>
      <c r="AV73" s="37" t="s">
        <v>241</v>
      </c>
      <c r="AW73" s="43">
        <f>SUM(COUNTIFS(A11:A44,{"TER MIXTE";"TER ESCALE EST"},E11:E44,"OUI"))</f>
        <v>0</v>
      </c>
      <c r="AX73" s="37" t="s">
        <v>239</v>
      </c>
      <c r="AY73" s="214">
        <f>SUM(COUNTIFS(A11:A44,{"TER MIXTE";"TER ESCALE EST"},E11:E44,"NON"))</f>
        <v>0</v>
      </c>
    </row>
    <row r="74" spans="3:51" x14ac:dyDescent="0.25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753</v>
      </c>
      <c r="AV74" s="37" t="s">
        <v>241</v>
      </c>
      <c r="AW74" s="211">
        <f>AW73/$AR$11</f>
        <v>0</v>
      </c>
      <c r="AX74" s="37" t="s">
        <v>239</v>
      </c>
      <c r="AY74" s="216">
        <f>AY73/$AR$11</f>
        <v>0</v>
      </c>
    </row>
    <row r="75" spans="3:51" x14ac:dyDescent="0.25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 x14ac:dyDescent="0.25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3</v>
      </c>
      <c r="AT76" s="82"/>
      <c r="AU76" s="35" t="s">
        <v>244</v>
      </c>
      <c r="AV76" s="37" t="s">
        <v>241</v>
      </c>
      <c r="AW76" s="43">
        <f>SUM(COUNTIFS(A11:A44,{"TER MIXTE";"TER ESCALE EST"},G11:G44,"OUI"))</f>
        <v>0</v>
      </c>
      <c r="AX76" s="37" t="s">
        <v>239</v>
      </c>
      <c r="AY76" s="214">
        <f>SUM(COUNTIFS(A11:A44,{"TER MIXTE";"TER ESCALE EST"},G11:G44,"NON"))</f>
        <v>0</v>
      </c>
    </row>
    <row r="77" spans="3:51" x14ac:dyDescent="0.25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243</v>
      </c>
      <c r="AV77" s="37" t="s">
        <v>241</v>
      </c>
      <c r="AW77" s="211">
        <f>AW76/$AR$11</f>
        <v>0</v>
      </c>
      <c r="AX77" s="37" t="s">
        <v>239</v>
      </c>
      <c r="AY77" s="216">
        <f>AY76/$AR$11</f>
        <v>0</v>
      </c>
    </row>
    <row r="78" spans="3:51" x14ac:dyDescent="0.25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 x14ac:dyDescent="0.25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250</v>
      </c>
      <c r="AT79" s="39"/>
      <c r="AU79" s="35" t="s">
        <v>244</v>
      </c>
      <c r="AV79" s="37" t="s">
        <v>241</v>
      </c>
      <c r="AW79" s="36">
        <f>SUM(COUNTIFS(A11:A44,{"TER MIXTE";"TER ESCALE EST"},I11:I44,"OUI"))</f>
        <v>0</v>
      </c>
      <c r="AX79" s="37" t="s">
        <v>239</v>
      </c>
      <c r="AY79" s="214">
        <f>SUM(COUNTIFS(A11:A44,{"TER MIXTE";"TER ESCALE EST"},I11:I44,"NON"))</f>
        <v>0</v>
      </c>
    </row>
    <row r="80" spans="3:51" x14ac:dyDescent="0.25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243</v>
      </c>
      <c r="AV80" s="37" t="s">
        <v>241</v>
      </c>
      <c r="AW80" s="211">
        <f>AW79/$AR$11</f>
        <v>0</v>
      </c>
      <c r="AX80" s="37" t="s">
        <v>239</v>
      </c>
      <c r="AY80" s="216">
        <f>AY79/$AR$11</f>
        <v>0</v>
      </c>
    </row>
    <row r="81" spans="1:51" x14ac:dyDescent="0.25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 x14ac:dyDescent="0.25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248</v>
      </c>
      <c r="AT82" s="39"/>
      <c r="AU82" s="35" t="s">
        <v>244</v>
      </c>
      <c r="AV82" s="37" t="s">
        <v>241</v>
      </c>
      <c r="AW82" s="36">
        <f>SUM(COUNTIFS(A11:A44,{"TER MIXTE";"TER ESCALE EST"},K11:K44,"OUI"))</f>
        <v>0</v>
      </c>
      <c r="AX82" s="37" t="s">
        <v>239</v>
      </c>
      <c r="AY82" s="214">
        <f>SUM(COUNTIFS(A11:A44,{"TER MIXTE";"TER ESCALE EST"},K11:K44,"NON"))</f>
        <v>0</v>
      </c>
    </row>
    <row r="83" spans="1:51" x14ac:dyDescent="0.25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243</v>
      </c>
      <c r="AV83" s="37" t="s">
        <v>241</v>
      </c>
      <c r="AW83" s="211">
        <f>AW82/$AR$11</f>
        <v>0</v>
      </c>
      <c r="AX83" s="37" t="s">
        <v>239</v>
      </c>
      <c r="AY83" s="216">
        <f>AY82/$AR$11</f>
        <v>0</v>
      </c>
    </row>
    <row r="84" spans="1:51" x14ac:dyDescent="0.25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 x14ac:dyDescent="0.25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247</v>
      </c>
      <c r="AT85" s="39"/>
      <c r="AU85" s="35" t="s">
        <v>244</v>
      </c>
      <c r="AV85" s="37" t="s">
        <v>241</v>
      </c>
      <c r="AW85" s="36">
        <f>SUM(COUNTIFS(A11:A44,{"TER MIXTE";"TER ESCALE EST"},M11:M44,"OUI"))</f>
        <v>0</v>
      </c>
      <c r="AX85" s="37" t="s">
        <v>239</v>
      </c>
      <c r="AY85" s="214">
        <f>SUM(COUNTIFS(A11:A44,{"TER MIXTE";"TER ESCALE EST"},M11:M44,"NON"))</f>
        <v>0</v>
      </c>
    </row>
    <row r="86" spans="1:51" x14ac:dyDescent="0.25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243</v>
      </c>
      <c r="AV86" s="37" t="s">
        <v>241</v>
      </c>
      <c r="AW86" s="211">
        <f>AW85/$AR$11</f>
        <v>0</v>
      </c>
      <c r="AX86" s="37" t="s">
        <v>239</v>
      </c>
      <c r="AY86" s="216">
        <f>AY85/$AR$11</f>
        <v>0</v>
      </c>
    </row>
    <row r="87" spans="1:51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246</v>
      </c>
      <c r="AT88" s="39"/>
      <c r="AU88" s="35" t="s">
        <v>244</v>
      </c>
      <c r="AV88" s="37" t="s">
        <v>241</v>
      </c>
      <c r="AW88" s="36">
        <f>SUM(COUNTIFS(A11:A44,{"TER MIXTE";"TER ESCALE EST"},O11:O44,"OUI"))</f>
        <v>0</v>
      </c>
      <c r="AX88" s="37" t="s">
        <v>239</v>
      </c>
      <c r="AY88" s="214">
        <f>SUM(COUNTIFS(A11:A44,{"TER MIXTE";"TER ESCALE EST"},O11:O44,"NON"))</f>
        <v>0</v>
      </c>
    </row>
    <row r="89" spans="1:51" x14ac:dyDescent="0.25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243</v>
      </c>
      <c r="AV89" s="37" t="s">
        <v>241</v>
      </c>
      <c r="AW89" s="211">
        <f>AW88/$AR$11</f>
        <v>0</v>
      </c>
      <c r="AX89" s="37" t="s">
        <v>239</v>
      </c>
      <c r="AY89" s="216">
        <f>AY88/$AR$11</f>
        <v>0</v>
      </c>
    </row>
    <row r="90" spans="1:51" x14ac:dyDescent="0.25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 x14ac:dyDescent="0.25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245</v>
      </c>
      <c r="AT91" s="227"/>
      <c r="AU91" s="35" t="s">
        <v>244</v>
      </c>
      <c r="AV91" s="37" t="s">
        <v>241</v>
      </c>
      <c r="AW91" s="36">
        <f>SUM(COUNTIFS(A11:A44,{"TER MIXTE";"TER ESCALE EST"},Q11:Q44,"OUI"))</f>
        <v>0</v>
      </c>
      <c r="AX91" s="37" t="s">
        <v>239</v>
      </c>
      <c r="AY91" s="214">
        <f>SUM(COUNTIFS(A11:A44,{"TER MIXTE";"TER ESCALE EST"},Q11:Q44,"NON"))</f>
        <v>0</v>
      </c>
    </row>
    <row r="92" spans="1:51" x14ac:dyDescent="0.25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243</v>
      </c>
      <c r="AV92" s="37" t="s">
        <v>241</v>
      </c>
      <c r="AW92" s="211">
        <f>AW91/$AR$11</f>
        <v>0</v>
      </c>
      <c r="AX92" s="37" t="s">
        <v>239</v>
      </c>
      <c r="AY92" s="216">
        <f>AY91/$AR$11</f>
        <v>0</v>
      </c>
    </row>
    <row r="93" spans="1:51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555</v>
      </c>
      <c r="AT94" s="39"/>
      <c r="AU94" s="35" t="s">
        <v>244</v>
      </c>
      <c r="AV94" s="37" t="s">
        <v>241</v>
      </c>
      <c r="AW94" s="36">
        <f>SUM(COUNTIFS(A11:A44,{"TER MIXTE";"TER ESCALE EST"},U11:U44,"OUI"))</f>
        <v>0</v>
      </c>
      <c r="AX94" s="37" t="s">
        <v>239</v>
      </c>
      <c r="AY94" s="214">
        <f>SUM(COUNTIFS(A11:A44,{"TER MIXTE";"TER ESCALE EST"},U11:U44,"NON"))</f>
        <v>0</v>
      </c>
    </row>
    <row r="95" spans="1:51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243</v>
      </c>
      <c r="AV95" s="37" t="s">
        <v>241</v>
      </c>
      <c r="AW95" s="211">
        <f>AW94/$AR$11</f>
        <v>0</v>
      </c>
      <c r="AX95" s="37" t="s">
        <v>239</v>
      </c>
      <c r="AY95" s="216">
        <f>AY94/$AR$11</f>
        <v>0</v>
      </c>
    </row>
    <row r="96" spans="1:51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16"/>
      <c r="AV96" s="28"/>
      <c r="AW96" s="317"/>
      <c r="AX96" s="28"/>
      <c r="AY96" s="318"/>
    </row>
    <row r="97" spans="1:51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565</v>
      </c>
      <c r="AT99" s="39"/>
      <c r="AU99" s="35" t="s">
        <v>244</v>
      </c>
      <c r="AV99" s="37" t="s">
        <v>241</v>
      </c>
      <c r="AW99" s="36">
        <f>SUM(COUNTIFS(A11:A44,{"TER MIXTE";"TER ESCALE EST"},W11:W44,"OUI"))</f>
        <v>0</v>
      </c>
      <c r="AX99" s="37" t="s">
        <v>239</v>
      </c>
      <c r="AY99" s="214">
        <f>SUM(COUNTIFS(A11:A44,{"TER MIXTE";"TER ESCALE EST"},W11:W44,"NON"))</f>
        <v>0</v>
      </c>
    </row>
    <row r="100" spans="1:51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243</v>
      </c>
      <c r="AV100" s="37" t="s">
        <v>241</v>
      </c>
      <c r="AW100" s="211">
        <f>AW99/$AR$11</f>
        <v>0</v>
      </c>
      <c r="AX100" s="37" t="s">
        <v>239</v>
      </c>
      <c r="AY100" s="216">
        <f>AY99/$AR$11</f>
        <v>0</v>
      </c>
    </row>
    <row r="101" spans="1:51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566</v>
      </c>
      <c r="AT102" s="39"/>
      <c r="AU102" s="35" t="s">
        <v>244</v>
      </c>
      <c r="AV102" s="37" t="s">
        <v>241</v>
      </c>
      <c r="AW102" s="36">
        <f>SUM(COUNTIFS(A11:A44,{"TER MIXTE";"TER ESCALE EST"},AA11:AA44,"OUI"))</f>
        <v>0</v>
      </c>
      <c r="AX102" s="37" t="s">
        <v>239</v>
      </c>
      <c r="AY102" s="214">
        <f>SUM(COUNTIFS(A11:A44,{"TER MIXTE";"TER ESCALE EST"},AA11:AA44,"NON"))</f>
        <v>0</v>
      </c>
    </row>
    <row r="103" spans="1:51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243</v>
      </c>
      <c r="AV103" s="37" t="s">
        <v>241</v>
      </c>
      <c r="AW103" s="211">
        <f>AW102/$AR$11</f>
        <v>0</v>
      </c>
      <c r="AX103" s="37" t="s">
        <v>239</v>
      </c>
      <c r="AY103" s="216">
        <f>AY102/$AR$11</f>
        <v>0</v>
      </c>
    </row>
    <row r="104" spans="1:51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 x14ac:dyDescent="0.3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754</v>
      </c>
      <c r="AV105" s="229" t="s">
        <v>241</v>
      </c>
      <c r="AW105" s="230">
        <f>(AVERAGE(AW102,AW99,AW94,AW91,AW88,AW85,AW82,AW79,AW76,AW73))/AR11</f>
        <v>0</v>
      </c>
      <c r="AX105" s="231" t="s">
        <v>239</v>
      </c>
      <c r="AY105" s="232">
        <f>(AVERAGE(AY102,AY99,AY94,AY91,AY88,AY85,AY82,AY79,AY76,AY73))/AR11</f>
        <v>0</v>
      </c>
    </row>
    <row r="106" spans="1:51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 x14ac:dyDescent="0.25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 x14ac:dyDescent="0.25">
      <c r="AJ114" s="23"/>
      <c r="AK114" s="23"/>
      <c r="AL114" s="23"/>
      <c r="AM114" s="23"/>
      <c r="AN114" s="23"/>
    </row>
  </sheetData>
  <autoFilter ref="A7:AN47"/>
  <mergeCells count="23">
    <mergeCell ref="AF58:AG58"/>
    <mergeCell ref="U6:V6"/>
    <mergeCell ref="AA6:AB6"/>
    <mergeCell ref="W6:X6"/>
    <mergeCell ref="AL6:AM6"/>
    <mergeCell ref="AC6:AD6"/>
    <mergeCell ref="Y6:Z6"/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E31:E50 O31:O50 Q31:Q50 U31:U50 W31:W50 AA31:AA50 AC22:AC50 G31:G50 I31:I50 K31:K50 M31:M50">
    <cfRule type="cellIs" dxfId="161" priority="255" stopIfTrue="1" operator="equal">
      <formula>"NON"</formula>
    </cfRule>
    <cfRule type="cellIs" dxfId="160" priority="256" stopIfTrue="1" operator="equal">
      <formula>"OUI"</formula>
    </cfRule>
    <cfRule type="cellIs" dxfId="159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58" priority="243" stopIfTrue="1" operator="equal">
      <formula>"oui"</formula>
    </cfRule>
    <cfRule type="cellIs" dxfId="157" priority="244" stopIfTrue="1" operator="equal">
      <formula>"non"</formula>
    </cfRule>
    <cfRule type="cellIs" dxfId="156" priority="245" stopIfTrue="1" operator="equal">
      <formula>"prevu"</formula>
    </cfRule>
  </conditionalFormatting>
  <conditionalFormatting sqref="I57 I60 I63 I65:I66 I68:I69 I71 I1:I4 K1:K4 M1:M4 I54 M51:M65546 I51 AV97:AV98 AX97:AX98 I74 I80:I65546 AX76:AX77 AX79:AX80 AX82:AX83 AX85:AX93 AV73:AV93">
    <cfRule type="cellIs" dxfId="155" priority="323" stopIfTrue="1" operator="equal">
      <formula>"NON"</formula>
    </cfRule>
    <cfRule type="cellIs" dxfId="154" priority="324" stopIfTrue="1" operator="equal">
      <formula>"OUI"</formula>
    </cfRule>
    <cfRule type="cellIs" dxfId="153" priority="325" stopIfTrue="1" operator="equal">
      <formula>"INSCRIT"</formula>
    </cfRule>
  </conditionalFormatting>
  <conditionalFormatting sqref="AE8:AE50">
    <cfRule type="cellIs" dxfId="152" priority="317" stopIfTrue="1" operator="greaterThan">
      <formula>0.75</formula>
    </cfRule>
    <cfRule type="cellIs" dxfId="151" priority="318" stopIfTrue="1" operator="between">
      <formula>0.5</formula>
      <formula>0.75</formula>
    </cfRule>
    <cfRule type="cellIs" dxfId="150" priority="319" stopIfTrue="1" operator="between">
      <formula>0.25</formula>
      <formula>0.5</formula>
    </cfRule>
  </conditionalFormatting>
  <conditionalFormatting sqref="AJ17 AL17">
    <cfRule type="cellIs" dxfId="149" priority="326" stopIfTrue="1" operator="equal">
      <formula>"oui"</formula>
    </cfRule>
    <cfRule type="cellIs" dxfId="148" priority="327" stopIfTrue="1" operator="equal">
      <formula>"non"</formula>
    </cfRule>
    <cfRule type="cellIs" dxfId="147" priority="328" stopIfTrue="1" operator="equal">
      <formula>"prevu"</formula>
    </cfRule>
  </conditionalFormatting>
  <conditionalFormatting sqref="AN22 AN19:AN20 AN9:AN15 AN17 AN24:AN29 AN31:AN49">
    <cfRule type="cellIs" dxfId="146" priority="329" stopIfTrue="1" operator="greaterThan">
      <formula>0</formula>
    </cfRule>
  </conditionalFormatting>
  <conditionalFormatting sqref="Q9 K9 O9 I9 G9 M9 E9">
    <cfRule type="cellIs" dxfId="145" priority="270" stopIfTrue="1" operator="equal">
      <formula>"NON"</formula>
    </cfRule>
    <cfRule type="cellIs" dxfId="144" priority="271" stopIfTrue="1" operator="equal">
      <formula>"OUI"</formula>
    </cfRule>
    <cfRule type="cellIs" dxfId="143" priority="272" stopIfTrue="1" operator="equal">
      <formula>"INSCRIT"</formula>
    </cfRule>
  </conditionalFormatting>
  <conditionalFormatting sqref="AJ9 AL9">
    <cfRule type="cellIs" dxfId="142" priority="273" stopIfTrue="1" operator="equal">
      <formula>"oui"</formula>
    </cfRule>
    <cfRule type="cellIs" dxfId="141" priority="274" stopIfTrue="1" operator="equal">
      <formula>"non"</formula>
    </cfRule>
    <cfRule type="cellIs" dxfId="140" priority="275" stopIfTrue="1" operator="equal">
      <formula>"prevu"</formula>
    </cfRule>
  </conditionalFormatting>
  <conditionalFormatting sqref="W13">
    <cfRule type="cellIs" dxfId="139" priority="252" stopIfTrue="1" operator="equal">
      <formula>"NON"</formula>
    </cfRule>
    <cfRule type="cellIs" dxfId="138" priority="253" stopIfTrue="1" operator="equal">
      <formula>"OUI"</formula>
    </cfRule>
    <cfRule type="cellIs" dxfId="137" priority="254" stopIfTrue="1" operator="equal">
      <formula>"INSCRIT"</formula>
    </cfRule>
  </conditionalFormatting>
  <conditionalFormatting sqref="I75 AV99:AV101 AX99:AX100">
    <cfRule type="cellIs" dxfId="136" priority="236" stopIfTrue="1" operator="equal">
      <formula>"NON"</formula>
    </cfRule>
    <cfRule type="cellIs" dxfId="135" priority="237" stopIfTrue="1" operator="equal">
      <formula>"OUI"</formula>
    </cfRule>
    <cfRule type="cellIs" dxfId="134" priority="238" stopIfTrue="1" operator="equal">
      <formula>"INSCRIT"</formula>
    </cfRule>
  </conditionalFormatting>
  <conditionalFormatting sqref="I72 AV94:AV96 AX94:AX96">
    <cfRule type="cellIs" dxfId="133" priority="239" stopIfTrue="1" operator="equal">
      <formula>"NON"</formula>
    </cfRule>
    <cfRule type="cellIs" dxfId="132" priority="240" stopIfTrue="1" operator="equal">
      <formula>"OUI"</formula>
    </cfRule>
    <cfRule type="cellIs" dxfId="131" priority="241" stopIfTrue="1" operator="equal">
      <formula>"INSCRIT"</formula>
    </cfRule>
  </conditionalFormatting>
  <conditionalFormatting sqref="I78 AV102:AV103 AX102:AX103">
    <cfRule type="cellIs" dxfId="130" priority="233" stopIfTrue="1" operator="equal">
      <formula>"NON"</formula>
    </cfRule>
    <cfRule type="cellIs" dxfId="129" priority="234" stopIfTrue="1" operator="equal">
      <formula>"OUI"</formula>
    </cfRule>
    <cfRule type="cellIs" dxfId="128" priority="235" stopIfTrue="1" operator="equal">
      <formula>"INSCRIT"</formula>
    </cfRule>
  </conditionalFormatting>
  <conditionalFormatting sqref="AJ16 AL16">
    <cfRule type="cellIs" dxfId="127" priority="156" stopIfTrue="1" operator="equal">
      <formula>"oui"</formula>
    </cfRule>
    <cfRule type="cellIs" dxfId="126" priority="157" stopIfTrue="1" operator="equal">
      <formula>"non"</formula>
    </cfRule>
    <cfRule type="cellIs" dxfId="125" priority="158" stopIfTrue="1" operator="equal">
      <formula>"prevu"</formula>
    </cfRule>
  </conditionalFormatting>
  <conditionalFormatting sqref="AA16 U16 W16 Q16 K16 O16 I16 G16 M16 E16">
    <cfRule type="cellIs" dxfId="124" priority="159" stopIfTrue="1" operator="equal">
      <formula>"NON"</formula>
    </cfRule>
    <cfRule type="cellIs" dxfId="123" priority="160" stopIfTrue="1" operator="equal">
      <formula>"OUI"</formula>
    </cfRule>
    <cfRule type="cellIs" dxfId="122" priority="161" stopIfTrue="1" operator="equal">
      <formula>"INSCRIT"</formula>
    </cfRule>
  </conditionalFormatting>
  <conditionalFormatting sqref="AN16">
    <cfRule type="cellIs" dxfId="121" priority="168" stopIfTrue="1" operator="greaterThan">
      <formula>0</formula>
    </cfRule>
  </conditionalFormatting>
  <conditionalFormatting sqref="AL23 AJ23">
    <cfRule type="cellIs" dxfId="120" priority="137" stopIfTrue="1" operator="equal">
      <formula>"oui"</formula>
    </cfRule>
    <cfRule type="cellIs" dxfId="119" priority="138" stopIfTrue="1" operator="equal">
      <formula>"non"</formula>
    </cfRule>
    <cfRule type="cellIs" dxfId="118" priority="139" stopIfTrue="1" operator="equal">
      <formula>"prevu"</formula>
    </cfRule>
  </conditionalFormatting>
  <conditionalFormatting sqref="U23 AA23">
    <cfRule type="cellIs" dxfId="117" priority="140" stopIfTrue="1" operator="equal">
      <formula>"NON"</formula>
    </cfRule>
    <cfRule type="cellIs" dxfId="116" priority="141" stopIfTrue="1" operator="equal">
      <formula>"OUI"</formula>
    </cfRule>
    <cfRule type="cellIs" dxfId="115" priority="142" stopIfTrue="1" operator="equal">
      <formula>"INSCRIT"</formula>
    </cfRule>
  </conditionalFormatting>
  <conditionalFormatting sqref="Q23 K23 O23 I23 G23 M23 E23">
    <cfRule type="cellIs" dxfId="114" priority="152" stopIfTrue="1" operator="equal">
      <formula>"NON"</formula>
    </cfRule>
    <cfRule type="cellIs" dxfId="113" priority="153" stopIfTrue="1" operator="equal">
      <formula>"OUI"</formula>
    </cfRule>
    <cfRule type="cellIs" dxfId="112" priority="154" stopIfTrue="1" operator="equal">
      <formula>"INSCRIT"</formula>
    </cfRule>
  </conditionalFormatting>
  <conditionalFormatting sqref="AN23">
    <cfRule type="cellIs" dxfId="111" priority="155" stopIfTrue="1" operator="greaterThan">
      <formula>0</formula>
    </cfRule>
  </conditionalFormatting>
  <conditionalFormatting sqref="W23">
    <cfRule type="cellIs" dxfId="110" priority="143" stopIfTrue="1" operator="equal">
      <formula>"NON"</formula>
    </cfRule>
    <cfRule type="cellIs" dxfId="109" priority="144" stopIfTrue="1" operator="equal">
      <formula>"OUI"</formula>
    </cfRule>
    <cfRule type="cellIs" dxfId="108" priority="145" stopIfTrue="1" operator="equal">
      <formula>"INSCRIT"</formula>
    </cfRule>
  </conditionalFormatting>
  <conditionalFormatting sqref="AO22">
    <cfRule type="cellIs" dxfId="107" priority="127" stopIfTrue="1" operator="equal">
      <formula>"oui"</formula>
    </cfRule>
    <cfRule type="cellIs" dxfId="106" priority="128" stopIfTrue="1" operator="equal">
      <formula>"non"</formula>
    </cfRule>
    <cfRule type="cellIs" dxfId="105" priority="129" stopIfTrue="1" operator="equal">
      <formula>"prevu"</formula>
    </cfRule>
  </conditionalFormatting>
  <conditionalFormatting sqref="U30 AA30 W30 Q30 K30 O30 I30 G30 M30 E30">
    <cfRule type="cellIs" dxfId="104" priority="92" stopIfTrue="1" operator="equal">
      <formula>"NON"</formula>
    </cfRule>
    <cfRule type="cellIs" dxfId="103" priority="93" stopIfTrue="1" operator="equal">
      <formula>"OUI"</formula>
    </cfRule>
    <cfRule type="cellIs" dxfId="102" priority="94" stopIfTrue="1" operator="equal">
      <formula>"INSCRIT"</formula>
    </cfRule>
  </conditionalFormatting>
  <conditionalFormatting sqref="AO30 AF30 AH30">
    <cfRule type="cellIs" dxfId="101" priority="89" stopIfTrue="1" operator="equal">
      <formula>"oui"</formula>
    </cfRule>
    <cfRule type="cellIs" dxfId="100" priority="90" stopIfTrue="1" operator="equal">
      <formula>"non"</formula>
    </cfRule>
    <cfRule type="cellIs" dxfId="99" priority="91" stopIfTrue="1" operator="equal">
      <formula>"prevu"</formula>
    </cfRule>
  </conditionalFormatting>
  <conditionalFormatting sqref="AN30">
    <cfRule type="cellIs" dxfId="98" priority="107" stopIfTrue="1" operator="greaterThan">
      <formula>0</formula>
    </cfRule>
  </conditionalFormatting>
  <conditionalFormatting sqref="AJ30">
    <cfRule type="cellIs" dxfId="97" priority="98" stopIfTrue="1" operator="equal">
      <formula>"oui"</formula>
    </cfRule>
    <cfRule type="cellIs" dxfId="96" priority="99" stopIfTrue="1" operator="equal">
      <formula>"non"</formula>
    </cfRule>
    <cfRule type="cellIs" dxfId="95" priority="100" stopIfTrue="1" operator="equal">
      <formula>"prevu"</formula>
    </cfRule>
  </conditionalFormatting>
  <conditionalFormatting sqref="AL30">
    <cfRule type="cellIs" dxfId="94" priority="95" stopIfTrue="1" operator="equal">
      <formula>"oui"</formula>
    </cfRule>
    <cfRule type="cellIs" dxfId="93" priority="96" stopIfTrue="1" operator="equal">
      <formula>"non"</formula>
    </cfRule>
    <cfRule type="cellIs" dxfId="92" priority="97" stopIfTrue="1" operator="equal">
      <formula>"prevu"</formula>
    </cfRule>
  </conditionalFormatting>
  <conditionalFormatting sqref="U18 AA18 W18 Q18 K18 O18 I18 G18 M18 E18">
    <cfRule type="cellIs" dxfId="91" priority="79" stopIfTrue="1" operator="equal">
      <formula>"NON"</formula>
    </cfRule>
    <cfRule type="cellIs" dxfId="90" priority="80" stopIfTrue="1" operator="equal">
      <formula>"OUI"</formula>
    </cfRule>
    <cfRule type="cellIs" dxfId="89" priority="81" stopIfTrue="1" operator="equal">
      <formula>"INSCRIT"</formula>
    </cfRule>
  </conditionalFormatting>
  <conditionalFormatting sqref="AO18 AF18 AH18 AJ18 AL18">
    <cfRule type="cellIs" dxfId="88" priority="76" stopIfTrue="1" operator="equal">
      <formula>"oui"</formula>
    </cfRule>
    <cfRule type="cellIs" dxfId="87" priority="77" stopIfTrue="1" operator="equal">
      <formula>"non"</formula>
    </cfRule>
    <cfRule type="cellIs" dxfId="86" priority="78" stopIfTrue="1" operator="equal">
      <formula>"prevu"</formula>
    </cfRule>
  </conditionalFormatting>
  <conditionalFormatting sqref="AN8 AN18">
    <cfRule type="cellIs" dxfId="85" priority="88" stopIfTrue="1" operator="greaterThan">
      <formula>0</formula>
    </cfRule>
  </conditionalFormatting>
  <conditionalFormatting sqref="A8:A63">
    <cfRule type="cellIs" dxfId="84" priority="1" operator="equal">
      <formula>"TER EST"</formula>
    </cfRule>
    <cfRule type="containsText" dxfId="83" priority="39" operator="containsText" text="EMI">
      <formula>NOT(ISERROR(SEARCH("EMI",A8)))</formula>
    </cfRule>
    <cfRule type="cellIs" dxfId="82" priority="47" stopIfTrue="1" operator="equal">
      <formula>"TER OUEST"</formula>
    </cfRule>
    <cfRule type="cellIs" dxfId="81" priority="48" stopIfTrue="1" operator="equal">
      <formula>"TRAIN"</formula>
    </cfRule>
    <cfRule type="cellIs" dxfId="80" priority="49" stopIfTrue="1" operator="equal">
      <formula>"SIEGE"</formula>
    </cfRule>
  </conditionalFormatting>
  <conditionalFormatting sqref="AL21 AJ21 AF21 AH21">
    <cfRule type="cellIs" dxfId="79" priority="12" stopIfTrue="1" operator="equal">
      <formula>"oui"</formula>
    </cfRule>
    <cfRule type="cellIs" dxfId="78" priority="13" stopIfTrue="1" operator="equal">
      <formula>"non"</formula>
    </cfRule>
    <cfRule type="cellIs" dxfId="77" priority="14" stopIfTrue="1" operator="equal">
      <formula>"prevu"</formula>
    </cfRule>
  </conditionalFormatting>
  <conditionalFormatting sqref="AN21">
    <cfRule type="cellIs" dxfId="76" priority="30" stopIfTrue="1" operator="greaterThan">
      <formula>0</formula>
    </cfRule>
  </conditionalFormatting>
  <conditionalFormatting sqref="AO21">
    <cfRule type="cellIs" dxfId="75" priority="9" stopIfTrue="1" operator="equal">
      <formula>"oui"</formula>
    </cfRule>
    <cfRule type="cellIs" dxfId="74" priority="10" stopIfTrue="1" operator="equal">
      <formula>"non"</formula>
    </cfRule>
    <cfRule type="cellIs" dxfId="73" priority="11" stopIfTrue="1" operator="equal">
      <formula>"prevu"</formula>
    </cfRule>
  </conditionalFormatting>
  <conditionalFormatting sqref="W21 U21 AA21 AC21 Q21 K21 O21 I21 G21 M21 E21">
    <cfRule type="cellIs" dxfId="72" priority="2" stopIfTrue="1" operator="equal">
      <formula>"NON"</formula>
    </cfRule>
    <cfRule type="cellIs" dxfId="71" priority="3" stopIfTrue="1" operator="equal">
      <formula>"OUI"</formula>
    </cfRule>
    <cfRule type="cellIs" dxfId="70" priority="4" stopIfTrue="1" operator="equal">
      <formula>"INSCRIT"</formula>
    </cfRule>
  </conditionalFormatting>
  <conditionalFormatting sqref="AQ4:AQ6">
    <cfRule type="containsText" dxfId="69" priority="34" operator="containsText" text="EMI">
      <formula>NOT(ISERROR(SEARCH("EMI",AQ4)))</formula>
    </cfRule>
    <cfRule type="containsText" dxfId="68" priority="35" operator="containsText" text="TER EST">
      <formula>NOT(ISERROR(SEARCH("TER EST",AQ4)))</formula>
    </cfRule>
    <cfRule type="cellIs" dxfId="67" priority="36" stopIfTrue="1" operator="equal">
      <formula>"TER OUEST"</formula>
    </cfRule>
    <cfRule type="cellIs" dxfId="66" priority="37" stopIfTrue="1" operator="equal">
      <formula>"TRAIN"</formula>
    </cfRule>
    <cfRule type="cellIs" dxfId="65" priority="38" stopIfTrue="1" operator="equal">
      <formula>"SIEGE"</formula>
    </cfRule>
  </conditionalFormatting>
  <dataValidations count="4">
    <dataValidation type="list" allowBlank="1" showInputMessage="1" showErrorMessage="1" sqref="AQ2:AQ4">
      <formula1>UO</formula1>
    </dataValidation>
    <dataValidation type="list" allowBlank="1" showInputMessage="1" showErrorMessage="1" sqref="A8:A50">
      <formula1>UO_ESV</formula1>
    </dataValidation>
    <dataValidation type="list" allowBlank="1" showInputMessage="1" showErrorMessage="1" sqref="S8:S50 K8:K50 AA8:AA50 U8:U50 Q8:Q50 E8:E50 O8:O50 G8:G50 W8:W50 M8:M50 I8:I50 Y8:Y50 AC8:AC50">
      <formula1>SuiviFormation</formula1>
    </dataValidation>
    <dataValidation type="list" allowBlank="1" showInputMessage="1" showErrorMessage="1" sqref="AL8:AL49 AJ8:AJ49 AF8:AF49 AH8:AH49 AO8:AO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tabSelected="1" zoomScale="80" zoomScaleNormal="80" workbookViewId="0">
      <pane xSplit="4" ySplit="6" topLeftCell="E7" activePane="bottomRight" state="frozen"/>
      <selection pane="topRight" activeCell="E1" sqref="E1"/>
      <selection pane="bottomLeft" activeCell="A4" sqref="A4"/>
      <selection pane="bottomRight" activeCell="D13" sqref="D13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8.140625" style="269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28" customWidth="1"/>
    <col min="32" max="32" width="12.28515625" style="436" customWidth="1"/>
    <col min="33" max="33" width="5.7109375" style="428" customWidth="1"/>
    <col min="34" max="34" width="5.7109375" style="14" customWidth="1"/>
    <col min="35" max="16384" width="11.42578125" style="13"/>
  </cols>
  <sheetData>
    <row r="1" spans="1:34" ht="4.5" customHeight="1" x14ac:dyDescent="0.25"/>
    <row r="2" spans="1:34" ht="12.75" customHeight="1" x14ac:dyDescent="0.25">
      <c r="B2" s="583" t="s">
        <v>291</v>
      </c>
      <c r="C2" s="583"/>
      <c r="D2" s="583"/>
    </row>
    <row r="3" spans="1:34" x14ac:dyDescent="0.25">
      <c r="B3" s="583"/>
      <c r="C3" s="583"/>
      <c r="D3" s="583"/>
      <c r="P3" s="423"/>
    </row>
    <row r="4" spans="1:34" ht="5.25" customHeight="1" thickBot="1" x14ac:dyDescent="0.3"/>
    <row r="5" spans="1:34" ht="19.5" customHeight="1" x14ac:dyDescent="0.25">
      <c r="A5" s="2"/>
      <c r="B5" s="580" t="s">
        <v>8</v>
      </c>
      <c r="C5" s="581"/>
      <c r="D5" s="582"/>
      <c r="E5" s="586" t="s">
        <v>9</v>
      </c>
      <c r="F5" s="587"/>
      <c r="G5" s="587"/>
      <c r="H5" s="588"/>
      <c r="I5" s="589" t="s">
        <v>10</v>
      </c>
      <c r="J5" s="590"/>
      <c r="K5" s="590"/>
      <c r="L5" s="590"/>
      <c r="M5" s="590"/>
      <c r="N5" s="590"/>
      <c r="O5" s="591"/>
      <c r="P5" s="467"/>
      <c r="Q5" s="592" t="s">
        <v>11</v>
      </c>
      <c r="R5" s="593"/>
      <c r="S5" s="593"/>
      <c r="T5" s="594"/>
      <c r="U5" s="595" t="s">
        <v>12</v>
      </c>
      <c r="V5" s="596"/>
      <c r="W5" s="596"/>
      <c r="X5" s="597"/>
      <c r="Y5" s="584" t="s">
        <v>81</v>
      </c>
      <c r="Z5" s="585"/>
      <c r="AA5" s="585"/>
      <c r="AB5" s="585"/>
      <c r="AC5" s="585"/>
      <c r="AD5" s="585"/>
      <c r="AE5" s="585"/>
      <c r="AF5" s="585"/>
      <c r="AG5" s="585"/>
      <c r="AH5" s="585"/>
    </row>
    <row r="6" spans="1:34" ht="127.5" customHeight="1" thickBot="1" x14ac:dyDescent="0.3">
      <c r="A6" s="3"/>
      <c r="B6" s="48" t="s">
        <v>13</v>
      </c>
      <c r="C6" s="49" t="s">
        <v>14</v>
      </c>
      <c r="D6" s="50" t="s">
        <v>15</v>
      </c>
      <c r="E6" s="51" t="s">
        <v>1296</v>
      </c>
      <c r="F6" s="52" t="s">
        <v>16</v>
      </c>
      <c r="G6" s="53" t="s">
        <v>80</v>
      </c>
      <c r="H6" s="54" t="s">
        <v>79</v>
      </c>
      <c r="I6" s="55" t="s">
        <v>17</v>
      </c>
      <c r="J6" s="55" t="s">
        <v>568</v>
      </c>
      <c r="K6" s="56" t="s">
        <v>18</v>
      </c>
      <c r="L6" s="56" t="s">
        <v>19</v>
      </c>
      <c r="M6" s="57" t="s">
        <v>569</v>
      </c>
      <c r="N6" s="57" t="s">
        <v>570</v>
      </c>
      <c r="O6" s="58" t="s">
        <v>572</v>
      </c>
      <c r="P6" s="472" t="s">
        <v>1360</v>
      </c>
      <c r="Q6" s="59" t="s">
        <v>20</v>
      </c>
      <c r="R6" s="60" t="s">
        <v>21</v>
      </c>
      <c r="S6" s="60" t="s">
        <v>22</v>
      </c>
      <c r="T6" s="61" t="s">
        <v>23</v>
      </c>
      <c r="U6" s="62" t="s">
        <v>837</v>
      </c>
      <c r="V6" s="63" t="s">
        <v>24</v>
      </c>
      <c r="W6" s="63" t="s">
        <v>25</v>
      </c>
      <c r="X6" s="64" t="s">
        <v>554</v>
      </c>
      <c r="Y6" s="180" t="s">
        <v>26</v>
      </c>
      <c r="Z6" s="181" t="s">
        <v>832</v>
      </c>
      <c r="AA6" s="181" t="s">
        <v>853</v>
      </c>
      <c r="AB6" s="181" t="s">
        <v>831</v>
      </c>
      <c r="AC6" s="181" t="s">
        <v>857</v>
      </c>
      <c r="AD6" s="181" t="s">
        <v>833</v>
      </c>
      <c r="AE6" s="429" t="s">
        <v>925</v>
      </c>
      <c r="AF6" s="432" t="s">
        <v>926</v>
      </c>
      <c r="AG6" s="433" t="s">
        <v>924</v>
      </c>
      <c r="AH6" s="181" t="s">
        <v>834</v>
      </c>
    </row>
    <row r="7" spans="1:34" ht="165" customHeight="1" x14ac:dyDescent="0.25">
      <c r="A7" s="203" t="s">
        <v>984</v>
      </c>
      <c r="B7" s="259" t="s">
        <v>1368</v>
      </c>
      <c r="C7" s="257" t="s">
        <v>1369</v>
      </c>
      <c r="D7" s="258">
        <v>23</v>
      </c>
      <c r="E7" s="268" t="s">
        <v>972</v>
      </c>
      <c r="F7" s="260" t="e">
        <f>IF(E7="","",VLOOKUP(E7,'Listes déroulantes'!$A$2:$B$65,2,FALSE))</f>
        <v>#N/A</v>
      </c>
      <c r="G7" s="270" t="s">
        <v>35</v>
      </c>
      <c r="H7" s="271" t="s">
        <v>35</v>
      </c>
      <c r="I7" s="275">
        <v>43831</v>
      </c>
      <c r="J7" s="116">
        <v>0</v>
      </c>
      <c r="K7" s="1" t="s">
        <v>36</v>
      </c>
      <c r="L7" s="6" t="s">
        <v>37</v>
      </c>
      <c r="M7" s="7"/>
      <c r="N7" s="7"/>
      <c r="O7" s="471" t="str">
        <f t="shared" ref="O7:O41" si="0">IF(L7="avec arrêt",(N7-M7)+1,"")</f>
        <v/>
      </c>
      <c r="P7" s="550" t="str">
        <f>IFERROR(O7-IFERROR(IF(L7="avec arrêt",IF(MONTH(N7)&lt;=mois_stat,0,N7-EOMONTH('Stats AT BDD'!$Y$2,0)),""),""),"")</f>
        <v/>
      </c>
      <c r="Q7" s="264" t="s">
        <v>97</v>
      </c>
      <c r="R7" s="265" t="s">
        <v>293</v>
      </c>
      <c r="S7" s="265" t="s">
        <v>411</v>
      </c>
      <c r="T7" s="266" t="s">
        <v>507</v>
      </c>
      <c r="U7" s="12" t="s">
        <v>33</v>
      </c>
      <c r="V7" s="6" t="s">
        <v>40</v>
      </c>
      <c r="W7" s="6" t="s">
        <v>93</v>
      </c>
      <c r="X7" s="266" t="s">
        <v>1275</v>
      </c>
      <c r="Y7" s="272" t="s">
        <v>261</v>
      </c>
      <c r="Z7" s="276">
        <f t="shared" ref="Z7:Z34" si="1">IF(ISBLANK(I7),"",I7+2)</f>
        <v>43833</v>
      </c>
      <c r="AA7" s="7">
        <v>43832</v>
      </c>
      <c r="AB7" s="277" t="str">
        <f t="shared" ref="AB7:AB17" ca="1" si="2">IF(ISBLANK(AA7),IF(Z7&lt;TODAY(),"non",""),IF(AA7&gt;Z7,"non","oui"))</f>
        <v>oui</v>
      </c>
      <c r="AC7" s="273"/>
      <c r="AD7" s="273"/>
      <c r="AE7" s="438">
        <f t="shared" ref="AE7:AE38" si="3">IF(ISBLANK(I7),"",I7+30)</f>
        <v>43861</v>
      </c>
      <c r="AF7" s="434"/>
      <c r="AG7" s="437" t="str">
        <f t="shared" ref="AG7:AG35" ca="1" si="4">IF(ISBLANK(AF7),IF(AE7&lt;TODAY(),"non",""),IF(AF7&gt;AE7,"non","oui"))</f>
        <v>non</v>
      </c>
      <c r="AH7" s="273"/>
    </row>
    <row r="8" spans="1:34" ht="97.5" customHeight="1" x14ac:dyDescent="0.25">
      <c r="A8" s="203" t="s">
        <v>985</v>
      </c>
      <c r="B8" s="259" t="s">
        <v>1370</v>
      </c>
      <c r="C8" s="257" t="s">
        <v>1371</v>
      </c>
      <c r="D8" s="258">
        <v>76</v>
      </c>
      <c r="E8" s="268" t="s">
        <v>1287</v>
      </c>
      <c r="F8" s="260" t="s">
        <v>1278</v>
      </c>
      <c r="G8" s="271" t="s">
        <v>35</v>
      </c>
      <c r="H8" s="271" t="s">
        <v>35</v>
      </c>
      <c r="I8" s="275">
        <v>43867</v>
      </c>
      <c r="J8" s="116"/>
      <c r="K8" s="1" t="s">
        <v>898</v>
      </c>
      <c r="L8" s="6" t="s">
        <v>37</v>
      </c>
      <c r="M8" s="7"/>
      <c r="N8" s="7"/>
      <c r="O8" s="471" t="str">
        <f t="shared" si="0"/>
        <v/>
      </c>
      <c r="P8" s="550" t="str">
        <f>IFERROR(O8-IFERROR(IF(L8="avec arrêt",IF(MONTH(N8)&lt;=mois_stat,0,N8-EOMONTH('Stats AT BDD'!$Y$2,0)),""),""),"")</f>
        <v/>
      </c>
      <c r="Q8" s="8" t="s">
        <v>39</v>
      </c>
      <c r="R8" s="9" t="s">
        <v>399</v>
      </c>
      <c r="S8" s="9" t="s">
        <v>907</v>
      </c>
      <c r="T8" s="10" t="s">
        <v>511</v>
      </c>
      <c r="U8" s="12" t="s">
        <v>33</v>
      </c>
      <c r="V8" s="6" t="s">
        <v>49</v>
      </c>
      <c r="W8" s="6" t="s">
        <v>45</v>
      </c>
      <c r="X8" s="266" t="s">
        <v>1361</v>
      </c>
      <c r="Y8" s="272" t="s">
        <v>846</v>
      </c>
      <c r="Z8" s="276">
        <f t="shared" si="1"/>
        <v>43869</v>
      </c>
      <c r="AA8" s="7">
        <v>43867</v>
      </c>
      <c r="AB8" s="277" t="str">
        <f t="shared" ca="1" si="2"/>
        <v>oui</v>
      </c>
      <c r="AC8" s="273"/>
      <c r="AD8" s="273"/>
      <c r="AE8" s="438">
        <f t="shared" si="3"/>
        <v>43897</v>
      </c>
      <c r="AF8" s="434"/>
      <c r="AG8" s="437" t="str">
        <f t="shared" ca="1" si="4"/>
        <v/>
      </c>
      <c r="AH8" s="273"/>
    </row>
    <row r="9" spans="1:34" ht="144.75" customHeight="1" x14ac:dyDescent="0.25">
      <c r="A9" s="203" t="s">
        <v>986</v>
      </c>
      <c r="B9" s="259" t="s">
        <v>1372</v>
      </c>
      <c r="C9" s="257" t="s">
        <v>1373</v>
      </c>
      <c r="D9" s="258">
        <v>48</v>
      </c>
      <c r="E9" s="268" t="s">
        <v>1287</v>
      </c>
      <c r="F9" s="260" t="str">
        <f>IF(E9="","",VLOOKUP(E9,'Listes déroulantes'!$A$2:$B$65,2,FALSE))</f>
        <v>UO Relation client</v>
      </c>
      <c r="G9" s="271" t="s">
        <v>35</v>
      </c>
      <c r="H9" s="271" t="s">
        <v>35</v>
      </c>
      <c r="I9" s="275">
        <v>43867</v>
      </c>
      <c r="J9" s="116"/>
      <c r="K9" s="1" t="s">
        <v>898</v>
      </c>
      <c r="L9" s="6" t="s">
        <v>37</v>
      </c>
      <c r="M9" s="7"/>
      <c r="N9" s="7"/>
      <c r="O9" s="471" t="str">
        <f t="shared" si="0"/>
        <v/>
      </c>
      <c r="P9" s="550" t="str">
        <f>IFERROR(O9-IFERROR(IF(L9="avec arrêt",IF(MONTH(N9)&lt;=mois_stat,0,N9-EOMONTH('Stats AT BDD'!$Y$2,0)),""),""),"")</f>
        <v/>
      </c>
      <c r="Q9" s="264" t="s">
        <v>39</v>
      </c>
      <c r="R9" s="265" t="s">
        <v>399</v>
      </c>
      <c r="S9" s="265" t="s">
        <v>907</v>
      </c>
      <c r="T9" s="266" t="s">
        <v>511</v>
      </c>
      <c r="U9" s="12" t="s">
        <v>33</v>
      </c>
      <c r="V9" s="6" t="s">
        <v>49</v>
      </c>
      <c r="W9" s="6" t="s">
        <v>45</v>
      </c>
      <c r="X9" s="266" t="s">
        <v>1362</v>
      </c>
      <c r="Y9" s="272" t="s">
        <v>816</v>
      </c>
      <c r="Z9" s="276">
        <f t="shared" si="1"/>
        <v>43869</v>
      </c>
      <c r="AA9" s="7">
        <v>43867</v>
      </c>
      <c r="AB9" s="277" t="str">
        <f t="shared" ca="1" si="2"/>
        <v>oui</v>
      </c>
      <c r="AC9" s="273"/>
      <c r="AD9" s="273"/>
      <c r="AE9" s="438">
        <f t="shared" si="3"/>
        <v>43897</v>
      </c>
      <c r="AF9" s="434"/>
      <c r="AG9" s="437" t="str">
        <f t="shared" ca="1" si="4"/>
        <v/>
      </c>
      <c r="AH9" s="273"/>
    </row>
    <row r="10" spans="1:34" ht="67.5" customHeight="1" x14ac:dyDescent="0.25">
      <c r="A10" s="203" t="s">
        <v>987</v>
      </c>
      <c r="B10" s="259" t="s">
        <v>1374</v>
      </c>
      <c r="C10" s="257" t="s">
        <v>1375</v>
      </c>
      <c r="D10" s="258"/>
      <c r="E10" s="268" t="s">
        <v>1282</v>
      </c>
      <c r="F10" s="260" t="str">
        <f>IF(E10="","",VLOOKUP(E10,'Listes déroulantes'!$A$2:$B$65,2,FALSE))</f>
        <v>UO Relation client</v>
      </c>
      <c r="G10" s="271" t="s">
        <v>35</v>
      </c>
      <c r="H10" s="271" t="s">
        <v>35</v>
      </c>
      <c r="I10" s="275">
        <v>43868</v>
      </c>
      <c r="J10" s="116">
        <v>3</v>
      </c>
      <c r="K10" s="1" t="s">
        <v>27</v>
      </c>
      <c r="L10" s="6" t="s">
        <v>37</v>
      </c>
      <c r="M10" s="7"/>
      <c r="N10" s="7"/>
      <c r="O10" s="471" t="str">
        <f t="shared" si="0"/>
        <v/>
      </c>
      <c r="P10" s="550" t="str">
        <f>IFERROR(O10-IFERROR(IF(L10="avec arrêt",IF(MONTH(N10)&lt;=mois_stat,0,N10-EOMONTH('Stats AT BDD'!$Y$2,0)),""),""),"")</f>
        <v/>
      </c>
      <c r="Q10" s="8" t="s">
        <v>42</v>
      </c>
      <c r="R10" s="9" t="s">
        <v>68</v>
      </c>
      <c r="S10" s="9" t="s">
        <v>31</v>
      </c>
      <c r="T10" s="10" t="s">
        <v>507</v>
      </c>
      <c r="U10" s="12" t="s">
        <v>35</v>
      </c>
      <c r="V10" s="6" t="s">
        <v>88</v>
      </c>
      <c r="W10" s="6" t="s">
        <v>60</v>
      </c>
      <c r="X10" s="266" t="s">
        <v>1363</v>
      </c>
      <c r="Y10" s="272" t="s">
        <v>589</v>
      </c>
      <c r="Z10" s="276">
        <f t="shared" si="1"/>
        <v>43870</v>
      </c>
      <c r="AA10" s="7">
        <v>43868</v>
      </c>
      <c r="AB10" s="277" t="str">
        <f t="shared" ca="1" si="2"/>
        <v>oui</v>
      </c>
      <c r="AC10" s="273"/>
      <c r="AD10" s="273" t="s">
        <v>241</v>
      </c>
      <c r="AE10" s="438">
        <f t="shared" si="3"/>
        <v>43898</v>
      </c>
      <c r="AF10" s="434"/>
      <c r="AG10" s="437" t="str">
        <f t="shared" ca="1" si="4"/>
        <v/>
      </c>
      <c r="AH10" s="273"/>
    </row>
    <row r="11" spans="1:34" ht="67.5" customHeight="1" x14ac:dyDescent="0.25">
      <c r="A11" s="203" t="s">
        <v>988</v>
      </c>
      <c r="B11" s="259" t="s">
        <v>1376</v>
      </c>
      <c r="C11" s="257" t="s">
        <v>1377</v>
      </c>
      <c r="D11" s="258">
        <v>11</v>
      </c>
      <c r="E11" s="268" t="s">
        <v>1286</v>
      </c>
      <c r="F11" s="260" t="str">
        <f>IF(E11="","",VLOOKUP(E11,'Listes déroulantes'!$A$2:$B$65,2,FALSE))</f>
        <v>UO Relation client</v>
      </c>
      <c r="G11" s="271" t="s">
        <v>35</v>
      </c>
      <c r="H11" s="271" t="s">
        <v>35</v>
      </c>
      <c r="I11" s="275">
        <v>44175</v>
      </c>
      <c r="J11" s="116">
        <v>1</v>
      </c>
      <c r="K11" s="1" t="s">
        <v>36</v>
      </c>
      <c r="L11" s="6" t="s">
        <v>28</v>
      </c>
      <c r="M11" s="7">
        <v>43872</v>
      </c>
      <c r="N11" s="7">
        <v>43878</v>
      </c>
      <c r="O11" s="471">
        <f t="shared" si="0"/>
        <v>7</v>
      </c>
      <c r="P11" s="550">
        <f>IFERROR(O11-IFERROR(IF(L11="avec arrêt",IF(MONTH(N11)&lt;=mois_stat,0,N11-EOMONTH('Stats AT BDD'!$Y$2,0)),""),""),"")</f>
        <v>7</v>
      </c>
      <c r="Q11" s="8" t="s">
        <v>42</v>
      </c>
      <c r="R11" s="9"/>
      <c r="S11" s="9" t="s">
        <v>413</v>
      </c>
      <c r="T11" s="10" t="s">
        <v>504</v>
      </c>
      <c r="U11" s="268" t="s">
        <v>35</v>
      </c>
      <c r="V11" s="6" t="s">
        <v>44</v>
      </c>
      <c r="W11" s="6" t="s">
        <v>95</v>
      </c>
      <c r="X11" s="266" t="s">
        <v>1364</v>
      </c>
      <c r="Y11" s="272" t="s">
        <v>1365</v>
      </c>
      <c r="Z11" s="276">
        <f t="shared" si="1"/>
        <v>44177</v>
      </c>
      <c r="AA11" s="7">
        <v>43872</v>
      </c>
      <c r="AB11" s="277" t="str">
        <f t="shared" ca="1" si="2"/>
        <v>oui</v>
      </c>
      <c r="AC11" s="273"/>
      <c r="AD11" s="273"/>
      <c r="AE11" s="438">
        <f t="shared" si="3"/>
        <v>44205</v>
      </c>
      <c r="AF11" s="434"/>
      <c r="AG11" s="437" t="str">
        <f t="shared" ca="1" si="4"/>
        <v/>
      </c>
      <c r="AH11" s="273"/>
    </row>
    <row r="12" spans="1:34" ht="67.5" customHeight="1" x14ac:dyDescent="0.25">
      <c r="A12" s="203" t="s">
        <v>989</v>
      </c>
      <c r="B12" s="259" t="s">
        <v>1378</v>
      </c>
      <c r="C12" s="257" t="s">
        <v>1379</v>
      </c>
      <c r="D12" s="258">
        <v>71</v>
      </c>
      <c r="E12" s="268" t="s">
        <v>1287</v>
      </c>
      <c r="F12" s="260" t="str">
        <f>IF(E12="","",VLOOKUP(E12,'Listes déroulantes'!$A$2:$B$65,2,FALSE))</f>
        <v>UO Relation client</v>
      </c>
      <c r="G12" s="271" t="s">
        <v>35</v>
      </c>
      <c r="H12" s="271" t="s">
        <v>35</v>
      </c>
      <c r="I12" s="275">
        <v>43881</v>
      </c>
      <c r="J12" s="116">
        <v>4</v>
      </c>
      <c r="K12" s="1" t="s">
        <v>27</v>
      </c>
      <c r="L12" s="6" t="s">
        <v>28</v>
      </c>
      <c r="M12" s="7">
        <v>43881</v>
      </c>
      <c r="N12" s="7">
        <v>43888</v>
      </c>
      <c r="O12" s="471">
        <f t="shared" si="0"/>
        <v>8</v>
      </c>
      <c r="P12" s="550">
        <f>IFERROR(O12-IFERROR(IF(L12="avec arrêt",IF(MONTH(N12)&lt;=mois_stat,0,N12-EOMONTH('Stats AT BDD'!$Y$2,0)),""),""),"")</f>
        <v>8</v>
      </c>
      <c r="Q12" s="8" t="s">
        <v>51</v>
      </c>
      <c r="R12" s="9" t="s">
        <v>52</v>
      </c>
      <c r="S12" s="9" t="s">
        <v>411</v>
      </c>
      <c r="T12" s="10" t="s">
        <v>478</v>
      </c>
      <c r="U12" s="12" t="s">
        <v>35</v>
      </c>
      <c r="V12" s="6" t="s">
        <v>49</v>
      </c>
      <c r="W12" s="6" t="s">
        <v>65</v>
      </c>
      <c r="X12" s="388" t="s">
        <v>1366</v>
      </c>
      <c r="Y12" s="76" t="s">
        <v>846</v>
      </c>
      <c r="Z12" s="276">
        <f t="shared" si="1"/>
        <v>43883</v>
      </c>
      <c r="AA12" s="7">
        <v>43882</v>
      </c>
      <c r="AB12" s="277" t="str">
        <f t="shared" ca="1" si="2"/>
        <v>oui</v>
      </c>
      <c r="AC12" s="273"/>
      <c r="AD12" s="273"/>
      <c r="AE12" s="438">
        <f t="shared" si="3"/>
        <v>43911</v>
      </c>
      <c r="AF12" s="434"/>
      <c r="AG12" s="437" t="str">
        <f t="shared" ca="1" si="4"/>
        <v/>
      </c>
      <c r="AH12" s="273"/>
    </row>
    <row r="13" spans="1:34" s="269" customFormat="1" ht="162.75" customHeight="1" x14ac:dyDescent="0.25">
      <c r="A13" s="203" t="s">
        <v>990</v>
      </c>
      <c r="B13" s="259" t="s">
        <v>1380</v>
      </c>
      <c r="C13" s="257" t="s">
        <v>1381</v>
      </c>
      <c r="D13" s="258"/>
      <c r="E13" s="268" t="s">
        <v>1294</v>
      </c>
      <c r="F13" s="260" t="str">
        <f>IF(E13="","",VLOOKUP(E13,'Listes déroulantes'!$A$2:$B$65,2,FALSE))</f>
        <v>Siège</v>
      </c>
      <c r="G13" s="271" t="s">
        <v>35</v>
      </c>
      <c r="H13" s="271" t="s">
        <v>35</v>
      </c>
      <c r="I13" s="275">
        <v>43882</v>
      </c>
      <c r="J13" s="274">
        <v>4</v>
      </c>
      <c r="K13" s="261" t="s">
        <v>36</v>
      </c>
      <c r="L13" s="262" t="s">
        <v>37</v>
      </c>
      <c r="M13" s="263"/>
      <c r="N13" s="263"/>
      <c r="O13" s="471" t="str">
        <f t="shared" si="0"/>
        <v/>
      </c>
      <c r="P13" s="550" t="str">
        <f>IFERROR(O13-IFERROR(IF(L13="avec arrêt",IF(MONTH(N13)&lt;=mois_stat,0,N13-EOMONTH('Stats AT BDD'!$Y$2,0)),""),""),"")</f>
        <v/>
      </c>
      <c r="Q13" s="264" t="s">
        <v>42</v>
      </c>
      <c r="R13" s="265" t="s">
        <v>68</v>
      </c>
      <c r="S13" s="265" t="s">
        <v>31</v>
      </c>
      <c r="T13" s="266" t="s">
        <v>507</v>
      </c>
      <c r="U13" s="268" t="s">
        <v>35</v>
      </c>
      <c r="V13" s="262" t="s">
        <v>49</v>
      </c>
      <c r="W13" s="262" t="s">
        <v>53</v>
      </c>
      <c r="X13" s="347" t="s">
        <v>1367</v>
      </c>
      <c r="Y13" s="272" t="s">
        <v>918</v>
      </c>
      <c r="Z13" s="276">
        <f t="shared" si="1"/>
        <v>43884</v>
      </c>
      <c r="AA13" s="263">
        <v>43883</v>
      </c>
      <c r="AB13" s="277" t="str">
        <f t="shared" ca="1" si="2"/>
        <v>oui</v>
      </c>
      <c r="AC13" s="273"/>
      <c r="AD13" s="273"/>
      <c r="AE13" s="438">
        <f t="shared" si="3"/>
        <v>43912</v>
      </c>
      <c r="AF13" s="434"/>
      <c r="AG13" s="437" t="str">
        <f t="shared" ca="1" si="4"/>
        <v/>
      </c>
      <c r="AH13" s="273"/>
    </row>
    <row r="14" spans="1:34" ht="67.5" customHeight="1" x14ac:dyDescent="0.25">
      <c r="A14" s="203" t="s">
        <v>991</v>
      </c>
      <c r="B14" s="11"/>
      <c r="C14" s="4"/>
      <c r="D14" s="5"/>
      <c r="E14" s="268"/>
      <c r="F14" s="260" t="str">
        <f>IF(E14="","",VLOOKUP(E14,'Listes déroulantes'!$A$2:$B$65,2,FALSE))</f>
        <v/>
      </c>
      <c r="G14" s="270"/>
      <c r="H14" s="271"/>
      <c r="I14" s="275"/>
      <c r="J14" s="116"/>
      <c r="K14" s="1"/>
      <c r="L14" s="6"/>
      <c r="M14" s="7"/>
      <c r="N14" s="7"/>
      <c r="O14" s="471" t="str">
        <f t="shared" si="0"/>
        <v/>
      </c>
      <c r="P14" s="550" t="str">
        <f>IFERROR(O14-IFERROR(IF(L14="avec arrêt",IF(MONTH(N14)&lt;=mois_stat,0,N14-EOMONTH('Stats AT BDD'!$Y$2,0)),""),""),"")</f>
        <v/>
      </c>
      <c r="Q14" s="8"/>
      <c r="R14" s="9"/>
      <c r="S14" s="9"/>
      <c r="T14" s="10"/>
      <c r="U14" s="12"/>
      <c r="V14" s="6"/>
      <c r="W14" s="6"/>
      <c r="X14" s="266"/>
      <c r="Y14" s="76"/>
      <c r="Z14" s="276" t="str">
        <f t="shared" si="1"/>
        <v/>
      </c>
      <c r="AA14" s="7"/>
      <c r="AB14" s="277" t="str">
        <f t="shared" ca="1" si="2"/>
        <v/>
      </c>
      <c r="AC14" s="273"/>
      <c r="AD14" s="273"/>
      <c r="AE14" s="438" t="str">
        <f t="shared" si="3"/>
        <v/>
      </c>
      <c r="AF14" s="434"/>
      <c r="AG14" s="437" t="str">
        <f t="shared" ca="1" si="4"/>
        <v/>
      </c>
      <c r="AH14" s="273"/>
    </row>
    <row r="15" spans="1:34" ht="67.5" customHeight="1" x14ac:dyDescent="0.2">
      <c r="A15" s="203" t="s">
        <v>992</v>
      </c>
      <c r="B15" s="11"/>
      <c r="C15" s="4"/>
      <c r="D15" s="5"/>
      <c r="E15" s="268"/>
      <c r="F15" s="260" t="str">
        <f>IF(E15="","",VLOOKUP(E15,'Listes déroulantes'!$A$2:$B$65,2,FALSE))</f>
        <v/>
      </c>
      <c r="G15" s="270"/>
      <c r="H15" s="271"/>
      <c r="I15" s="275"/>
      <c r="J15" s="116"/>
      <c r="K15" s="1"/>
      <c r="L15" s="6"/>
      <c r="M15" s="7"/>
      <c r="N15" s="7"/>
      <c r="O15" s="471" t="str">
        <f t="shared" si="0"/>
        <v/>
      </c>
      <c r="P15" s="550" t="str">
        <f>IFERROR(O15-IFERROR(IF(L15="avec arrêt",IF(MONTH(N15)&lt;=mois_stat,0,N15-EOMONTH('Stats AT BDD'!$Y$2,0)),""),""),"")</f>
        <v/>
      </c>
      <c r="Q15" s="8"/>
      <c r="R15" s="9"/>
      <c r="S15" s="9"/>
      <c r="T15" s="10"/>
      <c r="U15" s="12"/>
      <c r="V15" s="6"/>
      <c r="W15" s="6"/>
      <c r="X15" s="389"/>
      <c r="Y15" s="76"/>
      <c r="Z15" s="276" t="str">
        <f t="shared" si="1"/>
        <v/>
      </c>
      <c r="AA15" s="7"/>
      <c r="AB15" s="277" t="str">
        <f t="shared" ca="1" si="2"/>
        <v/>
      </c>
      <c r="AC15" s="273"/>
      <c r="AD15" s="273"/>
      <c r="AE15" s="438" t="str">
        <f t="shared" si="3"/>
        <v/>
      </c>
      <c r="AF15" s="434"/>
      <c r="AG15" s="437" t="str">
        <f t="shared" ca="1" si="4"/>
        <v/>
      </c>
      <c r="AH15" s="273"/>
    </row>
    <row r="16" spans="1:34" ht="85.5" customHeight="1" x14ac:dyDescent="0.25">
      <c r="A16" s="203" t="s">
        <v>993</v>
      </c>
      <c r="B16" s="11"/>
      <c r="C16" s="4"/>
      <c r="D16" s="5"/>
      <c r="E16" s="268"/>
      <c r="F16" s="260" t="str">
        <f>IF(E16="","",VLOOKUP(E16,'Listes déroulantes'!$A$2:$B$65,2,FALSE))</f>
        <v/>
      </c>
      <c r="G16" s="270"/>
      <c r="H16" s="271"/>
      <c r="I16" s="275"/>
      <c r="J16" s="116"/>
      <c r="K16" s="1"/>
      <c r="L16" s="6"/>
      <c r="M16" s="7"/>
      <c r="N16" s="7"/>
      <c r="O16" s="471" t="str">
        <f t="shared" si="0"/>
        <v/>
      </c>
      <c r="P16" s="550" t="str">
        <f>IFERROR(O16-IFERROR(IF(L16="avec arrêt",IF(MONTH(N16)&lt;=mois_stat,0,N16-EOMONTH('Stats AT BDD'!$Y$2,0)),""),""),"")</f>
        <v/>
      </c>
      <c r="Q16" s="8"/>
      <c r="R16" s="9"/>
      <c r="S16" s="9"/>
      <c r="T16" s="10"/>
      <c r="U16" s="12"/>
      <c r="V16" s="6"/>
      <c r="W16" s="6"/>
      <c r="X16" s="266"/>
      <c r="Y16" s="272"/>
      <c r="Z16" s="276" t="str">
        <f t="shared" si="1"/>
        <v/>
      </c>
      <c r="AA16" s="7"/>
      <c r="AB16" s="277" t="str">
        <f t="shared" ca="1" si="2"/>
        <v/>
      </c>
      <c r="AC16" s="273"/>
      <c r="AD16" s="273"/>
      <c r="AE16" s="438" t="str">
        <f t="shared" si="3"/>
        <v/>
      </c>
      <c r="AF16" s="434"/>
      <c r="AG16" s="437" t="str">
        <f t="shared" ca="1" si="4"/>
        <v/>
      </c>
      <c r="AH16" s="273"/>
    </row>
    <row r="17" spans="1:34" ht="67.5" customHeight="1" x14ac:dyDescent="0.25">
      <c r="A17" s="203" t="s">
        <v>994</v>
      </c>
      <c r="B17" s="11"/>
      <c r="C17" s="4"/>
      <c r="D17" s="5"/>
      <c r="E17" s="268"/>
      <c r="F17" s="260" t="str">
        <f>IF(E17="","",VLOOKUP(E17,'Listes déroulantes'!$A$2:$B$65,2,FALSE))</f>
        <v/>
      </c>
      <c r="G17" s="270"/>
      <c r="H17" s="271"/>
      <c r="I17" s="275"/>
      <c r="J17" s="116"/>
      <c r="K17" s="1"/>
      <c r="L17" s="6"/>
      <c r="M17" s="7"/>
      <c r="N17" s="7"/>
      <c r="O17" s="471" t="str">
        <f t="shared" si="0"/>
        <v/>
      </c>
      <c r="P17" s="550" t="str">
        <f>IFERROR(O17-IFERROR(IF(L17="avec arrêt",IF(MONTH(N17)&lt;=mois_stat,0,N17-EOMONTH('Stats AT BDD'!$Y$2,0)),""),""),"")</f>
        <v/>
      </c>
      <c r="Q17" s="8"/>
      <c r="R17" s="9"/>
      <c r="S17" s="9"/>
      <c r="T17" s="10"/>
      <c r="U17" s="12"/>
      <c r="V17" s="6"/>
      <c r="W17" s="6"/>
      <c r="X17" s="266"/>
      <c r="Y17" s="272"/>
      <c r="Z17" s="276" t="str">
        <f t="shared" si="1"/>
        <v/>
      </c>
      <c r="AA17" s="7"/>
      <c r="AB17" s="277" t="str">
        <f t="shared" ca="1" si="2"/>
        <v/>
      </c>
      <c r="AC17" s="273"/>
      <c r="AD17" s="273"/>
      <c r="AE17" s="438" t="str">
        <f t="shared" si="3"/>
        <v/>
      </c>
      <c r="AF17" s="434"/>
      <c r="AG17" s="437" t="str">
        <f t="shared" ca="1" si="4"/>
        <v/>
      </c>
      <c r="AH17" s="273"/>
    </row>
    <row r="18" spans="1:34" s="269" customFormat="1" ht="163.5" customHeight="1" x14ac:dyDescent="0.25">
      <c r="A18" s="203" t="s">
        <v>995</v>
      </c>
      <c r="B18" s="259"/>
      <c r="C18" s="257"/>
      <c r="D18" s="258"/>
      <c r="E18" s="268"/>
      <c r="F18" s="260" t="str">
        <f>IF(E18="","",VLOOKUP(E18,'Listes déroulantes'!$A$2:$B$65,2,FALSE))</f>
        <v/>
      </c>
      <c r="G18" s="270"/>
      <c r="H18" s="271"/>
      <c r="I18" s="275"/>
      <c r="J18" s="274"/>
      <c r="K18" s="261"/>
      <c r="L18" s="262"/>
      <c r="M18" s="263"/>
      <c r="N18" s="263"/>
      <c r="O18" s="471" t="str">
        <f t="shared" si="0"/>
        <v/>
      </c>
      <c r="P18" s="550" t="str">
        <f>IFERROR(O18-IFERROR(IF(L18="avec arrêt",IF(MONTH(N18)&lt;=mois_stat,0,N18-EOMONTH('Stats AT BDD'!$Y$2,0)),""),""),"")</f>
        <v/>
      </c>
      <c r="Q18" s="264"/>
      <c r="R18" s="265"/>
      <c r="S18" s="265"/>
      <c r="T18" s="266"/>
      <c r="U18" s="268"/>
      <c r="V18" s="262"/>
      <c r="W18" s="262"/>
      <c r="X18" s="266"/>
      <c r="Y18" s="272"/>
      <c r="Z18" s="276" t="str">
        <f t="shared" si="1"/>
        <v/>
      </c>
      <c r="AA18" s="263"/>
      <c r="AB18" s="277"/>
      <c r="AC18" s="273"/>
      <c r="AD18" s="273"/>
      <c r="AE18" s="438" t="str">
        <f t="shared" si="3"/>
        <v/>
      </c>
      <c r="AF18" s="434"/>
      <c r="AG18" s="437" t="str">
        <f t="shared" ca="1" si="4"/>
        <v/>
      </c>
      <c r="AH18" s="273"/>
    </row>
    <row r="19" spans="1:34" ht="113.25" customHeight="1" x14ac:dyDescent="0.25">
      <c r="A19" s="203" t="s">
        <v>996</v>
      </c>
      <c r="B19" s="11"/>
      <c r="C19" s="4"/>
      <c r="D19" s="5"/>
      <c r="E19" s="268"/>
      <c r="F19" s="260" t="str">
        <f>IF(E19="","",VLOOKUP(E19,'Listes déroulantes'!$A$2:$B$65,2,FALSE))</f>
        <v/>
      </c>
      <c r="G19" s="270"/>
      <c r="H19" s="271"/>
      <c r="I19" s="275"/>
      <c r="J19" s="116"/>
      <c r="K19" s="1"/>
      <c r="L19" s="6"/>
      <c r="M19" s="7"/>
      <c r="N19" s="7"/>
      <c r="O19" s="471" t="str">
        <f t="shared" si="0"/>
        <v/>
      </c>
      <c r="P19" s="550" t="str">
        <f>IFERROR(O19-IFERROR(IF(L19="avec arrêt",IF(MONTH(N19)&lt;=mois_stat,0,N19-EOMONTH('Stats AT BDD'!$Y$2,0)),""),""),"")</f>
        <v/>
      </c>
      <c r="Q19" s="8"/>
      <c r="R19" s="9"/>
      <c r="S19" s="9"/>
      <c r="T19" s="10"/>
      <c r="U19" s="12"/>
      <c r="V19" s="6"/>
      <c r="W19" s="6"/>
      <c r="X19" s="371"/>
      <c r="Y19" s="76"/>
      <c r="Z19" s="276" t="str">
        <f t="shared" si="1"/>
        <v/>
      </c>
      <c r="AA19" s="7"/>
      <c r="AB19" s="277" t="str">
        <f t="shared" ref="AB19:AB82" ca="1" si="5">IF(ISBLANK(AA19),IF(Z19&lt;TODAY(),"non",""),IF(AA19&gt;Z19,"non","oui"))</f>
        <v/>
      </c>
      <c r="AC19" s="273"/>
      <c r="AD19" s="273"/>
      <c r="AE19" s="438" t="str">
        <f t="shared" si="3"/>
        <v/>
      </c>
      <c r="AF19" s="434"/>
      <c r="AG19" s="437" t="str">
        <f t="shared" ca="1" si="4"/>
        <v/>
      </c>
      <c r="AH19" s="273"/>
    </row>
    <row r="20" spans="1:34" ht="89.25" customHeight="1" x14ac:dyDescent="0.25">
      <c r="A20" s="203" t="s">
        <v>997</v>
      </c>
      <c r="B20" s="11"/>
      <c r="C20" s="4"/>
      <c r="D20" s="5"/>
      <c r="E20" s="268"/>
      <c r="F20" s="260" t="str">
        <f>IF(E20="","",VLOOKUP(E20,'Listes déroulantes'!$A$2:$B$65,2,FALSE))</f>
        <v/>
      </c>
      <c r="G20" s="270"/>
      <c r="H20" s="271"/>
      <c r="I20" s="275"/>
      <c r="J20" s="116"/>
      <c r="K20" s="1"/>
      <c r="L20" s="6"/>
      <c r="M20" s="7"/>
      <c r="N20" s="7"/>
      <c r="O20" s="471" t="str">
        <f t="shared" si="0"/>
        <v/>
      </c>
      <c r="P20" s="550" t="str">
        <f>IFERROR(O20-IFERROR(IF(L20="avec arrêt",IF(MONTH(N20)&lt;=mois_stat,0,N20-EOMONTH('Stats AT BDD'!$Y$2,0)),""),""),"")</f>
        <v/>
      </c>
      <c r="Q20" s="264"/>
      <c r="R20" s="265"/>
      <c r="S20" s="9"/>
      <c r="T20" s="10"/>
      <c r="U20" s="12"/>
      <c r="V20" s="6"/>
      <c r="W20" s="6"/>
      <c r="X20" s="266"/>
      <c r="Y20" s="76"/>
      <c r="Z20" s="276" t="str">
        <f t="shared" si="1"/>
        <v/>
      </c>
      <c r="AA20" s="7"/>
      <c r="AB20" s="277" t="str">
        <f t="shared" ca="1" si="5"/>
        <v/>
      </c>
      <c r="AC20" s="273"/>
      <c r="AD20" s="273"/>
      <c r="AE20" s="438" t="str">
        <f t="shared" si="3"/>
        <v/>
      </c>
      <c r="AF20" s="434"/>
      <c r="AG20" s="437" t="str">
        <f t="shared" ca="1" si="4"/>
        <v/>
      </c>
      <c r="AH20" s="273"/>
    </row>
    <row r="21" spans="1:34" ht="123" customHeight="1" x14ac:dyDescent="0.25">
      <c r="A21" s="203" t="s">
        <v>998</v>
      </c>
      <c r="B21" s="11"/>
      <c r="C21" s="4"/>
      <c r="D21" s="5"/>
      <c r="E21" s="268"/>
      <c r="F21" s="260" t="str">
        <f>IF(E21="","",VLOOKUP(E21,'Listes déroulantes'!$A$2:$B$65,2,FALSE))</f>
        <v/>
      </c>
      <c r="G21" s="270"/>
      <c r="H21" s="271"/>
      <c r="I21" s="275"/>
      <c r="J21" s="116"/>
      <c r="K21" s="1"/>
      <c r="L21" s="6"/>
      <c r="M21" s="7"/>
      <c r="N21" s="7"/>
      <c r="O21" s="471" t="str">
        <f t="shared" si="0"/>
        <v/>
      </c>
      <c r="P21" s="550" t="str">
        <f>IFERROR(O21-IFERROR(IF(L21="avec arrêt",IF(MONTH(N21)&lt;=mois_stat,0,N21-EOMONTH('Stats AT BDD'!$Y$2,0)),""),""),"")</f>
        <v/>
      </c>
      <c r="Q21" s="8"/>
      <c r="R21" s="9"/>
      <c r="S21" s="9"/>
      <c r="T21" s="10"/>
      <c r="U21" s="12"/>
      <c r="V21" s="6"/>
      <c r="W21" s="6"/>
      <c r="X21" s="266"/>
      <c r="Y21" s="76"/>
      <c r="Z21" s="276" t="str">
        <f t="shared" si="1"/>
        <v/>
      </c>
      <c r="AA21" s="7"/>
      <c r="AB21" s="277" t="str">
        <f t="shared" ca="1" si="5"/>
        <v/>
      </c>
      <c r="AC21" s="273"/>
      <c r="AD21" s="273"/>
      <c r="AE21" s="438" t="str">
        <f t="shared" si="3"/>
        <v/>
      </c>
      <c r="AF21" s="434"/>
      <c r="AG21" s="437" t="str">
        <f t="shared" ca="1" si="4"/>
        <v/>
      </c>
      <c r="AH21" s="273"/>
    </row>
    <row r="22" spans="1:34" ht="67.5" customHeight="1" x14ac:dyDescent="0.25">
      <c r="A22" s="203" t="s">
        <v>999</v>
      </c>
      <c r="B22" s="11"/>
      <c r="C22" s="4"/>
      <c r="D22" s="5"/>
      <c r="E22" s="268"/>
      <c r="F22" s="260" t="str">
        <f>IF(E22="","",VLOOKUP(E22,'Listes déroulantes'!$A$2:$B$65,2,FALSE))</f>
        <v/>
      </c>
      <c r="G22" s="270"/>
      <c r="H22" s="271"/>
      <c r="I22" s="275"/>
      <c r="J22" s="116"/>
      <c r="K22" s="1"/>
      <c r="L22" s="6"/>
      <c r="M22" s="7"/>
      <c r="N22" s="7"/>
      <c r="O22" s="471" t="str">
        <f t="shared" si="0"/>
        <v/>
      </c>
      <c r="P22" s="550" t="str">
        <f>IFERROR(O22-IFERROR(IF(L22="avec arrêt",IF(MONTH(N22)&lt;=mois_stat,0,N22-EOMONTH('Stats AT BDD'!$Y$2,0)),""),""),"")</f>
        <v/>
      </c>
      <c r="Q22" s="8"/>
      <c r="R22" s="9"/>
      <c r="S22" s="9"/>
      <c r="T22" s="10"/>
      <c r="U22" s="12"/>
      <c r="V22" s="6"/>
      <c r="W22" s="6"/>
      <c r="X22" s="266"/>
      <c r="Y22" s="76"/>
      <c r="Z22" s="276" t="str">
        <f t="shared" si="1"/>
        <v/>
      </c>
      <c r="AA22" s="7"/>
      <c r="AB22" s="277" t="str">
        <f t="shared" ca="1" si="5"/>
        <v/>
      </c>
      <c r="AC22" s="273"/>
      <c r="AD22" s="273"/>
      <c r="AE22" s="438" t="str">
        <f t="shared" si="3"/>
        <v/>
      </c>
      <c r="AF22" s="434"/>
      <c r="AG22" s="437" t="str">
        <f t="shared" ca="1" si="4"/>
        <v/>
      </c>
      <c r="AH22" s="273"/>
    </row>
    <row r="23" spans="1:34" ht="67.5" customHeight="1" x14ac:dyDescent="0.25">
      <c r="A23" s="203" t="s">
        <v>1000</v>
      </c>
      <c r="B23" s="11"/>
      <c r="C23" s="4"/>
      <c r="D23" s="5"/>
      <c r="E23" s="268"/>
      <c r="F23" s="260" t="str">
        <f>IF(E23="","",VLOOKUP(E23,'Listes déroulantes'!$A$2:$B$65,2,FALSE))</f>
        <v/>
      </c>
      <c r="G23" s="270"/>
      <c r="H23" s="271"/>
      <c r="I23" s="275"/>
      <c r="J23" s="116"/>
      <c r="K23" s="1"/>
      <c r="L23" s="6"/>
      <c r="M23" s="7"/>
      <c r="N23" s="7"/>
      <c r="O23" s="471" t="str">
        <f t="shared" si="0"/>
        <v/>
      </c>
      <c r="P23" s="550" t="str">
        <f>IFERROR(O23-IFERROR(IF(L23="avec arrêt",IF(MONTH(N23)&lt;=mois_stat,0,N23-EOMONTH('Stats AT BDD'!$Y$2,0)),""),""),"")</f>
        <v/>
      </c>
      <c r="Q23" s="8"/>
      <c r="R23" s="9"/>
      <c r="S23" s="9"/>
      <c r="T23" s="10"/>
      <c r="U23" s="12"/>
      <c r="V23" s="6"/>
      <c r="W23" s="6"/>
      <c r="X23" s="266"/>
      <c r="Y23" s="76"/>
      <c r="Z23" s="276" t="str">
        <f t="shared" si="1"/>
        <v/>
      </c>
      <c r="AA23" s="7"/>
      <c r="AB23" s="277" t="str">
        <f t="shared" ca="1" si="5"/>
        <v/>
      </c>
      <c r="AC23" s="273"/>
      <c r="AD23" s="273"/>
      <c r="AE23" s="438" t="str">
        <f t="shared" si="3"/>
        <v/>
      </c>
      <c r="AF23" s="434"/>
      <c r="AG23" s="437" t="str">
        <f t="shared" ca="1" si="4"/>
        <v/>
      </c>
      <c r="AH23" s="273"/>
    </row>
    <row r="24" spans="1:34" ht="67.5" customHeight="1" x14ac:dyDescent="0.25">
      <c r="A24" s="203" t="s">
        <v>1001</v>
      </c>
      <c r="B24" s="11"/>
      <c r="C24" s="4"/>
      <c r="D24" s="5"/>
      <c r="E24" s="268"/>
      <c r="F24" s="260" t="str">
        <f>IF(E24="","",VLOOKUP(E24,'Listes déroulantes'!$A$2:$B$65,2,FALSE))</f>
        <v/>
      </c>
      <c r="G24" s="270"/>
      <c r="H24" s="271"/>
      <c r="I24" s="275"/>
      <c r="J24" s="116"/>
      <c r="K24" s="1"/>
      <c r="L24" s="6"/>
      <c r="M24" s="7"/>
      <c r="N24" s="7"/>
      <c r="O24" s="471" t="str">
        <f t="shared" si="0"/>
        <v/>
      </c>
      <c r="P24" s="550" t="str">
        <f>IFERROR(O24-IFERROR(IF(L24="avec arrêt",IF(MONTH(N24)&lt;=mois_stat,0,N24-EOMONTH('Stats AT BDD'!$Y$2,0)),""),""),"")</f>
        <v/>
      </c>
      <c r="Q24" s="8"/>
      <c r="R24" s="9"/>
      <c r="S24" s="9"/>
      <c r="T24" s="10"/>
      <c r="U24" s="12"/>
      <c r="V24" s="6"/>
      <c r="W24" s="6"/>
      <c r="X24" s="266"/>
      <c r="Y24" s="76"/>
      <c r="Z24" s="276" t="str">
        <f t="shared" si="1"/>
        <v/>
      </c>
      <c r="AA24" s="7"/>
      <c r="AB24" s="277" t="str">
        <f t="shared" ca="1" si="5"/>
        <v/>
      </c>
      <c r="AC24" s="273"/>
      <c r="AD24" s="273"/>
      <c r="AE24" s="438" t="str">
        <f t="shared" si="3"/>
        <v/>
      </c>
      <c r="AF24" s="434"/>
      <c r="AG24" s="437" t="str">
        <f t="shared" ca="1" si="4"/>
        <v/>
      </c>
      <c r="AH24" s="273"/>
    </row>
    <row r="25" spans="1:34" ht="67.5" customHeight="1" x14ac:dyDescent="0.25">
      <c r="A25" s="203" t="s">
        <v>1002</v>
      </c>
      <c r="B25" s="11"/>
      <c r="C25" s="4"/>
      <c r="D25" s="5"/>
      <c r="E25" s="268"/>
      <c r="F25" s="260" t="str">
        <f>IF(E25="","",VLOOKUP(E25,'Listes déroulantes'!$A$2:$B$65,2,FALSE))</f>
        <v/>
      </c>
      <c r="G25" s="270"/>
      <c r="H25" s="271"/>
      <c r="I25" s="275"/>
      <c r="J25" s="116"/>
      <c r="K25" s="1"/>
      <c r="L25" s="6"/>
      <c r="M25" s="7"/>
      <c r="N25" s="7"/>
      <c r="O25" s="471" t="str">
        <f t="shared" si="0"/>
        <v/>
      </c>
      <c r="P25" s="550" t="str">
        <f>IFERROR(O25-IFERROR(IF(L25="avec arrêt",IF(MONTH(N25)&lt;=mois_stat,0,N25-EOMONTH('Stats AT BDD'!$Y$2,0)),""),""),"")</f>
        <v/>
      </c>
      <c r="Q25" s="8"/>
      <c r="R25" s="9"/>
      <c r="S25" s="9"/>
      <c r="T25" s="10"/>
      <c r="U25" s="12"/>
      <c r="V25" s="6"/>
      <c r="W25" s="6"/>
      <c r="X25" s="266"/>
      <c r="Y25" s="76"/>
      <c r="Z25" s="276" t="str">
        <f t="shared" si="1"/>
        <v/>
      </c>
      <c r="AA25" s="7"/>
      <c r="AB25" s="277" t="str">
        <f t="shared" ca="1" si="5"/>
        <v/>
      </c>
      <c r="AC25" s="273"/>
      <c r="AD25" s="273"/>
      <c r="AE25" s="438" t="str">
        <f t="shared" si="3"/>
        <v/>
      </c>
      <c r="AF25" s="434"/>
      <c r="AG25" s="437" t="str">
        <f t="shared" ca="1" si="4"/>
        <v/>
      </c>
      <c r="AH25" s="273"/>
    </row>
    <row r="26" spans="1:34" ht="67.5" customHeight="1" x14ac:dyDescent="0.25">
      <c r="A26" s="203" t="s">
        <v>1003</v>
      </c>
      <c r="B26" s="11"/>
      <c r="C26" s="4"/>
      <c r="D26" s="5"/>
      <c r="E26" s="268"/>
      <c r="F26" s="260" t="str">
        <f>IF(E26="","",VLOOKUP(E26,'Listes déroulantes'!$A$2:$B$65,2,FALSE))</f>
        <v/>
      </c>
      <c r="G26" s="270"/>
      <c r="H26" s="271"/>
      <c r="I26" s="275"/>
      <c r="J26" s="116"/>
      <c r="K26" s="1"/>
      <c r="L26" s="6"/>
      <c r="M26" s="7"/>
      <c r="N26" s="7"/>
      <c r="O26" s="471" t="str">
        <f t="shared" si="0"/>
        <v/>
      </c>
      <c r="P26" s="550" t="str">
        <f>IFERROR(O26-IFERROR(IF(L26="avec arrêt",IF(MONTH(N26)&lt;=mois_stat,0,N26-EOMONTH('Stats AT BDD'!$Y$2,0)),""),""),"")</f>
        <v/>
      </c>
      <c r="Q26" s="8"/>
      <c r="R26" s="9"/>
      <c r="S26" s="9"/>
      <c r="T26" s="10"/>
      <c r="U26" s="12"/>
      <c r="V26" s="6"/>
      <c r="W26" s="6"/>
      <c r="X26" s="266"/>
      <c r="Y26" s="76"/>
      <c r="Z26" s="276" t="str">
        <f t="shared" si="1"/>
        <v/>
      </c>
      <c r="AA26" s="7"/>
      <c r="AB26" s="277" t="str">
        <f t="shared" ca="1" si="5"/>
        <v/>
      </c>
      <c r="AC26" s="273"/>
      <c r="AD26" s="273"/>
      <c r="AE26" s="438" t="str">
        <f t="shared" si="3"/>
        <v/>
      </c>
      <c r="AF26" s="434"/>
      <c r="AG26" s="437" t="str">
        <f t="shared" ca="1" si="4"/>
        <v/>
      </c>
      <c r="AH26" s="273"/>
    </row>
    <row r="27" spans="1:34" ht="67.5" customHeight="1" x14ac:dyDescent="0.25">
      <c r="A27" s="203" t="s">
        <v>1004</v>
      </c>
      <c r="B27" s="11"/>
      <c r="C27" s="4"/>
      <c r="D27" s="5"/>
      <c r="E27" s="268"/>
      <c r="F27" s="260" t="str">
        <f>IF(E27="","",VLOOKUP(E27,'Listes déroulantes'!$A$2:$B$65,2,FALSE))</f>
        <v/>
      </c>
      <c r="G27" s="270"/>
      <c r="H27" s="271"/>
      <c r="I27" s="275"/>
      <c r="J27" s="116"/>
      <c r="K27" s="1"/>
      <c r="L27" s="6"/>
      <c r="M27" s="7"/>
      <c r="N27" s="7"/>
      <c r="O27" s="471" t="str">
        <f t="shared" si="0"/>
        <v/>
      </c>
      <c r="P27" s="550" t="str">
        <f>IFERROR(O27-IFERROR(IF(L27="avec arrêt",IF(MONTH(N27)&lt;=mois_stat,0,N27-EOMONTH('Stats AT BDD'!$Y$2,0)),""),""),"")</f>
        <v/>
      </c>
      <c r="Q27" s="8"/>
      <c r="R27" s="9"/>
      <c r="S27" s="9"/>
      <c r="T27" s="10"/>
      <c r="U27" s="12"/>
      <c r="V27" s="6"/>
      <c r="W27" s="6"/>
      <c r="X27" s="266"/>
      <c r="Y27" s="76"/>
      <c r="Z27" s="276" t="str">
        <f t="shared" si="1"/>
        <v/>
      </c>
      <c r="AA27" s="7"/>
      <c r="AB27" s="277" t="str">
        <f t="shared" ca="1" si="5"/>
        <v/>
      </c>
      <c r="AC27" s="273"/>
      <c r="AD27" s="273"/>
      <c r="AE27" s="438" t="str">
        <f t="shared" si="3"/>
        <v/>
      </c>
      <c r="AF27" s="434"/>
      <c r="AG27" s="437" t="str">
        <f t="shared" ca="1" si="4"/>
        <v/>
      </c>
      <c r="AH27" s="273"/>
    </row>
    <row r="28" spans="1:34" ht="67.5" customHeight="1" x14ac:dyDescent="0.25">
      <c r="A28" s="203" t="s">
        <v>1005</v>
      </c>
      <c r="B28" s="11"/>
      <c r="C28" s="4"/>
      <c r="D28" s="5"/>
      <c r="E28" s="268"/>
      <c r="F28" s="260" t="str">
        <f>IF(E28="","",VLOOKUP(E28,'Listes déroulantes'!$A$2:$B$65,2,FALSE))</f>
        <v/>
      </c>
      <c r="G28" s="270"/>
      <c r="H28" s="271"/>
      <c r="I28" s="275"/>
      <c r="J28" s="116"/>
      <c r="K28" s="1"/>
      <c r="L28" s="6"/>
      <c r="M28" s="7"/>
      <c r="N28" s="7"/>
      <c r="O28" s="471" t="str">
        <f t="shared" si="0"/>
        <v/>
      </c>
      <c r="P28" s="550" t="str">
        <f>IFERROR(O28-IFERROR(IF(L28="avec arrêt",IF(MONTH(N28)&lt;=mois_stat,0,N28-EOMONTH('Stats AT BDD'!$Y$2,0)),""),""),"")</f>
        <v/>
      </c>
      <c r="Q28" s="8"/>
      <c r="R28" s="9"/>
      <c r="S28" s="9"/>
      <c r="T28" s="10"/>
      <c r="U28" s="12"/>
      <c r="V28" s="6"/>
      <c r="W28" s="6"/>
      <c r="X28" s="266"/>
      <c r="Y28" s="76"/>
      <c r="Z28" s="276" t="str">
        <f t="shared" si="1"/>
        <v/>
      </c>
      <c r="AA28" s="7"/>
      <c r="AB28" s="277" t="str">
        <f t="shared" ca="1" si="5"/>
        <v/>
      </c>
      <c r="AC28" s="273"/>
      <c r="AD28" s="273"/>
      <c r="AE28" s="438" t="str">
        <f t="shared" si="3"/>
        <v/>
      </c>
      <c r="AF28" s="434"/>
      <c r="AG28" s="437" t="str">
        <f t="shared" ca="1" si="4"/>
        <v/>
      </c>
      <c r="AH28" s="273"/>
    </row>
    <row r="29" spans="1:34" ht="67.5" customHeight="1" x14ac:dyDescent="0.25">
      <c r="A29" s="203" t="s">
        <v>1006</v>
      </c>
      <c r="B29" s="193"/>
      <c r="C29" s="186"/>
      <c r="D29" s="187"/>
      <c r="E29" s="268"/>
      <c r="F29" s="260" t="str">
        <f>IF(E29="","",VLOOKUP(E29,'Listes déroulantes'!$A$2:$B$65,2,FALSE))</f>
        <v/>
      </c>
      <c r="G29" s="270"/>
      <c r="H29" s="271"/>
      <c r="I29" s="275"/>
      <c r="J29" s="200"/>
      <c r="K29" s="185"/>
      <c r="L29" s="188"/>
      <c r="M29" s="189"/>
      <c r="N29" s="189"/>
      <c r="O29" s="471" t="str">
        <f t="shared" si="0"/>
        <v/>
      </c>
      <c r="P29" s="550" t="str">
        <f>IFERROR(O29-IFERROR(IF(L29="avec arrêt",IF(MONTH(N29)&lt;=mois_stat,0,N29-EOMONTH('Stats AT BDD'!$Y$2,0)),""),""),"")</f>
        <v/>
      </c>
      <c r="Q29" s="190"/>
      <c r="R29" s="191"/>
      <c r="S29" s="191"/>
      <c r="T29" s="192"/>
      <c r="U29" s="194"/>
      <c r="V29" s="188"/>
      <c r="W29" s="188"/>
      <c r="X29" s="266"/>
      <c r="Y29" s="198"/>
      <c r="Z29" s="276" t="str">
        <f t="shared" si="1"/>
        <v/>
      </c>
      <c r="AA29" s="189"/>
      <c r="AB29" s="277" t="str">
        <f t="shared" ca="1" si="5"/>
        <v/>
      </c>
      <c r="AC29" s="273"/>
      <c r="AD29" s="273"/>
      <c r="AE29" s="438" t="str">
        <f t="shared" si="3"/>
        <v/>
      </c>
      <c r="AF29" s="434"/>
      <c r="AG29" s="437" t="str">
        <f t="shared" ca="1" si="4"/>
        <v/>
      </c>
      <c r="AH29" s="273"/>
    </row>
    <row r="30" spans="1:34" ht="67.5" customHeight="1" x14ac:dyDescent="0.25">
      <c r="A30" s="203" t="s">
        <v>1007</v>
      </c>
      <c r="B30" s="193"/>
      <c r="C30" s="186"/>
      <c r="D30" s="187"/>
      <c r="E30" s="268"/>
      <c r="F30" s="260" t="str">
        <f>IF(E30="","",VLOOKUP(E30,'Listes déroulantes'!$A$2:$B$65,2,FALSE))</f>
        <v/>
      </c>
      <c r="G30" s="270"/>
      <c r="H30" s="271"/>
      <c r="I30" s="275"/>
      <c r="J30" s="200"/>
      <c r="K30" s="185"/>
      <c r="L30" s="188"/>
      <c r="M30" s="189"/>
      <c r="N30" s="189"/>
      <c r="O30" s="471" t="str">
        <f t="shared" si="0"/>
        <v/>
      </c>
      <c r="P30" s="550" t="str">
        <f>IFERROR(O30-IFERROR(IF(L30="avec arrêt",IF(MONTH(N30)&lt;=mois_stat,0,N30-EOMONTH('Stats AT BDD'!$Y$2,0)),""),""),"")</f>
        <v/>
      </c>
      <c r="Q30" s="190"/>
      <c r="R30" s="191"/>
      <c r="S30" s="191"/>
      <c r="T30" s="192"/>
      <c r="U30" s="194"/>
      <c r="V30" s="188"/>
      <c r="W30" s="188"/>
      <c r="X30" s="266"/>
      <c r="Y30" s="198"/>
      <c r="Z30" s="276" t="str">
        <f t="shared" si="1"/>
        <v/>
      </c>
      <c r="AA30" s="189"/>
      <c r="AB30" s="277" t="str">
        <f t="shared" ca="1" si="5"/>
        <v/>
      </c>
      <c r="AC30" s="273"/>
      <c r="AD30" s="273"/>
      <c r="AE30" s="438" t="str">
        <f t="shared" si="3"/>
        <v/>
      </c>
      <c r="AF30" s="434"/>
      <c r="AG30" s="437" t="str">
        <f t="shared" ca="1" si="4"/>
        <v/>
      </c>
      <c r="AH30" s="273"/>
    </row>
    <row r="31" spans="1:34" ht="67.5" customHeight="1" x14ac:dyDescent="0.25">
      <c r="A31" s="203" t="s">
        <v>1008</v>
      </c>
      <c r="B31" s="193"/>
      <c r="C31" s="186"/>
      <c r="D31" s="187"/>
      <c r="E31" s="268"/>
      <c r="F31" s="260" t="str">
        <f>IF(E31="","",VLOOKUP(E31,'Listes déroulantes'!$A$2:$B$65,2,FALSE))</f>
        <v/>
      </c>
      <c r="G31" s="270"/>
      <c r="H31" s="271"/>
      <c r="I31" s="275"/>
      <c r="J31" s="200"/>
      <c r="K31" s="185"/>
      <c r="L31" s="188"/>
      <c r="M31" s="189"/>
      <c r="N31" s="189"/>
      <c r="O31" s="471" t="str">
        <f t="shared" si="0"/>
        <v/>
      </c>
      <c r="P31" s="550" t="str">
        <f>IFERROR(O31-IFERROR(IF(L31="avec arrêt",IF(MONTH(N31)&lt;=mois_stat,0,N31-EOMONTH('Stats AT BDD'!$Y$2,0)),""),""),"")</f>
        <v/>
      </c>
      <c r="Q31" s="190"/>
      <c r="R31" s="191"/>
      <c r="S31" s="191"/>
      <c r="T31" s="192"/>
      <c r="U31" s="194"/>
      <c r="V31" s="188"/>
      <c r="W31" s="188"/>
      <c r="X31" s="192"/>
      <c r="Y31" s="198"/>
      <c r="Z31" s="276" t="str">
        <f t="shared" si="1"/>
        <v/>
      </c>
      <c r="AA31" s="189"/>
      <c r="AB31" s="199" t="str">
        <f t="shared" ca="1" si="5"/>
        <v/>
      </c>
      <c r="AC31" s="273"/>
      <c r="AD31" s="273"/>
      <c r="AE31" s="438" t="str">
        <f t="shared" si="3"/>
        <v/>
      </c>
      <c r="AF31" s="434"/>
      <c r="AG31" s="437" t="str">
        <f t="shared" ca="1" si="4"/>
        <v/>
      </c>
      <c r="AH31" s="273"/>
    </row>
    <row r="32" spans="1:34" ht="67.5" customHeight="1" x14ac:dyDescent="0.25">
      <c r="A32" s="203" t="s">
        <v>1009</v>
      </c>
      <c r="B32" s="193"/>
      <c r="C32" s="186"/>
      <c r="D32" s="187"/>
      <c r="E32" s="268"/>
      <c r="F32" s="260" t="str">
        <f>IF(E32="","",VLOOKUP(E32,'Listes déroulantes'!$A$2:$B$65,2,FALSE))</f>
        <v/>
      </c>
      <c r="G32" s="270"/>
      <c r="H32" s="271"/>
      <c r="I32" s="275"/>
      <c r="J32" s="200"/>
      <c r="K32" s="185"/>
      <c r="L32" s="188"/>
      <c r="M32" s="189"/>
      <c r="N32" s="189"/>
      <c r="O32" s="471" t="str">
        <f t="shared" si="0"/>
        <v/>
      </c>
      <c r="P32" s="550" t="str">
        <f>IFERROR(O32-IFERROR(IF(L32="avec arrêt",IF(MONTH(N32)&lt;=mois_stat,0,N32-EOMONTH('Stats AT BDD'!$Y$2,0)),""),""),"")</f>
        <v/>
      </c>
      <c r="Q32" s="190"/>
      <c r="R32" s="191"/>
      <c r="S32" s="191"/>
      <c r="T32" s="192"/>
      <c r="U32" s="194"/>
      <c r="V32" s="188"/>
      <c r="W32" s="188"/>
      <c r="X32" s="192"/>
      <c r="Y32" s="198"/>
      <c r="Z32" s="276" t="str">
        <f t="shared" si="1"/>
        <v/>
      </c>
      <c r="AA32" s="189"/>
      <c r="AB32" s="199" t="str">
        <f t="shared" ca="1" si="5"/>
        <v/>
      </c>
      <c r="AC32" s="273"/>
      <c r="AD32" s="273"/>
      <c r="AE32" s="438" t="str">
        <f t="shared" si="3"/>
        <v/>
      </c>
      <c r="AF32" s="434"/>
      <c r="AG32" s="437" t="str">
        <f t="shared" ca="1" si="4"/>
        <v/>
      </c>
      <c r="AH32" s="273"/>
    </row>
    <row r="33" spans="1:34" ht="67.5" customHeight="1" x14ac:dyDescent="0.25">
      <c r="A33" s="203" t="s">
        <v>1010</v>
      </c>
      <c r="B33" s="193"/>
      <c r="C33" s="186"/>
      <c r="D33" s="187"/>
      <c r="E33" s="268"/>
      <c r="F33" s="260" t="str">
        <f>IF(E33="","",VLOOKUP(E33,'Listes déroulantes'!$A$2:$B$65,2,FALSE))</f>
        <v/>
      </c>
      <c r="G33" s="270"/>
      <c r="H33" s="271"/>
      <c r="I33" s="275"/>
      <c r="J33" s="200"/>
      <c r="K33" s="185"/>
      <c r="L33" s="188"/>
      <c r="M33" s="189"/>
      <c r="N33" s="189"/>
      <c r="O33" s="471" t="str">
        <f t="shared" si="0"/>
        <v/>
      </c>
      <c r="P33" s="550" t="str">
        <f>IFERROR(O33-IFERROR(IF(L33="avec arrêt",IF(MONTH(N33)&lt;=mois_stat,0,N33-EOMONTH('Stats AT BDD'!$Y$2,0)),""),""),"")</f>
        <v/>
      </c>
      <c r="Q33" s="190"/>
      <c r="R33" s="191"/>
      <c r="S33" s="191"/>
      <c r="T33" s="192"/>
      <c r="U33" s="194"/>
      <c r="V33" s="188"/>
      <c r="W33" s="188"/>
      <c r="X33" s="192"/>
      <c r="Y33" s="198"/>
      <c r="Z33" s="276" t="str">
        <f t="shared" si="1"/>
        <v/>
      </c>
      <c r="AA33" s="189"/>
      <c r="AB33" s="199" t="str">
        <f t="shared" ca="1" si="5"/>
        <v/>
      </c>
      <c r="AC33" s="273"/>
      <c r="AD33" s="273"/>
      <c r="AE33" s="438" t="str">
        <f t="shared" si="3"/>
        <v/>
      </c>
      <c r="AF33" s="434"/>
      <c r="AG33" s="437" t="str">
        <f t="shared" ca="1" si="4"/>
        <v/>
      </c>
      <c r="AH33" s="273"/>
    </row>
    <row r="34" spans="1:34" ht="67.5" customHeight="1" x14ac:dyDescent="0.25">
      <c r="A34" s="203" t="s">
        <v>1011</v>
      </c>
      <c r="B34" s="193"/>
      <c r="C34" s="186"/>
      <c r="D34" s="187"/>
      <c r="E34" s="268"/>
      <c r="F34" s="260" t="str">
        <f>IF(E34="","",VLOOKUP(E34,'Listes déroulantes'!$A$2:$B$65,2,FALSE))</f>
        <v/>
      </c>
      <c r="G34" s="270"/>
      <c r="H34" s="271"/>
      <c r="I34" s="275"/>
      <c r="J34" s="200"/>
      <c r="K34" s="185"/>
      <c r="L34" s="188"/>
      <c r="M34" s="189"/>
      <c r="N34" s="189"/>
      <c r="O34" s="471" t="str">
        <f t="shared" si="0"/>
        <v/>
      </c>
      <c r="P34" s="550" t="str">
        <f>IFERROR(O34-IFERROR(IF(L34="avec arrêt",IF(MONTH(N34)&lt;=mois_stat,0,N34-EOMONTH('Stats AT BDD'!$Y$2,0)),""),""),"")</f>
        <v/>
      </c>
      <c r="Q34" s="190"/>
      <c r="R34" s="191"/>
      <c r="S34" s="191"/>
      <c r="T34" s="192"/>
      <c r="U34" s="194"/>
      <c r="V34" s="188"/>
      <c r="W34" s="188"/>
      <c r="X34" s="192"/>
      <c r="Y34" s="198"/>
      <c r="Z34" s="276" t="str">
        <f t="shared" si="1"/>
        <v/>
      </c>
      <c r="AA34" s="189"/>
      <c r="AB34" s="199" t="str">
        <f t="shared" ca="1" si="5"/>
        <v/>
      </c>
      <c r="AC34" s="273"/>
      <c r="AD34" s="273"/>
      <c r="AE34" s="438" t="str">
        <f t="shared" si="3"/>
        <v/>
      </c>
      <c r="AF34" s="434"/>
      <c r="AG34" s="437" t="str">
        <f t="shared" ca="1" si="4"/>
        <v/>
      </c>
      <c r="AH34" s="273"/>
    </row>
    <row r="35" spans="1:34" ht="67.5" customHeight="1" x14ac:dyDescent="0.25">
      <c r="A35" s="203" t="s">
        <v>1012</v>
      </c>
      <c r="B35" s="193"/>
      <c r="C35" s="186"/>
      <c r="D35" s="187"/>
      <c r="E35" s="268"/>
      <c r="F35" s="260" t="str">
        <f>IF(E35="","",VLOOKUP(E35,'Listes déroulantes'!$A$2:$B$65,2,FALSE))</f>
        <v/>
      </c>
      <c r="G35" s="270"/>
      <c r="H35" s="271"/>
      <c r="I35" s="275"/>
      <c r="J35" s="200"/>
      <c r="K35" s="185"/>
      <c r="L35" s="188"/>
      <c r="M35" s="189"/>
      <c r="N35" s="189"/>
      <c r="O35" s="471" t="str">
        <f t="shared" si="0"/>
        <v/>
      </c>
      <c r="P35" s="550" t="str">
        <f>IFERROR(O35-IFERROR(IF(L35="avec arrêt",IF(MONTH(N35)&lt;=mois_stat,0,N35-EOMONTH('Stats AT BDD'!$Y$2,0)),""),""),"")</f>
        <v/>
      </c>
      <c r="Q35" s="190"/>
      <c r="R35" s="191"/>
      <c r="S35" s="191"/>
      <c r="T35" s="192"/>
      <c r="U35" s="194"/>
      <c r="V35" s="188"/>
      <c r="W35" s="188"/>
      <c r="X35" s="192"/>
      <c r="Y35" s="198"/>
      <c r="Z35" s="276" t="str">
        <f t="shared" ref="Z35:Z61" si="6">IF(ISBLANK(I35),"",I35+2)</f>
        <v/>
      </c>
      <c r="AA35" s="189"/>
      <c r="AB35" s="199" t="str">
        <f t="shared" ca="1" si="5"/>
        <v/>
      </c>
      <c r="AC35" s="273"/>
      <c r="AD35" s="273"/>
      <c r="AE35" s="438" t="str">
        <f t="shared" si="3"/>
        <v/>
      </c>
      <c r="AF35" s="434"/>
      <c r="AG35" s="437" t="str">
        <f t="shared" ca="1" si="4"/>
        <v/>
      </c>
      <c r="AH35" s="273"/>
    </row>
    <row r="36" spans="1:34" ht="67.5" customHeight="1" x14ac:dyDescent="0.25">
      <c r="A36" s="203" t="s">
        <v>1013</v>
      </c>
      <c r="B36" s="193"/>
      <c r="C36" s="186"/>
      <c r="D36" s="187"/>
      <c r="E36" s="268"/>
      <c r="F36" s="260" t="str">
        <f>IF(E36="","",VLOOKUP(E36,'Listes déroulantes'!$A$2:$B$65,2,FALSE))</f>
        <v/>
      </c>
      <c r="G36" s="270"/>
      <c r="H36" s="271"/>
      <c r="I36" s="275"/>
      <c r="J36" s="274"/>
      <c r="K36" s="185"/>
      <c r="L36" s="188"/>
      <c r="M36" s="189"/>
      <c r="N36" s="189"/>
      <c r="O36" s="471" t="str">
        <f t="shared" si="0"/>
        <v/>
      </c>
      <c r="P36" s="550" t="str">
        <f>IFERROR(O36-IFERROR(IF(L36="avec arrêt",IF(MONTH(N36)&lt;=mois_stat,0,N36-EOMONTH('Stats AT BDD'!$Y$2,0)),""),""),"")</f>
        <v/>
      </c>
      <c r="Q36" s="190"/>
      <c r="R36" s="191"/>
      <c r="S36" s="191"/>
      <c r="T36" s="192"/>
      <c r="U36" s="194"/>
      <c r="V36" s="188"/>
      <c r="W36" s="188"/>
      <c r="X36" s="266"/>
      <c r="Y36" s="198"/>
      <c r="Z36" s="276" t="str">
        <f t="shared" si="6"/>
        <v/>
      </c>
      <c r="AA36" s="189"/>
      <c r="AB36" s="199" t="str">
        <f t="shared" ca="1" si="5"/>
        <v/>
      </c>
      <c r="AC36" s="273"/>
      <c r="AD36" s="273"/>
      <c r="AE36" s="438" t="str">
        <f t="shared" si="3"/>
        <v/>
      </c>
      <c r="AF36" s="434"/>
      <c r="AG36" s="437" t="str">
        <f t="shared" ref="AG36:AG65" ca="1" si="7">IF(ISBLANK(AF36),IF(AE36&lt;TODAY(),"non",""),IF(AF36&gt;AE36,"non","oui"))</f>
        <v/>
      </c>
      <c r="AH36" s="273"/>
    </row>
    <row r="37" spans="1:34" ht="67.5" customHeight="1" x14ac:dyDescent="0.25">
      <c r="A37" s="203" t="s">
        <v>1014</v>
      </c>
      <c r="B37" s="193"/>
      <c r="C37" s="186"/>
      <c r="D37" s="187"/>
      <c r="E37" s="268"/>
      <c r="F37" s="260" t="str">
        <f>IF(E37="","",VLOOKUP(E37,'Listes déroulantes'!$A$2:$B$65,2,FALSE))</f>
        <v/>
      </c>
      <c r="G37" s="270"/>
      <c r="H37" s="271"/>
      <c r="I37" s="275"/>
      <c r="J37" s="200"/>
      <c r="K37" s="185"/>
      <c r="L37" s="188"/>
      <c r="M37" s="189"/>
      <c r="N37" s="189"/>
      <c r="O37" s="471" t="str">
        <f t="shared" si="0"/>
        <v/>
      </c>
      <c r="P37" s="550" t="str">
        <f>IFERROR(O37-IFERROR(IF(L37="avec arrêt",IF(MONTH(N37)&lt;=mois_stat,0,N37-EOMONTH('Stats AT BDD'!$Y$2,0)),""),""),"")</f>
        <v/>
      </c>
      <c r="Q37" s="190"/>
      <c r="R37" s="191"/>
      <c r="S37" s="191"/>
      <c r="T37" s="192"/>
      <c r="U37" s="194"/>
      <c r="V37" s="188"/>
      <c r="W37" s="188"/>
      <c r="X37" s="266"/>
      <c r="Y37" s="198"/>
      <c r="Z37" s="276" t="str">
        <f t="shared" si="6"/>
        <v/>
      </c>
      <c r="AA37" s="189"/>
      <c r="AB37" s="199" t="str">
        <f t="shared" ca="1" si="5"/>
        <v/>
      </c>
      <c r="AC37" s="273"/>
      <c r="AD37" s="273"/>
      <c r="AE37" s="438" t="str">
        <f t="shared" si="3"/>
        <v/>
      </c>
      <c r="AF37" s="434"/>
      <c r="AG37" s="437" t="str">
        <f t="shared" ca="1" si="7"/>
        <v/>
      </c>
      <c r="AH37" s="273"/>
    </row>
    <row r="38" spans="1:34" ht="67.5" customHeight="1" x14ac:dyDescent="0.25">
      <c r="A38" s="203" t="s">
        <v>1015</v>
      </c>
      <c r="B38" s="193"/>
      <c r="C38" s="186"/>
      <c r="D38" s="187"/>
      <c r="E38" s="268"/>
      <c r="F38" s="260" t="str">
        <f>IF(E38="","",VLOOKUP(E38,'Listes déroulantes'!$A$2:$B$65,2,FALSE))</f>
        <v/>
      </c>
      <c r="G38" s="270"/>
      <c r="H38" s="271"/>
      <c r="I38" s="275"/>
      <c r="J38" s="200"/>
      <c r="K38" s="185"/>
      <c r="L38" s="188"/>
      <c r="M38" s="189"/>
      <c r="N38" s="189"/>
      <c r="O38" s="471" t="str">
        <f t="shared" si="0"/>
        <v/>
      </c>
      <c r="P38" s="550" t="str">
        <f>IFERROR(O38-IFERROR(IF(L38="avec arrêt",IF(MONTH(N38)&lt;=mois_stat,0,N38-EOMONTH('Stats AT BDD'!$Y$2,0)),""),""),"")</f>
        <v/>
      </c>
      <c r="Q38" s="190"/>
      <c r="R38" s="191"/>
      <c r="S38" s="191"/>
      <c r="T38" s="192"/>
      <c r="U38" s="194"/>
      <c r="V38" s="188"/>
      <c r="W38" s="188"/>
      <c r="X38" s="266"/>
      <c r="Y38" s="198"/>
      <c r="Z38" s="276" t="str">
        <f t="shared" si="6"/>
        <v/>
      </c>
      <c r="AA38" s="189"/>
      <c r="AB38" s="199" t="str">
        <f t="shared" ca="1" si="5"/>
        <v/>
      </c>
      <c r="AC38" s="273"/>
      <c r="AD38" s="273"/>
      <c r="AE38" s="438" t="str">
        <f t="shared" si="3"/>
        <v/>
      </c>
      <c r="AF38" s="434"/>
      <c r="AG38" s="437" t="str">
        <f t="shared" ca="1" si="7"/>
        <v/>
      </c>
      <c r="AH38" s="273"/>
    </row>
    <row r="39" spans="1:34" ht="67.5" customHeight="1" x14ac:dyDescent="0.25">
      <c r="A39" s="203" t="s">
        <v>1016</v>
      </c>
      <c r="B39" s="193"/>
      <c r="C39" s="186"/>
      <c r="D39" s="187"/>
      <c r="E39" s="268"/>
      <c r="F39" s="260" t="str">
        <f>IF(E39="","",VLOOKUP(E39,'Listes déroulantes'!$A$2:$B$65,2,FALSE))</f>
        <v/>
      </c>
      <c r="G39" s="270"/>
      <c r="H39" s="271"/>
      <c r="I39" s="275"/>
      <c r="J39" s="200"/>
      <c r="K39" s="185"/>
      <c r="L39" s="188"/>
      <c r="M39" s="189"/>
      <c r="N39" s="189"/>
      <c r="O39" s="471" t="str">
        <f t="shared" si="0"/>
        <v/>
      </c>
      <c r="P39" s="550" t="str">
        <f>IFERROR(O39-IFERROR(IF(L39="avec arrêt",IF(MONTH(N39)&lt;=mois_stat,0,N39-EOMONTH('Stats AT BDD'!$Y$2,0)),""),""),"")</f>
        <v/>
      </c>
      <c r="Q39" s="190"/>
      <c r="R39" s="191"/>
      <c r="S39" s="191"/>
      <c r="T39" s="192"/>
      <c r="U39" s="194"/>
      <c r="V39" s="188"/>
      <c r="W39" s="188"/>
      <c r="X39" s="266"/>
      <c r="Y39" s="198"/>
      <c r="Z39" s="276" t="str">
        <f t="shared" si="6"/>
        <v/>
      </c>
      <c r="AA39" s="189"/>
      <c r="AB39" s="199" t="str">
        <f t="shared" ca="1" si="5"/>
        <v/>
      </c>
      <c r="AC39" s="273"/>
      <c r="AD39" s="273"/>
      <c r="AE39" s="438" t="str">
        <f t="shared" ref="AE39:AE73" si="8">IF(ISBLANK(I39),"",I39+30)</f>
        <v/>
      </c>
      <c r="AF39" s="434"/>
      <c r="AG39" s="437" t="str">
        <f t="shared" ca="1" si="7"/>
        <v/>
      </c>
      <c r="AH39" s="273"/>
    </row>
    <row r="40" spans="1:34" ht="67.5" customHeight="1" x14ac:dyDescent="0.25">
      <c r="A40" s="203" t="s">
        <v>1017</v>
      </c>
      <c r="B40" s="193"/>
      <c r="C40" s="186"/>
      <c r="D40" s="187"/>
      <c r="E40" s="268"/>
      <c r="F40" s="260" t="str">
        <f>IF(E40="","",VLOOKUP(E40,'Listes déroulantes'!$A$2:$B$65,2,FALSE))</f>
        <v/>
      </c>
      <c r="G40" s="270"/>
      <c r="H40" s="271"/>
      <c r="I40" s="275"/>
      <c r="J40" s="200"/>
      <c r="K40" s="185"/>
      <c r="L40" s="188"/>
      <c r="M40" s="189"/>
      <c r="N40" s="189"/>
      <c r="O40" s="471" t="str">
        <f t="shared" si="0"/>
        <v/>
      </c>
      <c r="P40" s="550" t="str">
        <f>IFERROR(O40-IFERROR(IF(L40="avec arrêt",IF(MONTH(N40)&lt;=mois_stat,0,N40-EOMONTH('Stats AT BDD'!$Y$2,0)),""),""),"")</f>
        <v/>
      </c>
      <c r="Q40" s="190"/>
      <c r="R40" s="191"/>
      <c r="S40" s="191"/>
      <c r="T40" s="192"/>
      <c r="U40" s="194"/>
      <c r="V40" s="188"/>
      <c r="W40" s="188"/>
      <c r="X40" s="266"/>
      <c r="Y40" s="198"/>
      <c r="Z40" s="276" t="str">
        <f t="shared" si="6"/>
        <v/>
      </c>
      <c r="AA40" s="189"/>
      <c r="AB40" s="199" t="str">
        <f t="shared" ca="1" si="5"/>
        <v/>
      </c>
      <c r="AC40" s="273"/>
      <c r="AD40" s="273"/>
      <c r="AE40" s="438" t="str">
        <f t="shared" si="8"/>
        <v/>
      </c>
      <c r="AF40" s="434"/>
      <c r="AG40" s="437" t="str">
        <f t="shared" ca="1" si="7"/>
        <v/>
      </c>
      <c r="AH40" s="273"/>
    </row>
    <row r="41" spans="1:34" ht="67.5" customHeight="1" x14ac:dyDescent="0.25">
      <c r="A41" s="203" t="s">
        <v>1018</v>
      </c>
      <c r="B41" s="193"/>
      <c r="C41" s="186"/>
      <c r="D41" s="187"/>
      <c r="E41" s="268"/>
      <c r="F41" s="260" t="str">
        <f>IF(E41="","",VLOOKUP(E41,'Listes déroulantes'!$A$2:$B$65,2,FALSE))</f>
        <v/>
      </c>
      <c r="G41" s="270"/>
      <c r="H41" s="271"/>
      <c r="I41" s="275"/>
      <c r="J41" s="200"/>
      <c r="K41" s="185"/>
      <c r="L41" s="188"/>
      <c r="M41" s="189"/>
      <c r="N41" s="189"/>
      <c r="O41" s="471" t="str">
        <f t="shared" si="0"/>
        <v/>
      </c>
      <c r="P41" s="550" t="str">
        <f>IFERROR(O41-IFERROR(IF(L41="avec arrêt",IF(MONTH(N41)&lt;=mois_stat,0,N41-EOMONTH('Stats AT BDD'!$Y$2,0)),""),""),"")</f>
        <v/>
      </c>
      <c r="Q41" s="190"/>
      <c r="R41" s="191"/>
      <c r="S41" s="191"/>
      <c r="T41" s="192"/>
      <c r="U41" s="194"/>
      <c r="V41" s="188"/>
      <c r="W41" s="188"/>
      <c r="X41" s="266"/>
      <c r="Y41" s="198"/>
      <c r="Z41" s="276" t="str">
        <f t="shared" si="6"/>
        <v/>
      </c>
      <c r="AA41" s="189"/>
      <c r="AB41" s="199" t="str">
        <f t="shared" ca="1" si="5"/>
        <v/>
      </c>
      <c r="AC41" s="273"/>
      <c r="AD41" s="273"/>
      <c r="AE41" s="438" t="str">
        <f t="shared" si="8"/>
        <v/>
      </c>
      <c r="AF41" s="434"/>
      <c r="AG41" s="437" t="str">
        <f t="shared" ca="1" si="7"/>
        <v/>
      </c>
      <c r="AH41" s="273"/>
    </row>
    <row r="42" spans="1:34" ht="67.5" customHeight="1" x14ac:dyDescent="0.25">
      <c r="A42" s="203" t="s">
        <v>1019</v>
      </c>
      <c r="B42" s="193"/>
      <c r="C42" s="186"/>
      <c r="D42" s="187"/>
      <c r="E42" s="268"/>
      <c r="F42" s="260" t="str">
        <f>IF(E42="","",VLOOKUP(E42,'Listes déroulantes'!$A$2:$B$65,2,FALSE))</f>
        <v/>
      </c>
      <c r="G42" s="270"/>
      <c r="H42" s="271"/>
      <c r="I42" s="275"/>
      <c r="J42" s="200"/>
      <c r="K42" s="185"/>
      <c r="L42" s="188"/>
      <c r="M42" s="189"/>
      <c r="N42" s="189"/>
      <c r="O42" s="471" t="str">
        <f t="shared" ref="O42:O105" si="9">IF(L42="avec arrêt",(N42-M42)+1,"")</f>
        <v/>
      </c>
      <c r="P42" s="550" t="str">
        <f>IFERROR(O42-IFERROR(IF(L42="avec arrêt",IF(MONTH(N42)&lt;=mois_stat,0,N42-EOMONTH('Stats AT BDD'!$Y$2,0)),""),""),"")</f>
        <v/>
      </c>
      <c r="Q42" s="190"/>
      <c r="R42" s="191"/>
      <c r="S42" s="191"/>
      <c r="T42" s="192"/>
      <c r="U42" s="194"/>
      <c r="V42" s="188"/>
      <c r="W42" s="188"/>
      <c r="X42" s="266"/>
      <c r="Y42" s="198"/>
      <c r="Z42" s="276" t="str">
        <f t="shared" si="6"/>
        <v/>
      </c>
      <c r="AA42" s="189"/>
      <c r="AB42" s="199" t="str">
        <f t="shared" ca="1" si="5"/>
        <v/>
      </c>
      <c r="AC42" s="273"/>
      <c r="AD42" s="273"/>
      <c r="AE42" s="438" t="str">
        <f t="shared" si="8"/>
        <v/>
      </c>
      <c r="AF42" s="434"/>
      <c r="AG42" s="437" t="str">
        <f t="shared" ca="1" si="7"/>
        <v/>
      </c>
      <c r="AH42" s="273"/>
    </row>
    <row r="43" spans="1:34" ht="67.5" customHeight="1" x14ac:dyDescent="0.25">
      <c r="A43" s="203" t="s">
        <v>1020</v>
      </c>
      <c r="B43" s="193"/>
      <c r="C43" s="186"/>
      <c r="D43" s="187"/>
      <c r="E43" s="268"/>
      <c r="F43" s="260" t="str">
        <f>IF(E43="","",VLOOKUP(E43,'Listes déroulantes'!$A$2:$B$65,2,FALSE))</f>
        <v/>
      </c>
      <c r="G43" s="270"/>
      <c r="H43" s="271"/>
      <c r="I43" s="275"/>
      <c r="J43" s="200"/>
      <c r="K43" s="185"/>
      <c r="L43" s="188"/>
      <c r="M43" s="189"/>
      <c r="N43" s="189"/>
      <c r="O43" s="471" t="str">
        <f t="shared" si="9"/>
        <v/>
      </c>
      <c r="P43" s="550" t="str">
        <f>IFERROR(O43-IFERROR(IF(L43="avec arrêt",IF(MONTH(N43)&lt;=mois_stat,0,N43-EOMONTH('Stats AT BDD'!$Y$2,0)),""),""),"")</f>
        <v/>
      </c>
      <c r="Q43" s="190"/>
      <c r="R43" s="191"/>
      <c r="S43" s="191"/>
      <c r="T43" s="192"/>
      <c r="U43" s="194"/>
      <c r="V43" s="188"/>
      <c r="W43" s="188"/>
      <c r="X43" s="266"/>
      <c r="Y43" s="198"/>
      <c r="Z43" s="276" t="str">
        <f t="shared" si="6"/>
        <v/>
      </c>
      <c r="AA43" s="189"/>
      <c r="AB43" s="199" t="str">
        <f t="shared" ca="1" si="5"/>
        <v/>
      </c>
      <c r="AC43" s="273"/>
      <c r="AD43" s="273"/>
      <c r="AE43" s="438" t="str">
        <f t="shared" si="8"/>
        <v/>
      </c>
      <c r="AF43" s="434"/>
      <c r="AG43" s="437" t="str">
        <f t="shared" ca="1" si="7"/>
        <v/>
      </c>
      <c r="AH43" s="273"/>
    </row>
    <row r="44" spans="1:34" ht="67.5" customHeight="1" x14ac:dyDescent="0.25">
      <c r="A44" s="203" t="s">
        <v>1021</v>
      </c>
      <c r="B44" s="193"/>
      <c r="C44" s="186"/>
      <c r="D44" s="187"/>
      <c r="E44" s="268"/>
      <c r="F44" s="260" t="str">
        <f>IF(E44="","",VLOOKUP(E44,'Listes déroulantes'!$A$2:$B$65,2,FALSE))</f>
        <v/>
      </c>
      <c r="G44" s="270"/>
      <c r="H44" s="271"/>
      <c r="I44" s="275"/>
      <c r="J44" s="200"/>
      <c r="K44" s="185"/>
      <c r="L44" s="188"/>
      <c r="M44" s="189"/>
      <c r="N44" s="189"/>
      <c r="O44" s="471" t="str">
        <f t="shared" si="9"/>
        <v/>
      </c>
      <c r="P44" s="550" t="str">
        <f>IFERROR(O44-IFERROR(IF(L44="avec arrêt",IF(MONTH(N44)&lt;=mois_stat,0,N44-EOMONTH('Stats AT BDD'!$Y$2,0)),""),""),"")</f>
        <v/>
      </c>
      <c r="Q44" s="190"/>
      <c r="R44" s="191"/>
      <c r="S44" s="191"/>
      <c r="T44" s="192"/>
      <c r="U44" s="194"/>
      <c r="V44" s="188"/>
      <c r="W44" s="188"/>
      <c r="X44" s="266"/>
      <c r="Y44" s="198"/>
      <c r="Z44" s="276" t="str">
        <f t="shared" si="6"/>
        <v/>
      </c>
      <c r="AA44" s="189"/>
      <c r="AB44" s="199" t="str">
        <f t="shared" ca="1" si="5"/>
        <v/>
      </c>
      <c r="AC44" s="273"/>
      <c r="AD44" s="273"/>
      <c r="AE44" s="438" t="str">
        <f t="shared" si="8"/>
        <v/>
      </c>
      <c r="AF44" s="434"/>
      <c r="AG44" s="437" t="str">
        <f t="shared" ca="1" si="7"/>
        <v/>
      </c>
      <c r="AH44" s="273"/>
    </row>
    <row r="45" spans="1:34" ht="67.5" customHeight="1" x14ac:dyDescent="0.25">
      <c r="A45" s="203" t="s">
        <v>1022</v>
      </c>
      <c r="B45" s="193"/>
      <c r="C45" s="186"/>
      <c r="D45" s="187"/>
      <c r="E45" s="268"/>
      <c r="F45" s="260" t="str">
        <f>IF(E45="","",VLOOKUP(E45,'Listes déroulantes'!$A$2:$B$65,2,FALSE))</f>
        <v/>
      </c>
      <c r="G45" s="270"/>
      <c r="H45" s="271"/>
      <c r="I45" s="275"/>
      <c r="J45" s="200"/>
      <c r="K45" s="185"/>
      <c r="L45" s="188"/>
      <c r="M45" s="189"/>
      <c r="N45" s="189"/>
      <c r="O45" s="471" t="str">
        <f t="shared" si="9"/>
        <v/>
      </c>
      <c r="P45" s="550" t="str">
        <f>IFERROR(O45-IFERROR(IF(L45="avec arrêt",IF(MONTH(N45)&lt;=mois_stat,0,N45-EOMONTH('Stats AT BDD'!$Y$2,0)),""),""),"")</f>
        <v/>
      </c>
      <c r="Q45" s="190"/>
      <c r="R45" s="191"/>
      <c r="S45" s="191"/>
      <c r="T45" s="192"/>
      <c r="U45" s="194"/>
      <c r="V45" s="188"/>
      <c r="W45" s="188"/>
      <c r="X45" s="266"/>
      <c r="Y45" s="198"/>
      <c r="Z45" s="276" t="str">
        <f t="shared" si="6"/>
        <v/>
      </c>
      <c r="AA45" s="189"/>
      <c r="AB45" s="199" t="str">
        <f t="shared" ca="1" si="5"/>
        <v/>
      </c>
      <c r="AC45" s="273"/>
      <c r="AD45" s="273"/>
      <c r="AE45" s="438" t="str">
        <f t="shared" si="8"/>
        <v/>
      </c>
      <c r="AF45" s="434"/>
      <c r="AG45" s="437" t="str">
        <f t="shared" ca="1" si="7"/>
        <v/>
      </c>
      <c r="AH45" s="273"/>
    </row>
    <row r="46" spans="1:34" ht="67.5" customHeight="1" x14ac:dyDescent="0.25">
      <c r="A46" s="203" t="s">
        <v>1023</v>
      </c>
      <c r="B46" s="193"/>
      <c r="C46" s="186"/>
      <c r="D46" s="187"/>
      <c r="E46" s="268"/>
      <c r="F46" s="260" t="str">
        <f>IF(E46="","",VLOOKUP(E46,'Listes déroulantes'!$A$2:$B$65,2,FALSE))</f>
        <v/>
      </c>
      <c r="G46" s="270"/>
      <c r="H46" s="271"/>
      <c r="I46" s="275"/>
      <c r="J46" s="200"/>
      <c r="K46" s="185"/>
      <c r="L46" s="188"/>
      <c r="M46" s="189"/>
      <c r="N46" s="189"/>
      <c r="O46" s="471" t="str">
        <f t="shared" si="9"/>
        <v/>
      </c>
      <c r="P46" s="550" t="str">
        <f>IFERROR(O46-IFERROR(IF(L46="avec arrêt",IF(MONTH(N46)&lt;=mois_stat,0,N46-EOMONTH('Stats AT BDD'!$Y$2,0)),""),""),"")</f>
        <v/>
      </c>
      <c r="Q46" s="190"/>
      <c r="R46" s="191"/>
      <c r="S46" s="191"/>
      <c r="T46" s="192"/>
      <c r="U46" s="194"/>
      <c r="V46" s="188"/>
      <c r="W46" s="188"/>
      <c r="X46" s="266"/>
      <c r="Y46" s="198"/>
      <c r="Z46" s="276" t="str">
        <f t="shared" si="6"/>
        <v/>
      </c>
      <c r="AA46" s="189"/>
      <c r="AB46" s="199" t="str">
        <f t="shared" ca="1" si="5"/>
        <v/>
      </c>
      <c r="AC46" s="273"/>
      <c r="AD46" s="273"/>
      <c r="AE46" s="438" t="str">
        <f t="shared" si="8"/>
        <v/>
      </c>
      <c r="AF46" s="434"/>
      <c r="AG46" s="437" t="str">
        <f t="shared" ca="1" si="7"/>
        <v/>
      </c>
      <c r="AH46" s="273"/>
    </row>
    <row r="47" spans="1:34" ht="67.5" customHeight="1" x14ac:dyDescent="0.25">
      <c r="A47" s="203" t="s">
        <v>1024</v>
      </c>
      <c r="B47" s="193"/>
      <c r="C47" s="186"/>
      <c r="D47" s="187"/>
      <c r="E47" s="268"/>
      <c r="F47" s="260" t="str">
        <f>IF(E47="","",VLOOKUP(E47,'Listes déroulantes'!$A$2:$B$65,2,FALSE))</f>
        <v/>
      </c>
      <c r="G47" s="270"/>
      <c r="H47" s="271"/>
      <c r="I47" s="275"/>
      <c r="J47" s="200"/>
      <c r="K47" s="185"/>
      <c r="L47" s="188"/>
      <c r="M47" s="189"/>
      <c r="N47" s="189"/>
      <c r="O47" s="471" t="str">
        <f t="shared" si="9"/>
        <v/>
      </c>
      <c r="P47" s="550" t="str">
        <f>IFERROR(O47-IFERROR(IF(L47="avec arrêt",IF(MONTH(N47)&lt;=mois_stat,0,N47-EOMONTH('Stats AT BDD'!$Y$2,0)),""),""),"")</f>
        <v/>
      </c>
      <c r="Q47" s="190"/>
      <c r="R47" s="191"/>
      <c r="S47" s="191"/>
      <c r="T47" s="192"/>
      <c r="U47" s="194"/>
      <c r="V47" s="188"/>
      <c r="W47" s="188"/>
      <c r="X47" s="266"/>
      <c r="Y47" s="198"/>
      <c r="Z47" s="276" t="str">
        <f t="shared" si="6"/>
        <v/>
      </c>
      <c r="AA47" s="189"/>
      <c r="AB47" s="199" t="str">
        <f t="shared" ca="1" si="5"/>
        <v/>
      </c>
      <c r="AC47" s="273"/>
      <c r="AD47" s="273"/>
      <c r="AE47" s="438" t="str">
        <f t="shared" si="8"/>
        <v/>
      </c>
      <c r="AF47" s="434"/>
      <c r="AG47" s="437" t="str">
        <f t="shared" ca="1" si="7"/>
        <v/>
      </c>
      <c r="AH47" s="273"/>
    </row>
    <row r="48" spans="1:34" ht="67.5" customHeight="1" x14ac:dyDescent="0.25">
      <c r="A48" s="203" t="s">
        <v>1025</v>
      </c>
      <c r="B48" s="193"/>
      <c r="C48" s="186"/>
      <c r="D48" s="187"/>
      <c r="E48" s="268"/>
      <c r="F48" s="260" t="str">
        <f>IF(E48="","",VLOOKUP(E48,'Listes déroulantes'!$A$2:$B$65,2,FALSE))</f>
        <v/>
      </c>
      <c r="G48" s="270"/>
      <c r="H48" s="271"/>
      <c r="I48" s="275"/>
      <c r="J48" s="200"/>
      <c r="K48" s="185"/>
      <c r="L48" s="188"/>
      <c r="M48" s="189"/>
      <c r="N48" s="189"/>
      <c r="O48" s="471" t="str">
        <f t="shared" si="9"/>
        <v/>
      </c>
      <c r="P48" s="550" t="str">
        <f>IFERROR(O48-IFERROR(IF(L48="avec arrêt",IF(MONTH(N48)&lt;=mois_stat,0,N48-EOMONTH('Stats AT BDD'!$Y$2,0)),""),""),"")</f>
        <v/>
      </c>
      <c r="Q48" s="190"/>
      <c r="R48" s="191"/>
      <c r="S48" s="191"/>
      <c r="T48" s="192"/>
      <c r="U48" s="194"/>
      <c r="V48" s="188"/>
      <c r="W48" s="188"/>
      <c r="X48" s="266"/>
      <c r="Y48" s="198"/>
      <c r="Z48" s="276" t="str">
        <f t="shared" si="6"/>
        <v/>
      </c>
      <c r="AA48" s="189"/>
      <c r="AB48" s="199" t="str">
        <f t="shared" ca="1" si="5"/>
        <v/>
      </c>
      <c r="AC48" s="273"/>
      <c r="AD48" s="273"/>
      <c r="AE48" s="438" t="str">
        <f t="shared" si="8"/>
        <v/>
      </c>
      <c r="AF48" s="434"/>
      <c r="AG48" s="437" t="str">
        <f t="shared" ca="1" si="7"/>
        <v/>
      </c>
      <c r="AH48" s="273"/>
    </row>
    <row r="49" spans="1:34" ht="67.5" customHeight="1" x14ac:dyDescent="0.25">
      <c r="A49" s="203" t="s">
        <v>1026</v>
      </c>
      <c r="B49" s="193"/>
      <c r="C49" s="186"/>
      <c r="D49" s="187"/>
      <c r="E49" s="268"/>
      <c r="F49" s="260" t="str">
        <f>IF(E49="","",VLOOKUP(E49,'Listes déroulantes'!$A$2:$B$65,2,FALSE))</f>
        <v/>
      </c>
      <c r="G49" s="270"/>
      <c r="H49" s="271"/>
      <c r="I49" s="275"/>
      <c r="J49" s="200"/>
      <c r="K49" s="185"/>
      <c r="L49" s="188"/>
      <c r="M49" s="189"/>
      <c r="N49" s="189"/>
      <c r="O49" s="471" t="str">
        <f t="shared" si="9"/>
        <v/>
      </c>
      <c r="P49" s="550" t="str">
        <f>IFERROR(O49-IFERROR(IF(L49="avec arrêt",IF(MONTH(N49)&lt;=mois_stat,0,N49-EOMONTH('Stats AT BDD'!$Y$2,0)),""),""),"")</f>
        <v/>
      </c>
      <c r="Q49" s="190"/>
      <c r="R49" s="191"/>
      <c r="S49" s="191"/>
      <c r="T49" s="192"/>
      <c r="U49" s="194"/>
      <c r="V49" s="188"/>
      <c r="W49" s="188"/>
      <c r="X49" s="192"/>
      <c r="Y49" s="198"/>
      <c r="Z49" s="276" t="str">
        <f t="shared" si="6"/>
        <v/>
      </c>
      <c r="AA49" s="189"/>
      <c r="AB49" s="199" t="str">
        <f t="shared" ca="1" si="5"/>
        <v/>
      </c>
      <c r="AC49" s="273"/>
      <c r="AD49" s="273"/>
      <c r="AE49" s="438" t="str">
        <f t="shared" si="8"/>
        <v/>
      </c>
      <c r="AF49" s="434"/>
      <c r="AG49" s="437" t="str">
        <f t="shared" ca="1" si="7"/>
        <v/>
      </c>
      <c r="AH49" s="273"/>
    </row>
    <row r="50" spans="1:34" ht="67.5" customHeight="1" x14ac:dyDescent="0.25">
      <c r="A50" s="203" t="s">
        <v>1027</v>
      </c>
      <c r="B50" s="193"/>
      <c r="C50" s="186"/>
      <c r="D50" s="187"/>
      <c r="E50" s="268"/>
      <c r="F50" s="260" t="str">
        <f>IF(E50="","",VLOOKUP(E50,'Listes déroulantes'!$A$2:$B$65,2,FALSE))</f>
        <v/>
      </c>
      <c r="G50" s="270"/>
      <c r="H50" s="271"/>
      <c r="I50" s="275"/>
      <c r="J50" s="200"/>
      <c r="K50" s="185"/>
      <c r="L50" s="188"/>
      <c r="M50" s="189"/>
      <c r="N50" s="189"/>
      <c r="O50" s="471" t="str">
        <f t="shared" si="9"/>
        <v/>
      </c>
      <c r="P50" s="550" t="str">
        <f>IFERROR(O50-IFERROR(IF(L50="avec arrêt",IF(MONTH(N50)&lt;=mois_stat,0,N50-EOMONTH('Stats AT BDD'!$Y$2,0)),""),""),"")</f>
        <v/>
      </c>
      <c r="Q50" s="190"/>
      <c r="R50" s="191"/>
      <c r="S50" s="191"/>
      <c r="T50" s="192"/>
      <c r="U50" s="194"/>
      <c r="V50" s="188"/>
      <c r="W50" s="188"/>
      <c r="X50" s="192"/>
      <c r="Y50" s="198"/>
      <c r="Z50" s="276" t="str">
        <f t="shared" si="6"/>
        <v/>
      </c>
      <c r="AA50" s="189"/>
      <c r="AB50" s="199" t="str">
        <f t="shared" ca="1" si="5"/>
        <v/>
      </c>
      <c r="AC50" s="273"/>
      <c r="AD50" s="273"/>
      <c r="AE50" s="438" t="str">
        <f t="shared" si="8"/>
        <v/>
      </c>
      <c r="AF50" s="434"/>
      <c r="AG50" s="437" t="str">
        <f t="shared" ca="1" si="7"/>
        <v/>
      </c>
      <c r="AH50" s="273"/>
    </row>
    <row r="51" spans="1:34" ht="67.5" customHeight="1" x14ac:dyDescent="0.25">
      <c r="A51" s="203" t="s">
        <v>1028</v>
      </c>
      <c r="B51" s="193"/>
      <c r="C51" s="186"/>
      <c r="D51" s="187"/>
      <c r="E51" s="268"/>
      <c r="F51" s="260" t="str">
        <f>IF(E51="","",VLOOKUP(E51,'Listes déroulantes'!$A$2:$B$65,2,FALSE))</f>
        <v/>
      </c>
      <c r="G51" s="270"/>
      <c r="H51" s="271"/>
      <c r="I51" s="275"/>
      <c r="J51" s="200"/>
      <c r="K51" s="185"/>
      <c r="L51" s="188"/>
      <c r="M51" s="189"/>
      <c r="N51" s="189"/>
      <c r="O51" s="471" t="str">
        <f t="shared" si="9"/>
        <v/>
      </c>
      <c r="P51" s="550" t="str">
        <f>IFERROR(O51-IFERROR(IF(L51="avec arrêt",IF(MONTH(N51)&lt;=mois_stat,0,N51-EOMONTH('Stats AT BDD'!$Y$2,0)),""),""),"")</f>
        <v/>
      </c>
      <c r="Q51" s="190"/>
      <c r="R51" s="191"/>
      <c r="S51" s="191"/>
      <c r="T51" s="192"/>
      <c r="U51" s="194"/>
      <c r="V51" s="188"/>
      <c r="W51" s="188"/>
      <c r="X51" s="192"/>
      <c r="Y51" s="198"/>
      <c r="Z51" s="276" t="str">
        <f t="shared" si="6"/>
        <v/>
      </c>
      <c r="AA51" s="189"/>
      <c r="AB51" s="199" t="str">
        <f t="shared" ca="1" si="5"/>
        <v/>
      </c>
      <c r="AC51" s="273"/>
      <c r="AD51" s="273"/>
      <c r="AE51" s="438" t="str">
        <f t="shared" si="8"/>
        <v/>
      </c>
      <c r="AF51" s="434"/>
      <c r="AG51" s="437" t="str">
        <f t="shared" ca="1" si="7"/>
        <v/>
      </c>
      <c r="AH51" s="273"/>
    </row>
    <row r="52" spans="1:34" ht="67.5" customHeight="1" x14ac:dyDescent="0.25">
      <c r="A52" s="203" t="s">
        <v>1029</v>
      </c>
      <c r="B52" s="193"/>
      <c r="C52" s="186"/>
      <c r="D52" s="187"/>
      <c r="E52" s="268"/>
      <c r="F52" s="260" t="str">
        <f>IF(E52="","",VLOOKUP(E52,'Listes déroulantes'!$A$2:$B$65,2,FALSE))</f>
        <v/>
      </c>
      <c r="G52" s="270"/>
      <c r="H52" s="271"/>
      <c r="I52" s="275"/>
      <c r="J52" s="200"/>
      <c r="K52" s="185"/>
      <c r="L52" s="188"/>
      <c r="M52" s="189"/>
      <c r="N52" s="189"/>
      <c r="O52" s="471" t="str">
        <f t="shared" si="9"/>
        <v/>
      </c>
      <c r="P52" s="550" t="str">
        <f>IFERROR(O52-IFERROR(IF(L52="avec arrêt",IF(MONTH(N52)&lt;=mois_stat,0,N52-EOMONTH('Stats AT BDD'!$Y$2,0)),""),""),"")</f>
        <v/>
      </c>
      <c r="Q52" s="190"/>
      <c r="R52" s="191"/>
      <c r="S52" s="191"/>
      <c r="T52" s="192"/>
      <c r="U52" s="194"/>
      <c r="V52" s="188"/>
      <c r="W52" s="188"/>
      <c r="X52" s="192"/>
      <c r="Y52" s="198"/>
      <c r="Z52" s="276" t="str">
        <f t="shared" si="6"/>
        <v/>
      </c>
      <c r="AA52" s="189"/>
      <c r="AB52" s="199" t="str">
        <f t="shared" ca="1" si="5"/>
        <v/>
      </c>
      <c r="AC52" s="273"/>
      <c r="AD52" s="273"/>
      <c r="AE52" s="438" t="str">
        <f t="shared" si="8"/>
        <v/>
      </c>
      <c r="AF52" s="434"/>
      <c r="AG52" s="437" t="str">
        <f t="shared" ca="1" si="7"/>
        <v/>
      </c>
      <c r="AH52" s="273"/>
    </row>
    <row r="53" spans="1:34" ht="67.5" customHeight="1" x14ac:dyDescent="0.25">
      <c r="A53" s="203" t="s">
        <v>1030</v>
      </c>
      <c r="B53" s="193"/>
      <c r="C53" s="186"/>
      <c r="D53" s="187"/>
      <c r="E53" s="268"/>
      <c r="F53" s="260" t="str">
        <f>IF(E53="","",VLOOKUP(E53,'Listes déroulantes'!$A$2:$B$65,2,FALSE))</f>
        <v/>
      </c>
      <c r="G53" s="270"/>
      <c r="H53" s="271"/>
      <c r="I53" s="275"/>
      <c r="J53" s="200"/>
      <c r="K53" s="185"/>
      <c r="L53" s="188"/>
      <c r="M53" s="189"/>
      <c r="N53" s="189"/>
      <c r="O53" s="471" t="str">
        <f t="shared" si="9"/>
        <v/>
      </c>
      <c r="P53" s="550" t="str">
        <f>IFERROR(O53-IFERROR(IF(L53="avec arrêt",IF(MONTH(N53)&lt;=mois_stat,0,N53-EOMONTH('Stats AT BDD'!$Y$2,0)),""),""),"")</f>
        <v/>
      </c>
      <c r="Q53" s="190"/>
      <c r="R53" s="191"/>
      <c r="S53" s="191"/>
      <c r="T53" s="192"/>
      <c r="U53" s="194"/>
      <c r="V53" s="188"/>
      <c r="W53" s="188"/>
      <c r="X53" s="192"/>
      <c r="Y53" s="198"/>
      <c r="Z53" s="276" t="str">
        <f t="shared" si="6"/>
        <v/>
      </c>
      <c r="AA53" s="189"/>
      <c r="AB53" s="199" t="str">
        <f t="shared" ca="1" si="5"/>
        <v/>
      </c>
      <c r="AC53" s="273"/>
      <c r="AD53" s="273"/>
      <c r="AE53" s="438" t="str">
        <f t="shared" si="8"/>
        <v/>
      </c>
      <c r="AF53" s="434"/>
      <c r="AG53" s="437" t="str">
        <f t="shared" ca="1" si="7"/>
        <v/>
      </c>
      <c r="AH53" s="273"/>
    </row>
    <row r="54" spans="1:34" ht="67.5" customHeight="1" x14ac:dyDescent="0.25">
      <c r="A54" s="203" t="s">
        <v>1031</v>
      </c>
      <c r="B54" s="193"/>
      <c r="C54" s="186"/>
      <c r="D54" s="187"/>
      <c r="E54" s="268"/>
      <c r="F54" s="260" t="str">
        <f>IF(E54="","",VLOOKUP(E54,'Listes déroulantes'!$A$2:$B$65,2,FALSE))</f>
        <v/>
      </c>
      <c r="G54" s="270"/>
      <c r="H54" s="271"/>
      <c r="I54" s="275"/>
      <c r="J54" s="200"/>
      <c r="K54" s="185"/>
      <c r="L54" s="188"/>
      <c r="M54" s="189"/>
      <c r="N54" s="189"/>
      <c r="O54" s="471" t="str">
        <f t="shared" si="9"/>
        <v/>
      </c>
      <c r="P54" s="550" t="str">
        <f>IFERROR(O54-IFERROR(IF(L54="avec arrêt",IF(MONTH(N54)&lt;=mois_stat,0,N54-EOMONTH('Stats AT BDD'!$Y$2,0)),""),""),"")</f>
        <v/>
      </c>
      <c r="Q54" s="190"/>
      <c r="R54" s="191"/>
      <c r="S54" s="191"/>
      <c r="T54" s="192"/>
      <c r="U54" s="194"/>
      <c r="V54" s="188"/>
      <c r="W54" s="188"/>
      <c r="X54" s="192"/>
      <c r="Y54" s="198"/>
      <c r="Z54" s="276" t="str">
        <f t="shared" si="6"/>
        <v/>
      </c>
      <c r="AA54" s="189"/>
      <c r="AB54" s="199" t="str">
        <f t="shared" ca="1" si="5"/>
        <v/>
      </c>
      <c r="AC54" s="273"/>
      <c r="AD54" s="273"/>
      <c r="AE54" s="438" t="str">
        <f t="shared" si="8"/>
        <v/>
      </c>
      <c r="AF54" s="434"/>
      <c r="AG54" s="437" t="str">
        <f t="shared" ca="1" si="7"/>
        <v/>
      </c>
      <c r="AH54" s="273"/>
    </row>
    <row r="55" spans="1:34" ht="67.5" customHeight="1" x14ac:dyDescent="0.25">
      <c r="A55" s="203" t="s">
        <v>1032</v>
      </c>
      <c r="B55" s="193"/>
      <c r="C55" s="186"/>
      <c r="D55" s="187"/>
      <c r="E55" s="268"/>
      <c r="F55" s="260" t="str">
        <f>IF(E55="","",VLOOKUP(E55,'Listes déroulantes'!$A$2:$B$65,2,FALSE))</f>
        <v/>
      </c>
      <c r="G55" s="270"/>
      <c r="H55" s="271"/>
      <c r="I55" s="275"/>
      <c r="J55" s="200"/>
      <c r="K55" s="185"/>
      <c r="L55" s="188"/>
      <c r="M55" s="189"/>
      <c r="N55" s="189"/>
      <c r="O55" s="471" t="str">
        <f t="shared" si="9"/>
        <v/>
      </c>
      <c r="P55" s="550" t="str">
        <f>IFERROR(O55-IFERROR(IF(L55="avec arrêt",IF(MONTH(N55)&lt;=mois_stat,0,N55-EOMONTH('Stats AT BDD'!$Y$2,0)),""),""),"")</f>
        <v/>
      </c>
      <c r="Q55" s="190"/>
      <c r="R55" s="191"/>
      <c r="S55" s="191"/>
      <c r="T55" s="192"/>
      <c r="U55" s="194"/>
      <c r="V55" s="188"/>
      <c r="W55" s="188"/>
      <c r="X55" s="192"/>
      <c r="Y55" s="198"/>
      <c r="Z55" s="276" t="str">
        <f t="shared" si="6"/>
        <v/>
      </c>
      <c r="AA55" s="189"/>
      <c r="AB55" s="199" t="str">
        <f t="shared" ca="1" si="5"/>
        <v/>
      </c>
      <c r="AC55" s="273"/>
      <c r="AD55" s="273"/>
      <c r="AE55" s="438" t="str">
        <f t="shared" si="8"/>
        <v/>
      </c>
      <c r="AF55" s="434"/>
      <c r="AG55" s="437" t="str">
        <f t="shared" ca="1" si="7"/>
        <v/>
      </c>
      <c r="AH55" s="273"/>
    </row>
    <row r="56" spans="1:34" ht="67.5" customHeight="1" x14ac:dyDescent="0.25">
      <c r="A56" s="203" t="s">
        <v>1033</v>
      </c>
      <c r="B56" s="193"/>
      <c r="C56" s="186"/>
      <c r="D56" s="187"/>
      <c r="E56" s="268"/>
      <c r="F56" s="260" t="str">
        <f>IF(E56="","",VLOOKUP(E56,'Listes déroulantes'!$A$2:$B$65,2,FALSE))</f>
        <v/>
      </c>
      <c r="G56" s="270"/>
      <c r="H56" s="271"/>
      <c r="I56" s="275"/>
      <c r="J56" s="200"/>
      <c r="K56" s="185"/>
      <c r="L56" s="188"/>
      <c r="M56" s="189"/>
      <c r="N56" s="189"/>
      <c r="O56" s="471" t="str">
        <f t="shared" si="9"/>
        <v/>
      </c>
      <c r="P56" s="550" t="str">
        <f>IFERROR(O56-IFERROR(IF(L56="avec arrêt",IF(MONTH(N56)&lt;=mois_stat,0,N56-EOMONTH('Stats AT BDD'!$Y$2,0)),""),""),"")</f>
        <v/>
      </c>
      <c r="Q56" s="190"/>
      <c r="R56" s="191"/>
      <c r="S56" s="191"/>
      <c r="T56" s="192"/>
      <c r="U56" s="194"/>
      <c r="V56" s="188"/>
      <c r="W56" s="188"/>
      <c r="X56" s="192"/>
      <c r="Y56" s="198"/>
      <c r="Z56" s="276" t="str">
        <f t="shared" si="6"/>
        <v/>
      </c>
      <c r="AA56" s="189"/>
      <c r="AB56" s="199" t="str">
        <f t="shared" ca="1" si="5"/>
        <v/>
      </c>
      <c r="AC56" s="273"/>
      <c r="AD56" s="273"/>
      <c r="AE56" s="438" t="str">
        <f t="shared" si="8"/>
        <v/>
      </c>
      <c r="AF56" s="434"/>
      <c r="AG56" s="437" t="str">
        <f t="shared" ca="1" si="7"/>
        <v/>
      </c>
      <c r="AH56" s="273"/>
    </row>
    <row r="57" spans="1:34" ht="67.5" customHeight="1" x14ac:dyDescent="0.25">
      <c r="A57" s="203" t="s">
        <v>1034</v>
      </c>
      <c r="B57" s="193"/>
      <c r="C57" s="186"/>
      <c r="D57" s="187"/>
      <c r="E57" s="268"/>
      <c r="F57" s="260" t="str">
        <f>IF(E57="","",VLOOKUP(E57,'Listes déroulantes'!$A$2:$B$65,2,FALSE))</f>
        <v/>
      </c>
      <c r="G57" s="270"/>
      <c r="H57" s="271"/>
      <c r="I57" s="275"/>
      <c r="J57" s="200"/>
      <c r="K57" s="185"/>
      <c r="L57" s="188"/>
      <c r="M57" s="189"/>
      <c r="N57" s="189"/>
      <c r="O57" s="471" t="str">
        <f t="shared" si="9"/>
        <v/>
      </c>
      <c r="P57" s="550" t="str">
        <f>IFERROR(O57-IFERROR(IF(L57="avec arrêt",IF(MONTH(N57)&lt;=mois_stat,0,N57-EOMONTH('Stats AT BDD'!$Y$2,0)),""),""),"")</f>
        <v/>
      </c>
      <c r="Q57" s="190"/>
      <c r="R57" s="191"/>
      <c r="S57" s="191"/>
      <c r="T57" s="192"/>
      <c r="U57" s="194"/>
      <c r="V57" s="188"/>
      <c r="W57" s="188"/>
      <c r="X57" s="192"/>
      <c r="Y57" s="198"/>
      <c r="Z57" s="276" t="str">
        <f t="shared" si="6"/>
        <v/>
      </c>
      <c r="AA57" s="189"/>
      <c r="AB57" s="199" t="str">
        <f t="shared" ca="1" si="5"/>
        <v/>
      </c>
      <c r="AC57" s="273"/>
      <c r="AD57" s="273"/>
      <c r="AE57" s="438" t="str">
        <f t="shared" si="8"/>
        <v/>
      </c>
      <c r="AF57" s="434"/>
      <c r="AG57" s="437" t="str">
        <f t="shared" ca="1" si="7"/>
        <v/>
      </c>
      <c r="AH57" s="273"/>
    </row>
    <row r="58" spans="1:34" ht="67.5" customHeight="1" x14ac:dyDescent="0.25">
      <c r="A58" s="203" t="s">
        <v>1035</v>
      </c>
      <c r="B58" s="193"/>
      <c r="C58" s="186"/>
      <c r="D58" s="187"/>
      <c r="E58" s="268"/>
      <c r="F58" s="260" t="str">
        <f>IF(E58="","",VLOOKUP(E58,'Listes déroulantes'!$A$2:$B$65,2,FALSE))</f>
        <v/>
      </c>
      <c r="G58" s="270"/>
      <c r="H58" s="271"/>
      <c r="I58" s="275"/>
      <c r="J58" s="200"/>
      <c r="K58" s="185"/>
      <c r="L58" s="188"/>
      <c r="M58" s="189"/>
      <c r="N58" s="189"/>
      <c r="O58" s="471" t="str">
        <f t="shared" si="9"/>
        <v/>
      </c>
      <c r="P58" s="550" t="str">
        <f>IFERROR(O58-IFERROR(IF(L58="avec arrêt",IF(MONTH(N58)&lt;=mois_stat,0,N58-EOMONTH('Stats AT BDD'!$Y$2,0)),""),""),"")</f>
        <v/>
      </c>
      <c r="Q58" s="190"/>
      <c r="R58" s="191"/>
      <c r="S58" s="191"/>
      <c r="T58" s="192"/>
      <c r="U58" s="194"/>
      <c r="V58" s="188"/>
      <c r="W58" s="188"/>
      <c r="X58" s="266"/>
      <c r="Y58" s="198"/>
      <c r="Z58" s="276" t="str">
        <f t="shared" si="6"/>
        <v/>
      </c>
      <c r="AA58" s="189"/>
      <c r="AB58" s="199" t="str">
        <f t="shared" ca="1" si="5"/>
        <v/>
      </c>
      <c r="AC58" s="273"/>
      <c r="AD58" s="273"/>
      <c r="AE58" s="438" t="str">
        <f t="shared" si="8"/>
        <v/>
      </c>
      <c r="AF58" s="434"/>
      <c r="AG58" s="437" t="str">
        <f t="shared" ca="1" si="7"/>
        <v/>
      </c>
      <c r="AH58" s="273"/>
    </row>
    <row r="59" spans="1:34" ht="67.5" customHeight="1" x14ac:dyDescent="0.25">
      <c r="A59" s="203" t="s">
        <v>1036</v>
      </c>
      <c r="B59" s="193"/>
      <c r="C59" s="186"/>
      <c r="D59" s="187"/>
      <c r="E59" s="268"/>
      <c r="F59" s="260" t="str">
        <f>IF(E59="","",VLOOKUP(E59,'Listes déroulantes'!$A$2:$B$65,2,FALSE))</f>
        <v/>
      </c>
      <c r="G59" s="270"/>
      <c r="H59" s="271"/>
      <c r="I59" s="275"/>
      <c r="J59" s="200"/>
      <c r="K59" s="185"/>
      <c r="L59" s="188"/>
      <c r="M59" s="189"/>
      <c r="N59" s="189"/>
      <c r="O59" s="471" t="str">
        <f t="shared" si="9"/>
        <v/>
      </c>
      <c r="P59" s="550" t="str">
        <f>IFERROR(O59-IFERROR(IF(L59="avec arrêt",IF(MONTH(N59)&lt;=mois_stat,0,N59-EOMONTH('Stats AT BDD'!$Y$2,0)),""),""),"")</f>
        <v/>
      </c>
      <c r="Q59" s="190"/>
      <c r="R59" s="191"/>
      <c r="S59" s="191"/>
      <c r="T59" s="192"/>
      <c r="U59" s="194"/>
      <c r="V59" s="188"/>
      <c r="W59" s="188"/>
      <c r="X59" s="192"/>
      <c r="Y59" s="198"/>
      <c r="Z59" s="276" t="str">
        <f t="shared" si="6"/>
        <v/>
      </c>
      <c r="AA59" s="189"/>
      <c r="AB59" s="199" t="str">
        <f t="shared" ca="1" si="5"/>
        <v/>
      </c>
      <c r="AC59" s="273"/>
      <c r="AD59" s="273"/>
      <c r="AE59" s="438" t="str">
        <f t="shared" si="8"/>
        <v/>
      </c>
      <c r="AF59" s="434"/>
      <c r="AG59" s="437" t="str">
        <f t="shared" ca="1" si="7"/>
        <v/>
      </c>
      <c r="AH59" s="273"/>
    </row>
    <row r="60" spans="1:34" ht="67.5" customHeight="1" x14ac:dyDescent="0.25">
      <c r="A60" s="203" t="s">
        <v>1037</v>
      </c>
      <c r="B60" s="193"/>
      <c r="C60" s="186"/>
      <c r="D60" s="187"/>
      <c r="E60" s="268"/>
      <c r="F60" s="260" t="str">
        <f>IF(E60="","",VLOOKUP(E60,'Listes déroulantes'!$A$2:$B$65,2,FALSE))</f>
        <v/>
      </c>
      <c r="G60" s="270"/>
      <c r="H60" s="271"/>
      <c r="I60" s="275"/>
      <c r="J60" s="200"/>
      <c r="K60" s="185"/>
      <c r="L60" s="188"/>
      <c r="M60" s="189"/>
      <c r="N60" s="189"/>
      <c r="O60" s="471" t="str">
        <f t="shared" si="9"/>
        <v/>
      </c>
      <c r="P60" s="550" t="str">
        <f>IFERROR(O60-IFERROR(IF(L60="avec arrêt",IF(MONTH(N60)&lt;=mois_stat,0,N60-EOMONTH('Stats AT BDD'!$Y$2,0)),""),""),"")</f>
        <v/>
      </c>
      <c r="Q60" s="190"/>
      <c r="R60" s="191"/>
      <c r="S60" s="191"/>
      <c r="T60" s="192"/>
      <c r="U60" s="194"/>
      <c r="V60" s="188"/>
      <c r="W60" s="188"/>
      <c r="X60" s="192"/>
      <c r="Y60" s="198"/>
      <c r="Z60" s="276" t="str">
        <f t="shared" si="6"/>
        <v/>
      </c>
      <c r="AA60" s="189"/>
      <c r="AB60" s="199" t="str">
        <f t="shared" ca="1" si="5"/>
        <v/>
      </c>
      <c r="AC60" s="273"/>
      <c r="AD60" s="273"/>
      <c r="AE60" s="438" t="str">
        <f t="shared" si="8"/>
        <v/>
      </c>
      <c r="AF60" s="434"/>
      <c r="AG60" s="437" t="str">
        <f t="shared" ca="1" si="7"/>
        <v/>
      </c>
      <c r="AH60" s="273"/>
    </row>
    <row r="61" spans="1:34" ht="67.5" customHeight="1" x14ac:dyDescent="0.25">
      <c r="A61" s="203" t="s">
        <v>1038</v>
      </c>
      <c r="B61" s="193"/>
      <c r="C61" s="186"/>
      <c r="D61" s="187"/>
      <c r="E61" s="268"/>
      <c r="F61" s="260" t="str">
        <f>IF(E61="","",VLOOKUP(E61,'Listes déroulantes'!$A$2:$B$65,2,FALSE))</f>
        <v/>
      </c>
      <c r="G61" s="270"/>
      <c r="H61" s="271"/>
      <c r="I61" s="275"/>
      <c r="J61" s="200"/>
      <c r="K61" s="185"/>
      <c r="L61" s="188"/>
      <c r="M61" s="189"/>
      <c r="N61" s="189"/>
      <c r="O61" s="471" t="str">
        <f t="shared" si="9"/>
        <v/>
      </c>
      <c r="P61" s="550" t="str">
        <f>IFERROR(O61-IFERROR(IF(L61="avec arrêt",IF(MONTH(N61)&lt;=mois_stat,0,N61-EOMONTH('Stats AT BDD'!$Y$2,0)),""),""),"")</f>
        <v/>
      </c>
      <c r="Q61" s="190"/>
      <c r="R61" s="191"/>
      <c r="S61" s="191"/>
      <c r="T61" s="192"/>
      <c r="U61" s="194"/>
      <c r="V61" s="188"/>
      <c r="W61" s="188"/>
      <c r="X61" s="192"/>
      <c r="Y61" s="198"/>
      <c r="Z61" s="276" t="str">
        <f t="shared" si="6"/>
        <v/>
      </c>
      <c r="AA61" s="189"/>
      <c r="AB61" s="199" t="str">
        <f t="shared" ca="1" si="5"/>
        <v/>
      </c>
      <c r="AC61" s="273"/>
      <c r="AD61" s="273"/>
      <c r="AE61" s="438" t="str">
        <f t="shared" si="8"/>
        <v/>
      </c>
      <c r="AF61" s="434"/>
      <c r="AG61" s="437" t="str">
        <f t="shared" ca="1" si="7"/>
        <v/>
      </c>
      <c r="AH61" s="273"/>
    </row>
    <row r="62" spans="1:34" ht="67.5" customHeight="1" x14ac:dyDescent="0.25">
      <c r="A62" s="203" t="s">
        <v>1039</v>
      </c>
      <c r="B62" s="193"/>
      <c r="C62" s="186"/>
      <c r="D62" s="187"/>
      <c r="E62" s="268"/>
      <c r="F62" s="260" t="str">
        <f>IF(E62="","",VLOOKUP(E62,'Listes déroulantes'!$A$2:$B$65,2,FALSE))</f>
        <v/>
      </c>
      <c r="G62" s="270"/>
      <c r="H62" s="271"/>
      <c r="I62" s="275"/>
      <c r="J62" s="200"/>
      <c r="K62" s="185"/>
      <c r="L62" s="188"/>
      <c r="M62" s="189"/>
      <c r="N62" s="189"/>
      <c r="O62" s="471" t="str">
        <f t="shared" si="9"/>
        <v/>
      </c>
      <c r="P62" s="550" t="str">
        <f>IFERROR(O62-IFERROR(IF(L62="avec arrêt",IF(MONTH(N62)&lt;=mois_stat,0,N62-EOMONTH('Stats AT BDD'!$Y$2,0)),""),""),"")</f>
        <v/>
      </c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0">IF(ISBLANK(I62),"",I62+7)</f>
        <v/>
      </c>
      <c r="AA62" s="189"/>
      <c r="AB62" s="199" t="str">
        <f t="shared" ca="1" si="5"/>
        <v/>
      </c>
      <c r="AC62" s="273"/>
      <c r="AD62" s="273"/>
      <c r="AE62" s="438" t="str">
        <f t="shared" si="8"/>
        <v/>
      </c>
      <c r="AF62" s="434"/>
      <c r="AG62" s="437" t="str">
        <f t="shared" ca="1" si="7"/>
        <v/>
      </c>
      <c r="AH62" s="273"/>
    </row>
    <row r="63" spans="1:34" ht="67.5" customHeight="1" x14ac:dyDescent="0.25">
      <c r="A63" s="203" t="s">
        <v>1040</v>
      </c>
      <c r="B63" s="193"/>
      <c r="C63" s="186"/>
      <c r="D63" s="187"/>
      <c r="E63" s="268"/>
      <c r="F63" s="260" t="str">
        <f>IF(E63="","",VLOOKUP(E63,'Listes déroulantes'!$A$2:$B$65,2,FALSE))</f>
        <v/>
      </c>
      <c r="G63" s="270"/>
      <c r="H63" s="271"/>
      <c r="I63" s="275"/>
      <c r="J63" s="200"/>
      <c r="K63" s="185"/>
      <c r="L63" s="188"/>
      <c r="M63" s="189"/>
      <c r="N63" s="189"/>
      <c r="O63" s="471" t="str">
        <f t="shared" si="9"/>
        <v/>
      </c>
      <c r="P63" s="550" t="str">
        <f>IFERROR(O63-IFERROR(IF(L63="avec arrêt",IF(MONTH(N63)&lt;=mois_stat,0,N63-EOMONTH('Stats AT BDD'!$Y$2,0)),""),""),"")</f>
        <v/>
      </c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0"/>
        <v/>
      </c>
      <c r="AA63" s="189"/>
      <c r="AB63" s="199" t="str">
        <f t="shared" ca="1" si="5"/>
        <v/>
      </c>
      <c r="AC63" s="273"/>
      <c r="AD63" s="273"/>
      <c r="AE63" s="438" t="str">
        <f t="shared" si="8"/>
        <v/>
      </c>
      <c r="AF63" s="434"/>
      <c r="AG63" s="437" t="str">
        <f t="shared" ca="1" si="7"/>
        <v/>
      </c>
      <c r="AH63" s="273"/>
    </row>
    <row r="64" spans="1:34" ht="67.5" customHeight="1" x14ac:dyDescent="0.25">
      <c r="A64" s="203" t="s">
        <v>1041</v>
      </c>
      <c r="B64" s="193"/>
      <c r="C64" s="186"/>
      <c r="D64" s="187"/>
      <c r="E64" s="268"/>
      <c r="F64" s="260" t="str">
        <f>IF(E64="","",VLOOKUP(E64,'Listes déroulantes'!$A$2:$B$65,2,FALSE))</f>
        <v/>
      </c>
      <c r="G64" s="270"/>
      <c r="H64" s="271"/>
      <c r="I64" s="275"/>
      <c r="J64" s="200"/>
      <c r="K64" s="185"/>
      <c r="L64" s="188"/>
      <c r="M64" s="189"/>
      <c r="N64" s="189"/>
      <c r="O64" s="471" t="str">
        <f t="shared" si="9"/>
        <v/>
      </c>
      <c r="P64" s="550" t="str">
        <f>IFERROR(O64-IFERROR(IF(L64="avec arrêt",IF(MONTH(N64)&lt;=mois_stat,0,N64-EOMONTH('Stats AT BDD'!$Y$2,0)),""),""),"")</f>
        <v/>
      </c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0"/>
        <v/>
      </c>
      <c r="AA64" s="189"/>
      <c r="AB64" s="199" t="str">
        <f t="shared" ca="1" si="5"/>
        <v/>
      </c>
      <c r="AC64" s="273"/>
      <c r="AD64" s="273"/>
      <c r="AE64" s="438" t="str">
        <f t="shared" si="8"/>
        <v/>
      </c>
      <c r="AF64" s="434"/>
      <c r="AG64" s="437" t="str">
        <f t="shared" ca="1" si="7"/>
        <v/>
      </c>
      <c r="AH64" s="273"/>
    </row>
    <row r="65" spans="1:34" ht="67.5" customHeight="1" x14ac:dyDescent="0.25">
      <c r="A65" s="203" t="s">
        <v>1042</v>
      </c>
      <c r="B65" s="193"/>
      <c r="C65" s="186"/>
      <c r="D65" s="187"/>
      <c r="E65" s="268"/>
      <c r="F65" s="260" t="str">
        <f>IF(E65="","",VLOOKUP(E65,'Listes déroulantes'!$A$2:$B$65,2,FALSE))</f>
        <v/>
      </c>
      <c r="G65" s="270"/>
      <c r="H65" s="271"/>
      <c r="I65" s="275"/>
      <c r="J65" s="200"/>
      <c r="K65" s="185"/>
      <c r="L65" s="188"/>
      <c r="M65" s="189"/>
      <c r="N65" s="189"/>
      <c r="O65" s="471" t="str">
        <f t="shared" si="9"/>
        <v/>
      </c>
      <c r="P65" s="550" t="str">
        <f>IFERROR(O65-IFERROR(IF(L65="avec arrêt",IF(MONTH(N65)&lt;=mois_stat,0,N65-EOMONTH('Stats AT BDD'!$Y$2,0)),""),""),"")</f>
        <v/>
      </c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0"/>
        <v/>
      </c>
      <c r="AA65" s="189"/>
      <c r="AB65" s="199" t="str">
        <f t="shared" ca="1" si="5"/>
        <v/>
      </c>
      <c r="AC65" s="273"/>
      <c r="AD65" s="273"/>
      <c r="AE65" s="438" t="str">
        <f t="shared" si="8"/>
        <v/>
      </c>
      <c r="AF65" s="434"/>
      <c r="AG65" s="437" t="str">
        <f t="shared" ca="1" si="7"/>
        <v/>
      </c>
      <c r="AH65" s="273"/>
    </row>
    <row r="66" spans="1:34" ht="67.5" customHeight="1" x14ac:dyDescent="0.25">
      <c r="A66" s="203" t="s">
        <v>1043</v>
      </c>
      <c r="B66" s="193"/>
      <c r="C66" s="186"/>
      <c r="D66" s="187"/>
      <c r="E66" s="268"/>
      <c r="F66" s="260" t="str">
        <f>IF(E66="","",VLOOKUP(E66,'Listes déroulantes'!$A$2:$B$65,2,FALSE))</f>
        <v/>
      </c>
      <c r="G66" s="270"/>
      <c r="H66" s="271"/>
      <c r="I66" s="275"/>
      <c r="J66" s="200"/>
      <c r="K66" s="185"/>
      <c r="L66" s="188"/>
      <c r="M66" s="189"/>
      <c r="N66" s="189"/>
      <c r="O66" s="471" t="str">
        <f t="shared" si="9"/>
        <v/>
      </c>
      <c r="P66" s="550" t="str">
        <f>IFERROR(O66-IFERROR(IF(L66="avec arrêt",IF(MONTH(N66)&lt;=mois_stat,0,N66-EOMONTH('Stats AT BDD'!$Y$2,0)),""),""),"")</f>
        <v/>
      </c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0"/>
        <v/>
      </c>
      <c r="AA66" s="189"/>
      <c r="AB66" s="199" t="str">
        <f t="shared" ca="1" si="5"/>
        <v/>
      </c>
      <c r="AC66" s="273"/>
      <c r="AD66" s="273"/>
      <c r="AE66" s="438" t="str">
        <f t="shared" si="8"/>
        <v/>
      </c>
      <c r="AF66" s="434"/>
      <c r="AG66" s="430"/>
      <c r="AH66" s="273"/>
    </row>
    <row r="67" spans="1:34" ht="67.5" customHeight="1" x14ac:dyDescent="0.25">
      <c r="A67" s="203" t="s">
        <v>1044</v>
      </c>
      <c r="B67" s="193"/>
      <c r="C67" s="186"/>
      <c r="D67" s="187"/>
      <c r="E67" s="268"/>
      <c r="F67" s="260" t="str">
        <f>IF(E67="","",VLOOKUP(E67,'Listes déroulantes'!$A$2:$B$65,2,FALSE))</f>
        <v/>
      </c>
      <c r="G67" s="270"/>
      <c r="H67" s="271"/>
      <c r="I67" s="275"/>
      <c r="J67" s="200"/>
      <c r="K67" s="185"/>
      <c r="L67" s="188"/>
      <c r="M67" s="189"/>
      <c r="N67" s="189"/>
      <c r="O67" s="471" t="str">
        <f t="shared" si="9"/>
        <v/>
      </c>
      <c r="P67" s="550" t="str">
        <f>IFERROR(O67-IFERROR(IF(L67="avec arrêt",IF(MONTH(N67)&lt;=mois_stat,0,N67-EOMONTH('Stats AT BDD'!$Y$2,0)),""),""),"")</f>
        <v/>
      </c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0"/>
        <v/>
      </c>
      <c r="AA67" s="189"/>
      <c r="AB67" s="199" t="str">
        <f t="shared" ca="1" si="5"/>
        <v/>
      </c>
      <c r="AC67" s="273"/>
      <c r="AD67" s="273"/>
      <c r="AE67" s="438" t="str">
        <f t="shared" si="8"/>
        <v/>
      </c>
      <c r="AF67" s="434"/>
      <c r="AG67" s="430"/>
      <c r="AH67" s="273"/>
    </row>
    <row r="68" spans="1:34" ht="67.5" customHeight="1" x14ac:dyDescent="0.25">
      <c r="A68" s="203" t="s">
        <v>1045</v>
      </c>
      <c r="B68" s="193"/>
      <c r="C68" s="186"/>
      <c r="D68" s="187"/>
      <c r="E68" s="268"/>
      <c r="F68" s="260" t="str">
        <f>IF(E68="","",VLOOKUP(E68,'Listes déroulantes'!$A$2:$B$65,2,FALSE))</f>
        <v/>
      </c>
      <c r="G68" s="270"/>
      <c r="H68" s="271"/>
      <c r="I68" s="275"/>
      <c r="J68" s="200"/>
      <c r="K68" s="185"/>
      <c r="L68" s="188"/>
      <c r="M68" s="189"/>
      <c r="N68" s="189"/>
      <c r="O68" s="471" t="str">
        <f t="shared" si="9"/>
        <v/>
      </c>
      <c r="P68" s="550" t="str">
        <f>IFERROR(O68-IFERROR(IF(L68="avec arrêt",IF(MONTH(N68)&lt;=mois_stat,0,N68-EOMONTH('Stats AT BDD'!$Y$2,0)),""),""),"")</f>
        <v/>
      </c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0"/>
        <v/>
      </c>
      <c r="AA68" s="189"/>
      <c r="AB68" s="199" t="str">
        <f t="shared" ca="1" si="5"/>
        <v/>
      </c>
      <c r="AC68" s="273"/>
      <c r="AD68" s="273"/>
      <c r="AE68" s="438" t="str">
        <f t="shared" si="8"/>
        <v/>
      </c>
      <c r="AF68" s="434"/>
      <c r="AG68" s="430"/>
      <c r="AH68" s="273"/>
    </row>
    <row r="69" spans="1:34" ht="67.5" customHeight="1" x14ac:dyDescent="0.25">
      <c r="A69" s="203" t="s">
        <v>1046</v>
      </c>
      <c r="B69" s="193"/>
      <c r="C69" s="186"/>
      <c r="D69" s="187"/>
      <c r="E69" s="268"/>
      <c r="F69" s="260" t="str">
        <f>IF(E69="","",VLOOKUP(E69,'Listes déroulantes'!$A$2:$B$65,2,FALSE))</f>
        <v/>
      </c>
      <c r="G69" s="270"/>
      <c r="H69" s="271"/>
      <c r="I69" s="275"/>
      <c r="J69" s="200"/>
      <c r="K69" s="185"/>
      <c r="L69" s="188"/>
      <c r="M69" s="189"/>
      <c r="N69" s="189"/>
      <c r="O69" s="471" t="str">
        <f t="shared" si="9"/>
        <v/>
      </c>
      <c r="P69" s="550" t="str">
        <f>IFERROR(O69-IFERROR(IF(L69="avec arrêt",IF(MONTH(N69)&lt;=mois_stat,0,N69-EOMONTH('Stats AT BDD'!$Y$2,0)),""),""),"")</f>
        <v/>
      </c>
      <c r="Q69" s="190"/>
      <c r="R69" s="191"/>
      <c r="S69" s="191"/>
      <c r="T69" s="192"/>
      <c r="U69" s="194"/>
      <c r="V69" s="188"/>
      <c r="W69" s="188"/>
      <c r="X69" s="266"/>
      <c r="Y69" s="198"/>
      <c r="Z69" s="195" t="str">
        <f t="shared" si="10"/>
        <v/>
      </c>
      <c r="AA69" s="189"/>
      <c r="AB69" s="199" t="str">
        <f t="shared" ca="1" si="5"/>
        <v/>
      </c>
      <c r="AC69" s="273"/>
      <c r="AD69" s="273"/>
      <c r="AE69" s="438" t="str">
        <f t="shared" si="8"/>
        <v/>
      </c>
      <c r="AF69" s="434"/>
      <c r="AG69" s="430"/>
      <c r="AH69" s="273"/>
    </row>
    <row r="70" spans="1:34" ht="67.5" customHeight="1" x14ac:dyDescent="0.25">
      <c r="A70" s="203" t="s">
        <v>1047</v>
      </c>
      <c r="B70" s="193"/>
      <c r="C70" s="186"/>
      <c r="D70" s="187"/>
      <c r="E70" s="268"/>
      <c r="F70" s="260" t="str">
        <f>IF(E70="","",VLOOKUP(E70,'Listes déroulantes'!$A$2:$B$65,2,FALSE))</f>
        <v/>
      </c>
      <c r="G70" s="270"/>
      <c r="H70" s="271"/>
      <c r="I70" s="275"/>
      <c r="J70" s="200"/>
      <c r="K70" s="185"/>
      <c r="L70" s="188"/>
      <c r="M70" s="189"/>
      <c r="N70" s="189"/>
      <c r="O70" s="471" t="str">
        <f t="shared" si="9"/>
        <v/>
      </c>
      <c r="P70" s="550" t="str">
        <f>IFERROR(O70-IFERROR(IF(L70="avec arrêt",IF(MONTH(N70)&lt;=mois_stat,0,N70-EOMONTH('Stats AT BDD'!$Y$2,0)),""),""),"")</f>
        <v/>
      </c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0"/>
        <v/>
      </c>
      <c r="AA70" s="189"/>
      <c r="AB70" s="199" t="str">
        <f t="shared" ca="1" si="5"/>
        <v/>
      </c>
      <c r="AC70" s="273"/>
      <c r="AD70" s="273"/>
      <c r="AE70" s="438" t="str">
        <f t="shared" si="8"/>
        <v/>
      </c>
      <c r="AF70" s="434"/>
      <c r="AG70" s="430"/>
      <c r="AH70" s="273"/>
    </row>
    <row r="71" spans="1:34" ht="67.5" customHeight="1" x14ac:dyDescent="0.25">
      <c r="A71" s="203" t="s">
        <v>1048</v>
      </c>
      <c r="B71" s="193"/>
      <c r="C71" s="186"/>
      <c r="D71" s="187"/>
      <c r="E71" s="268"/>
      <c r="F71" s="260" t="str">
        <f>IF(E71="","",VLOOKUP(E71,'Listes déroulantes'!$A$2:$B$65,2,FALSE))</f>
        <v/>
      </c>
      <c r="G71" s="270"/>
      <c r="H71" s="271"/>
      <c r="I71" s="275"/>
      <c r="J71" s="200"/>
      <c r="K71" s="185"/>
      <c r="L71" s="188"/>
      <c r="M71" s="189"/>
      <c r="N71" s="189"/>
      <c r="O71" s="471" t="str">
        <f t="shared" si="9"/>
        <v/>
      </c>
      <c r="P71" s="550" t="str">
        <f>IFERROR(O71-IFERROR(IF(L71="avec arrêt",IF(MONTH(N71)&lt;=mois_stat,0,N71-EOMONTH('Stats AT BDD'!$Y$2,0)),""),""),"")</f>
        <v/>
      </c>
      <c r="Q71" s="190"/>
      <c r="R71" s="191"/>
      <c r="S71" s="191"/>
      <c r="T71" s="192"/>
      <c r="U71" s="194"/>
      <c r="V71" s="188"/>
      <c r="W71" s="188"/>
      <c r="X71" s="266"/>
      <c r="Y71" s="272"/>
      <c r="Z71" s="195" t="str">
        <f t="shared" si="10"/>
        <v/>
      </c>
      <c r="AA71" s="189"/>
      <c r="AB71" s="199" t="str">
        <f t="shared" ca="1" si="5"/>
        <v/>
      </c>
      <c r="AC71" s="273"/>
      <c r="AD71" s="273"/>
      <c r="AE71" s="438" t="str">
        <f t="shared" si="8"/>
        <v/>
      </c>
      <c r="AF71" s="434"/>
      <c r="AG71" s="430"/>
      <c r="AH71" s="273"/>
    </row>
    <row r="72" spans="1:34" ht="67.5" customHeight="1" x14ac:dyDescent="0.25">
      <c r="A72" s="203" t="s">
        <v>1049</v>
      </c>
      <c r="B72" s="193"/>
      <c r="C72" s="186"/>
      <c r="D72" s="187"/>
      <c r="E72" s="268"/>
      <c r="F72" s="260" t="str">
        <f>IF(E72="","",VLOOKUP(E72,'Listes déroulantes'!$A$2:$B$65,2,FALSE))</f>
        <v/>
      </c>
      <c r="G72" s="196"/>
      <c r="H72" s="197"/>
      <c r="I72" s="275"/>
      <c r="J72" s="200"/>
      <c r="K72" s="185"/>
      <c r="L72" s="188"/>
      <c r="M72" s="189"/>
      <c r="N72" s="189"/>
      <c r="O72" s="471" t="str">
        <f t="shared" si="9"/>
        <v/>
      </c>
      <c r="P72" s="550" t="str">
        <f>IFERROR(O72-IFERROR(IF(L72="avec arrêt",IF(MONTH(N72)&lt;=mois_stat,0,N72-EOMONTH('Stats AT BDD'!$Y$2,0)),""),""),"")</f>
        <v/>
      </c>
      <c r="Q72" s="190"/>
      <c r="R72" s="191"/>
      <c r="S72" s="191"/>
      <c r="T72" s="192"/>
      <c r="U72" s="194"/>
      <c r="V72" s="188"/>
      <c r="W72" s="188"/>
      <c r="X72" s="266"/>
      <c r="Y72" s="272"/>
      <c r="Z72" s="195" t="str">
        <f t="shared" si="10"/>
        <v/>
      </c>
      <c r="AA72" s="189"/>
      <c r="AB72" s="199" t="str">
        <f t="shared" ca="1" si="5"/>
        <v/>
      </c>
      <c r="AC72" s="273"/>
      <c r="AD72" s="262"/>
      <c r="AE72" s="435" t="str">
        <f t="shared" si="8"/>
        <v/>
      </c>
      <c r="AF72" s="434"/>
      <c r="AG72" s="431"/>
      <c r="AH72" s="273"/>
    </row>
    <row r="73" spans="1:34" ht="67.5" customHeight="1" x14ac:dyDescent="0.25">
      <c r="A73" s="203" t="s">
        <v>1050</v>
      </c>
      <c r="B73" s="193"/>
      <c r="C73" s="186"/>
      <c r="D73" s="187"/>
      <c r="E73" s="268"/>
      <c r="F73" s="260" t="str">
        <f>IF(E73="","",VLOOKUP(E73,'Listes déroulantes'!$A$2:$B$65,2,FALSE))</f>
        <v/>
      </c>
      <c r="G73" s="196"/>
      <c r="H73" s="197"/>
      <c r="I73" s="275"/>
      <c r="J73" s="200"/>
      <c r="K73" s="185"/>
      <c r="L73" s="188"/>
      <c r="M73" s="189"/>
      <c r="N73" s="189"/>
      <c r="O73" s="471" t="str">
        <f t="shared" si="9"/>
        <v/>
      </c>
      <c r="P73" s="550" t="str">
        <f>IFERROR(O73-IFERROR(IF(L73="avec arrêt",IF(MONTH(N73)&lt;=mois_stat,0,N73-EOMONTH('Stats AT BDD'!$Y$2,0)),""),""),"")</f>
        <v/>
      </c>
      <c r="Q73" s="190"/>
      <c r="R73" s="191"/>
      <c r="S73" s="191"/>
      <c r="T73" s="192"/>
      <c r="U73" s="194"/>
      <c r="V73" s="188"/>
      <c r="W73" s="188"/>
      <c r="X73" s="266"/>
      <c r="Y73" s="198"/>
      <c r="Z73" s="195" t="str">
        <f t="shared" si="10"/>
        <v/>
      </c>
      <c r="AA73" s="189"/>
      <c r="AB73" s="199" t="str">
        <f t="shared" ca="1" si="5"/>
        <v/>
      </c>
      <c r="AC73" s="277"/>
      <c r="AD73" s="262"/>
      <c r="AE73" s="435" t="str">
        <f t="shared" si="8"/>
        <v/>
      </c>
      <c r="AF73" s="434"/>
      <c r="AG73" s="431"/>
      <c r="AH73" s="273"/>
    </row>
    <row r="74" spans="1:34" ht="67.5" customHeight="1" x14ac:dyDescent="0.25">
      <c r="A74" s="203" t="s">
        <v>1051</v>
      </c>
      <c r="B74" s="193"/>
      <c r="C74" s="186"/>
      <c r="D74" s="187"/>
      <c r="E74" s="268"/>
      <c r="F74" s="260" t="str">
        <f>IF(E74="","",VLOOKUP(E74,'Listes déroulantes'!$A$2:$B$65,2,FALSE))</f>
        <v/>
      </c>
      <c r="G74" s="196"/>
      <c r="H74" s="197"/>
      <c r="I74" s="275"/>
      <c r="J74" s="200"/>
      <c r="K74" s="185"/>
      <c r="L74" s="188"/>
      <c r="M74" s="189"/>
      <c r="N74" s="189"/>
      <c r="O74" s="471" t="str">
        <f t="shared" si="9"/>
        <v/>
      </c>
      <c r="P74" s="550" t="str">
        <f>IFERROR(O74-IFERROR(IF(L74="avec arrêt",IF(MONTH(N74)&lt;=mois_stat,0,N74-EOMONTH('Stats AT BDD'!$Y$2,0)),""),""),"")</f>
        <v/>
      </c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0"/>
        <v/>
      </c>
      <c r="AA74" s="189"/>
      <c r="AB74" s="199" t="str">
        <f t="shared" ca="1" si="5"/>
        <v/>
      </c>
      <c r="AC74" s="277"/>
      <c r="AD74" s="262"/>
      <c r="AE74" s="431"/>
      <c r="AF74" s="434"/>
      <c r="AG74" s="431"/>
      <c r="AH74" s="273"/>
    </row>
    <row r="75" spans="1:34" ht="67.5" customHeight="1" x14ac:dyDescent="0.25">
      <c r="A75" s="203" t="s">
        <v>1052</v>
      </c>
      <c r="B75" s="193"/>
      <c r="C75" s="186"/>
      <c r="D75" s="187"/>
      <c r="E75" s="268"/>
      <c r="F75" s="260" t="str">
        <f>IF(E75="","",VLOOKUP(E75,'Listes déroulantes'!$A$2:$B$65,2,FALSE))</f>
        <v/>
      </c>
      <c r="G75" s="196"/>
      <c r="H75" s="197"/>
      <c r="I75" s="275"/>
      <c r="J75" s="200"/>
      <c r="K75" s="185"/>
      <c r="L75" s="188"/>
      <c r="M75" s="189"/>
      <c r="N75" s="189"/>
      <c r="O75" s="471" t="str">
        <f t="shared" si="9"/>
        <v/>
      </c>
      <c r="P75" s="550" t="str">
        <f>IFERROR(O75-IFERROR(IF(L75="avec arrêt",IF(MONTH(N75)&lt;=mois_stat,0,N75-EOMONTH('Stats AT BDD'!$Y$2,0)),""),""),"")</f>
        <v/>
      </c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0"/>
        <v/>
      </c>
      <c r="AA75" s="189"/>
      <c r="AB75" s="199" t="str">
        <f t="shared" ca="1" si="5"/>
        <v/>
      </c>
      <c r="AC75" s="277"/>
      <c r="AD75" s="262"/>
      <c r="AE75" s="431"/>
      <c r="AF75" s="434"/>
      <c r="AG75" s="431"/>
      <c r="AH75" s="273"/>
    </row>
    <row r="76" spans="1:34" ht="67.5" customHeight="1" x14ac:dyDescent="0.25">
      <c r="A76" s="203" t="s">
        <v>1053</v>
      </c>
      <c r="B76" s="193"/>
      <c r="C76" s="186"/>
      <c r="D76" s="187"/>
      <c r="E76" s="268"/>
      <c r="F76" s="260" t="str">
        <f>IF(E76="","",VLOOKUP(E76,'Listes déroulantes'!$A$2:$B$65,2,FALSE))</f>
        <v/>
      </c>
      <c r="G76" s="196"/>
      <c r="H76" s="197"/>
      <c r="I76" s="275"/>
      <c r="J76" s="200"/>
      <c r="K76" s="185"/>
      <c r="L76" s="188"/>
      <c r="M76" s="189"/>
      <c r="N76" s="189"/>
      <c r="O76" s="471" t="str">
        <f t="shared" si="9"/>
        <v/>
      </c>
      <c r="P76" s="550" t="str">
        <f>IFERROR(O76-IFERROR(IF(L76="avec arrêt",IF(MONTH(N76)&lt;=mois_stat,0,N76-EOMONTH('Stats AT BDD'!$Y$2,0)),""),""),"")</f>
        <v/>
      </c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0"/>
        <v/>
      </c>
      <c r="AA76" s="189"/>
      <c r="AB76" s="199" t="str">
        <f t="shared" ca="1" si="5"/>
        <v/>
      </c>
      <c r="AC76" s="277"/>
      <c r="AD76" s="262"/>
      <c r="AE76" s="431"/>
      <c r="AF76" s="434"/>
      <c r="AG76" s="431"/>
      <c r="AH76" s="267"/>
    </row>
    <row r="77" spans="1:34" ht="67.5" customHeight="1" x14ac:dyDescent="0.25">
      <c r="A77" s="203" t="s">
        <v>1054</v>
      </c>
      <c r="B77" s="193"/>
      <c r="C77" s="186"/>
      <c r="D77" s="187"/>
      <c r="E77" s="268"/>
      <c r="F77" s="260" t="str">
        <f>IF(E77="","",VLOOKUP(E77,'Listes déroulantes'!$A$2:$B$65,2,FALSE))</f>
        <v/>
      </c>
      <c r="G77" s="196"/>
      <c r="H77" s="197"/>
      <c r="I77" s="275"/>
      <c r="J77" s="200"/>
      <c r="K77" s="185"/>
      <c r="L77" s="188"/>
      <c r="M77" s="189"/>
      <c r="N77" s="189"/>
      <c r="O77" s="471" t="str">
        <f t="shared" si="9"/>
        <v/>
      </c>
      <c r="P77" s="550" t="str">
        <f>IFERROR(O77-IFERROR(IF(L77="avec arrêt",IF(MONTH(N77)&lt;=mois_stat,0,N77-EOMONTH('Stats AT BDD'!$Y$2,0)),""),""),"")</f>
        <v/>
      </c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0"/>
        <v/>
      </c>
      <c r="AA77" s="189"/>
      <c r="AB77" s="199" t="str">
        <f t="shared" ca="1" si="5"/>
        <v/>
      </c>
      <c r="AC77" s="277"/>
      <c r="AD77" s="262"/>
      <c r="AE77" s="431"/>
      <c r="AF77" s="434"/>
      <c r="AG77" s="431"/>
      <c r="AH77" s="267"/>
    </row>
    <row r="78" spans="1:34" ht="67.5" customHeight="1" x14ac:dyDescent="0.25">
      <c r="A78" s="203" t="s">
        <v>1055</v>
      </c>
      <c r="B78" s="193"/>
      <c r="C78" s="186"/>
      <c r="D78" s="187"/>
      <c r="E78" s="268"/>
      <c r="F78" s="260" t="str">
        <f>IF(E78="","",VLOOKUP(E78,'Listes déroulantes'!$A$2:$B$65,2,FALSE))</f>
        <v/>
      </c>
      <c r="G78" s="196"/>
      <c r="H78" s="197"/>
      <c r="I78" s="275"/>
      <c r="J78" s="200"/>
      <c r="K78" s="185"/>
      <c r="L78" s="188"/>
      <c r="M78" s="189"/>
      <c r="N78" s="189"/>
      <c r="O78" s="471" t="str">
        <f t="shared" si="9"/>
        <v/>
      </c>
      <c r="P78" s="550" t="str">
        <f>IFERROR(O78-IFERROR(IF(L78="avec arrêt",IF(MONTH(N78)&lt;=mois_stat,0,N78-EOMONTH('Stats AT BDD'!$Y$2,0)),""),""),"")</f>
        <v/>
      </c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0"/>
        <v/>
      </c>
      <c r="AA78" s="189"/>
      <c r="AB78" s="199" t="str">
        <f t="shared" ca="1" si="5"/>
        <v/>
      </c>
      <c r="AC78" s="277"/>
      <c r="AD78" s="262"/>
      <c r="AE78" s="431"/>
      <c r="AF78" s="434"/>
      <c r="AG78" s="431"/>
      <c r="AH78" s="267"/>
    </row>
    <row r="79" spans="1:34" ht="67.5" customHeight="1" x14ac:dyDescent="0.25">
      <c r="A79" s="203" t="s">
        <v>1056</v>
      </c>
      <c r="B79" s="193"/>
      <c r="C79" s="186"/>
      <c r="D79" s="187"/>
      <c r="E79" s="268"/>
      <c r="F79" s="260" t="str">
        <f>IF(E79="","",VLOOKUP(E79,'Listes déroulantes'!$A$2:$B$65,2,FALSE))</f>
        <v/>
      </c>
      <c r="G79" s="196"/>
      <c r="H79" s="197"/>
      <c r="I79" s="275"/>
      <c r="J79" s="200"/>
      <c r="K79" s="185"/>
      <c r="L79" s="188"/>
      <c r="M79" s="189"/>
      <c r="N79" s="189"/>
      <c r="O79" s="471" t="str">
        <f t="shared" si="9"/>
        <v/>
      </c>
      <c r="P79" s="550" t="str">
        <f>IFERROR(O79-IFERROR(IF(L79="avec arrêt",IF(MONTH(N79)&lt;=mois_stat,0,N79-EOMONTH('Stats AT BDD'!$Y$2,0)),""),""),"")</f>
        <v/>
      </c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0"/>
        <v/>
      </c>
      <c r="AA79" s="189"/>
      <c r="AB79" s="199" t="str">
        <f t="shared" ca="1" si="5"/>
        <v/>
      </c>
      <c r="AC79" s="277"/>
      <c r="AD79" s="262"/>
      <c r="AE79" s="431"/>
      <c r="AF79" s="434"/>
      <c r="AG79" s="431"/>
      <c r="AH79" s="267"/>
    </row>
    <row r="80" spans="1:34" ht="67.5" customHeight="1" x14ac:dyDescent="0.25">
      <c r="A80" s="203" t="s">
        <v>1057</v>
      </c>
      <c r="B80" s="193"/>
      <c r="C80" s="186"/>
      <c r="D80" s="187"/>
      <c r="E80" s="268"/>
      <c r="F80" s="260" t="str">
        <f>IF(E80="","",VLOOKUP(E80,'Listes déroulantes'!$A$3:$B$65,2,FALSE))</f>
        <v/>
      </c>
      <c r="G80" s="196"/>
      <c r="H80" s="197"/>
      <c r="I80" s="275"/>
      <c r="J80" s="200"/>
      <c r="K80" s="185"/>
      <c r="L80" s="188"/>
      <c r="M80" s="189"/>
      <c r="N80" s="189"/>
      <c r="O80" s="471" t="str">
        <f t="shared" si="9"/>
        <v/>
      </c>
      <c r="P80" s="550" t="str">
        <f>IFERROR(O80-IFERROR(IF(L80="avec arrêt",IF(MONTH(N80)&lt;=mois_stat,0,N80-EOMONTH('Stats AT BDD'!$Y$2,0)),""),""),"")</f>
        <v/>
      </c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0"/>
        <v/>
      </c>
      <c r="AA80" s="189"/>
      <c r="AB80" s="199" t="str">
        <f t="shared" ca="1" si="5"/>
        <v/>
      </c>
      <c r="AC80" s="277"/>
      <c r="AD80" s="262"/>
      <c r="AE80" s="431"/>
      <c r="AF80" s="434"/>
      <c r="AG80" s="431"/>
      <c r="AH80" s="267"/>
    </row>
    <row r="81" spans="1:34" ht="67.5" customHeight="1" x14ac:dyDescent="0.25">
      <c r="A81" s="203" t="s">
        <v>1058</v>
      </c>
      <c r="B81" s="193"/>
      <c r="C81" s="186"/>
      <c r="D81" s="187"/>
      <c r="E81" s="268"/>
      <c r="F81" s="260" t="str">
        <f>IF(E81="","",VLOOKUP(E81,'Listes déroulantes'!$A$3:$B$65,2,FALSE))</f>
        <v/>
      </c>
      <c r="G81" s="196"/>
      <c r="H81" s="197"/>
      <c r="I81" s="275"/>
      <c r="J81" s="200"/>
      <c r="K81" s="185"/>
      <c r="L81" s="188"/>
      <c r="M81" s="189"/>
      <c r="N81" s="189"/>
      <c r="O81" s="471" t="str">
        <f t="shared" si="9"/>
        <v/>
      </c>
      <c r="P81" s="550" t="str">
        <f>IFERROR(O81-IFERROR(IF(L81="avec arrêt",IF(MONTH(N81)&lt;=mois_stat,0,N81-EOMONTH('Stats AT BDD'!$Y$2,0)),""),""),"")</f>
        <v/>
      </c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0"/>
        <v/>
      </c>
      <c r="AA81" s="189"/>
      <c r="AB81" s="199" t="str">
        <f t="shared" ca="1" si="5"/>
        <v/>
      </c>
      <c r="AC81" s="277"/>
      <c r="AD81" s="262"/>
      <c r="AE81" s="431"/>
      <c r="AF81" s="434"/>
      <c r="AG81" s="431"/>
      <c r="AH81" s="267"/>
    </row>
    <row r="82" spans="1:34" ht="67.5" customHeight="1" x14ac:dyDescent="0.25">
      <c r="A82" s="203" t="s">
        <v>1059</v>
      </c>
      <c r="B82" s="193"/>
      <c r="C82" s="186"/>
      <c r="D82" s="187"/>
      <c r="E82" s="268"/>
      <c r="F82" s="204" t="str">
        <f>IF(E82="","",VLOOKUP(E82,'Listes déroulantes'!$A$3:$B$39,2))</f>
        <v/>
      </c>
      <c r="G82" s="196"/>
      <c r="H82" s="197"/>
      <c r="I82" s="275"/>
      <c r="J82" s="200"/>
      <c r="K82" s="185"/>
      <c r="L82" s="188"/>
      <c r="M82" s="189"/>
      <c r="N82" s="189"/>
      <c r="O82" s="471" t="str">
        <f t="shared" si="9"/>
        <v/>
      </c>
      <c r="P82" s="550" t="str">
        <f>IFERROR(O82-IFERROR(IF(L82="avec arrêt",IF(MONTH(N82)&lt;=mois_stat,0,N82-EOMONTH('Stats AT BDD'!$Y$2,0)),""),""),"")</f>
        <v/>
      </c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0"/>
        <v/>
      </c>
      <c r="AA82" s="189"/>
      <c r="AB82" s="199" t="str">
        <f t="shared" ca="1" si="5"/>
        <v/>
      </c>
      <c r="AC82" s="277"/>
      <c r="AD82" s="262"/>
      <c r="AE82" s="431"/>
      <c r="AF82" s="434"/>
      <c r="AG82" s="431"/>
      <c r="AH82" s="267"/>
    </row>
    <row r="83" spans="1:34" ht="67.5" customHeight="1" x14ac:dyDescent="0.25">
      <c r="A83" s="203" t="s">
        <v>1060</v>
      </c>
      <c r="B83" s="193"/>
      <c r="C83" s="186"/>
      <c r="D83" s="187"/>
      <c r="E83" s="268"/>
      <c r="F83" s="204" t="str">
        <f>IF(E83="","",VLOOKUP(E83,'Listes déroulantes'!$A$3:$B$39,2))</f>
        <v/>
      </c>
      <c r="G83" s="196"/>
      <c r="H83" s="197"/>
      <c r="I83" s="275"/>
      <c r="J83" s="200"/>
      <c r="K83" s="185"/>
      <c r="L83" s="188"/>
      <c r="M83" s="189"/>
      <c r="N83" s="189"/>
      <c r="O83" s="471" t="str">
        <f t="shared" si="9"/>
        <v/>
      </c>
      <c r="P83" s="550" t="str">
        <f>IFERROR(O83-IFERROR(IF(L83="avec arrêt",IF(MONTH(N83)&lt;=mois_stat,0,N83-EOMONTH('Stats AT BDD'!$Y$2,0)),""),""),"")</f>
        <v/>
      </c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0"/>
        <v/>
      </c>
      <c r="AA83" s="189"/>
      <c r="AB83" s="199" t="str">
        <f t="shared" ref="AB83:AB146" ca="1" si="11">IF(ISBLANK(AA83),IF(Z83&lt;TODAY(),"non",""),IF(AA83&gt;Z83,"non","oui"))</f>
        <v/>
      </c>
      <c r="AC83" s="277"/>
      <c r="AD83" s="262"/>
      <c r="AE83" s="431"/>
      <c r="AF83" s="434"/>
      <c r="AG83" s="431"/>
      <c r="AH83" s="267"/>
    </row>
    <row r="84" spans="1:34" ht="67.5" customHeight="1" x14ac:dyDescent="0.25">
      <c r="A84" s="203" t="s">
        <v>1061</v>
      </c>
      <c r="B84" s="193"/>
      <c r="C84" s="186"/>
      <c r="D84" s="187"/>
      <c r="E84" s="268"/>
      <c r="F84" s="204" t="str">
        <f>IF(E84="","",VLOOKUP(E84,'Listes déroulantes'!$A$3:$B$39,2))</f>
        <v/>
      </c>
      <c r="G84" s="196"/>
      <c r="H84" s="197"/>
      <c r="I84" s="275"/>
      <c r="J84" s="200"/>
      <c r="K84" s="185"/>
      <c r="L84" s="188"/>
      <c r="M84" s="189"/>
      <c r="N84" s="189"/>
      <c r="O84" s="471" t="str">
        <f t="shared" si="9"/>
        <v/>
      </c>
      <c r="P84" s="550" t="str">
        <f>IFERROR(O84-IFERROR(IF(L84="avec arrêt",IF(MONTH(N84)&lt;=mois_stat,0,N84-EOMONTH('Stats AT BDD'!$Y$2,0)),""),""),"")</f>
        <v/>
      </c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0"/>
        <v/>
      </c>
      <c r="AA84" s="189"/>
      <c r="AB84" s="199" t="str">
        <f t="shared" ca="1" si="11"/>
        <v/>
      </c>
      <c r="AC84" s="277"/>
      <c r="AD84" s="262"/>
      <c r="AE84" s="431"/>
      <c r="AF84" s="434"/>
      <c r="AG84" s="431"/>
      <c r="AH84" s="267"/>
    </row>
    <row r="85" spans="1:34" ht="67.5" customHeight="1" x14ac:dyDescent="0.25">
      <c r="A85" s="203" t="s">
        <v>1062</v>
      </c>
      <c r="B85" s="193"/>
      <c r="C85" s="186"/>
      <c r="D85" s="187"/>
      <c r="E85" s="268"/>
      <c r="F85" s="204" t="str">
        <f>IF(E85="","",VLOOKUP(E85,'Listes déroulantes'!$A$3:$B$39,2))</f>
        <v/>
      </c>
      <c r="G85" s="196"/>
      <c r="H85" s="197"/>
      <c r="I85" s="275"/>
      <c r="J85" s="200"/>
      <c r="K85" s="185"/>
      <c r="L85" s="188"/>
      <c r="M85" s="189"/>
      <c r="N85" s="189"/>
      <c r="O85" s="471" t="str">
        <f t="shared" si="9"/>
        <v/>
      </c>
      <c r="P85" s="550" t="str">
        <f>IFERROR(O85-IFERROR(IF(L85="avec arrêt",IF(MONTH(N85)&lt;=mois_stat,0,N85-EOMONTH('Stats AT BDD'!$Y$2,0)),""),""),"")</f>
        <v/>
      </c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0"/>
        <v/>
      </c>
      <c r="AA85" s="189"/>
      <c r="AB85" s="199" t="str">
        <f t="shared" ca="1" si="11"/>
        <v/>
      </c>
      <c r="AC85" s="277"/>
      <c r="AD85" s="262"/>
      <c r="AE85" s="431"/>
      <c r="AF85" s="434"/>
      <c r="AG85" s="431"/>
      <c r="AH85" s="267"/>
    </row>
    <row r="86" spans="1:34" ht="67.5" customHeight="1" x14ac:dyDescent="0.25">
      <c r="A86" s="203" t="s">
        <v>1063</v>
      </c>
      <c r="B86" s="193"/>
      <c r="C86" s="186"/>
      <c r="D86" s="187"/>
      <c r="E86" s="268"/>
      <c r="F86" s="204" t="str">
        <f>IF(E86="","",VLOOKUP(E86,'Listes déroulantes'!$A$3:$B$39,2))</f>
        <v/>
      </c>
      <c r="G86" s="196"/>
      <c r="H86" s="197"/>
      <c r="I86" s="275"/>
      <c r="J86" s="200"/>
      <c r="K86" s="185"/>
      <c r="L86" s="188"/>
      <c r="M86" s="189"/>
      <c r="N86" s="189"/>
      <c r="O86" s="471" t="str">
        <f t="shared" si="9"/>
        <v/>
      </c>
      <c r="P86" s="550" t="str">
        <f>IFERROR(O86-IFERROR(IF(L86="avec arrêt",IF(MONTH(N86)&lt;=mois_stat,0,N86-EOMONTH('Stats AT BDD'!$Y$2,0)),""),""),"")</f>
        <v/>
      </c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0"/>
        <v/>
      </c>
      <c r="AA86" s="189"/>
      <c r="AB86" s="199" t="str">
        <f t="shared" ca="1" si="11"/>
        <v/>
      </c>
      <c r="AC86" s="277"/>
      <c r="AD86" s="262"/>
      <c r="AE86" s="431"/>
      <c r="AF86" s="434"/>
      <c r="AG86" s="431"/>
      <c r="AH86" s="267"/>
    </row>
    <row r="87" spans="1:34" ht="67.5" customHeight="1" x14ac:dyDescent="0.25">
      <c r="A87" s="203" t="s">
        <v>1064</v>
      </c>
      <c r="B87" s="193"/>
      <c r="C87" s="186"/>
      <c r="D87" s="187"/>
      <c r="E87" s="268"/>
      <c r="F87" s="204" t="str">
        <f>IF(E87="","",VLOOKUP(E87,'Listes déroulantes'!$A$3:$B$39,2))</f>
        <v/>
      </c>
      <c r="G87" s="196"/>
      <c r="H87" s="197"/>
      <c r="I87" s="275"/>
      <c r="J87" s="200"/>
      <c r="K87" s="185"/>
      <c r="L87" s="188"/>
      <c r="M87" s="189"/>
      <c r="N87" s="189"/>
      <c r="O87" s="471" t="str">
        <f t="shared" si="9"/>
        <v/>
      </c>
      <c r="P87" s="550" t="str">
        <f>IFERROR(O87-IFERROR(IF(L87="avec arrêt",IF(MONTH(N87)&lt;=mois_stat,0,N87-EOMONTH('Stats AT BDD'!$Y$2,0)),""),""),"")</f>
        <v/>
      </c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0"/>
        <v/>
      </c>
      <c r="AA87" s="189"/>
      <c r="AB87" s="199" t="str">
        <f t="shared" ca="1" si="11"/>
        <v/>
      </c>
      <c r="AC87" s="277"/>
      <c r="AD87" s="262"/>
      <c r="AE87" s="431"/>
      <c r="AF87" s="434"/>
      <c r="AG87" s="431"/>
      <c r="AH87" s="267"/>
    </row>
    <row r="88" spans="1:34" ht="67.5" customHeight="1" x14ac:dyDescent="0.25">
      <c r="A88" s="203" t="s">
        <v>1065</v>
      </c>
      <c r="B88" s="193"/>
      <c r="C88" s="186"/>
      <c r="D88" s="187"/>
      <c r="E88" s="268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71" t="str">
        <f t="shared" si="9"/>
        <v/>
      </c>
      <c r="P88" s="550" t="str">
        <f>IFERROR(O88-IFERROR(IF(L88="avec arrêt",IF(MONTH(N88)&lt;=mois_stat,0,N88-EOMONTH('Stats AT BDD'!$Y$2,0)),""),""),"")</f>
        <v/>
      </c>
      <c r="Q88" s="190"/>
      <c r="R88" s="191"/>
      <c r="S88" s="191"/>
      <c r="T88" s="192"/>
      <c r="U88" s="194"/>
      <c r="V88" s="188"/>
      <c r="W88" s="188"/>
      <c r="X88" s="266"/>
      <c r="Y88" s="198"/>
      <c r="Z88" s="195" t="str">
        <f t="shared" si="10"/>
        <v/>
      </c>
      <c r="AA88" s="189"/>
      <c r="AB88" s="199" t="str">
        <f t="shared" ca="1" si="11"/>
        <v/>
      </c>
      <c r="AC88" s="277"/>
      <c r="AD88" s="262"/>
      <c r="AE88" s="431"/>
      <c r="AF88" s="434"/>
      <c r="AG88" s="431"/>
      <c r="AH88" s="267"/>
    </row>
    <row r="89" spans="1:34" ht="67.5" customHeight="1" x14ac:dyDescent="0.25">
      <c r="A89" s="203" t="s">
        <v>1066</v>
      </c>
      <c r="B89" s="193"/>
      <c r="C89" s="186"/>
      <c r="D89" s="187"/>
      <c r="E89" s="268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71" t="str">
        <f t="shared" si="9"/>
        <v/>
      </c>
      <c r="P89" s="550" t="str">
        <f>IFERROR(O89-IFERROR(IF(L89="avec arrêt",IF(MONTH(N89)&lt;=mois_stat,0,N89-EOMONTH('Stats AT BDD'!$Y$2,0)),""),""),"")</f>
        <v/>
      </c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0"/>
        <v/>
      </c>
      <c r="AA89" s="189"/>
      <c r="AB89" s="199" t="str">
        <f t="shared" ca="1" si="11"/>
        <v/>
      </c>
      <c r="AC89" s="277"/>
      <c r="AD89" s="262"/>
      <c r="AE89" s="431"/>
      <c r="AF89" s="434"/>
      <c r="AG89" s="431"/>
      <c r="AH89" s="267"/>
    </row>
    <row r="90" spans="1:34" ht="67.5" customHeight="1" x14ac:dyDescent="0.25">
      <c r="A90" s="203" t="s">
        <v>1067</v>
      </c>
      <c r="B90" s="193"/>
      <c r="C90" s="186"/>
      <c r="D90" s="187"/>
      <c r="E90" s="268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71" t="str">
        <f t="shared" si="9"/>
        <v/>
      </c>
      <c r="P90" s="550" t="str">
        <f>IFERROR(O90-IFERROR(IF(L90="avec arrêt",IF(MONTH(N90)&lt;=mois_stat,0,N90-EOMONTH('Stats AT BDD'!$Y$2,0)),""),""),"")</f>
        <v/>
      </c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0"/>
        <v/>
      </c>
      <c r="AA90" s="189"/>
      <c r="AB90" s="199" t="str">
        <f t="shared" ca="1" si="11"/>
        <v/>
      </c>
      <c r="AC90" s="277"/>
      <c r="AD90" s="262"/>
      <c r="AE90" s="431"/>
      <c r="AF90" s="434"/>
      <c r="AG90" s="431"/>
      <c r="AH90" s="267"/>
    </row>
    <row r="91" spans="1:34" ht="67.5" customHeight="1" x14ac:dyDescent="0.25">
      <c r="A91" s="203" t="s">
        <v>1068</v>
      </c>
      <c r="B91" s="193"/>
      <c r="C91" s="186"/>
      <c r="D91" s="187"/>
      <c r="E91" s="268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71" t="str">
        <f t="shared" si="9"/>
        <v/>
      </c>
      <c r="P91" s="550" t="str">
        <f>IFERROR(O91-IFERROR(IF(L91="avec arrêt",IF(MONTH(N91)&lt;=mois_stat,0,N91-EOMONTH('Stats AT BDD'!$Y$2,0)),""),""),"")</f>
        <v/>
      </c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0"/>
        <v/>
      </c>
      <c r="AA91" s="189"/>
      <c r="AB91" s="199" t="str">
        <f t="shared" ca="1" si="11"/>
        <v/>
      </c>
      <c r="AC91" s="277"/>
      <c r="AD91" s="262"/>
      <c r="AE91" s="431"/>
      <c r="AF91" s="434"/>
      <c r="AG91" s="431"/>
      <c r="AH91" s="267"/>
    </row>
    <row r="92" spans="1:34" ht="67.5" customHeight="1" x14ac:dyDescent="0.25">
      <c r="A92" s="203" t="s">
        <v>1069</v>
      </c>
      <c r="B92" s="193"/>
      <c r="C92" s="186"/>
      <c r="D92" s="187"/>
      <c r="E92" s="268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71" t="str">
        <f t="shared" si="9"/>
        <v/>
      </c>
      <c r="P92" s="550" t="str">
        <f>IFERROR(O92-IFERROR(IF(L92="avec arrêt",IF(MONTH(N92)&lt;=mois_stat,0,N92-EOMONTH('Stats AT BDD'!$Y$2,0)),""),""),"")</f>
        <v/>
      </c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0"/>
        <v/>
      </c>
      <c r="AA92" s="189"/>
      <c r="AB92" s="199" t="str">
        <f t="shared" ca="1" si="11"/>
        <v/>
      </c>
      <c r="AC92" s="277"/>
      <c r="AD92" s="262"/>
      <c r="AE92" s="431"/>
      <c r="AF92" s="434"/>
      <c r="AG92" s="431"/>
      <c r="AH92" s="267"/>
    </row>
    <row r="93" spans="1:34" ht="67.5" customHeight="1" x14ac:dyDescent="0.25">
      <c r="A93" s="203" t="s">
        <v>1070</v>
      </c>
      <c r="B93" s="193"/>
      <c r="C93" s="186"/>
      <c r="D93" s="187"/>
      <c r="E93" s="268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71" t="str">
        <f t="shared" si="9"/>
        <v/>
      </c>
      <c r="P93" s="550" t="str">
        <f>IFERROR(O93-IFERROR(IF(L93="avec arrêt",IF(MONTH(N93)&lt;=mois_stat,0,N93-EOMONTH('Stats AT BDD'!$Y$2,0)),""),""),"")</f>
        <v/>
      </c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0"/>
        <v/>
      </c>
      <c r="AA93" s="189"/>
      <c r="AB93" s="199" t="str">
        <f t="shared" ca="1" si="11"/>
        <v/>
      </c>
      <c r="AC93" s="277"/>
      <c r="AD93" s="262"/>
      <c r="AE93" s="431"/>
      <c r="AF93" s="434"/>
      <c r="AG93" s="431"/>
      <c r="AH93" s="267"/>
    </row>
    <row r="94" spans="1:34" ht="67.5" customHeight="1" x14ac:dyDescent="0.25">
      <c r="A94" s="203" t="s">
        <v>1071</v>
      </c>
      <c r="B94" s="193"/>
      <c r="C94" s="186"/>
      <c r="D94" s="187"/>
      <c r="E94" s="268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71" t="str">
        <f t="shared" si="9"/>
        <v/>
      </c>
      <c r="P94" s="550" t="str">
        <f>IFERROR(O94-IFERROR(IF(L94="avec arrêt",IF(MONTH(N94)&lt;=mois_stat,0,N94-EOMONTH('Stats AT BDD'!$Y$2,0)),""),""),"")</f>
        <v/>
      </c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2">IF(ISBLANK(I94),"",I94+7)</f>
        <v/>
      </c>
      <c r="AA94" s="189"/>
      <c r="AB94" s="199" t="str">
        <f t="shared" ca="1" si="11"/>
        <v/>
      </c>
      <c r="AC94" s="277"/>
      <c r="AD94" s="262"/>
      <c r="AE94" s="431"/>
      <c r="AF94" s="434"/>
      <c r="AG94" s="431"/>
      <c r="AH94" s="267"/>
    </row>
    <row r="95" spans="1:34" ht="67.5" customHeight="1" x14ac:dyDescent="0.25">
      <c r="A95" s="203" t="s">
        <v>1072</v>
      </c>
      <c r="B95" s="193"/>
      <c r="C95" s="186"/>
      <c r="D95" s="187"/>
      <c r="E95" s="268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71" t="str">
        <f t="shared" si="9"/>
        <v/>
      </c>
      <c r="P95" s="550" t="str">
        <f>IFERROR(O95-IFERROR(IF(L95="avec arrêt",IF(MONTH(N95)&lt;=mois_stat,0,N95-EOMONTH('Stats AT BDD'!$Y$2,0)),""),""),"")</f>
        <v/>
      </c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2"/>
        <v/>
      </c>
      <c r="AA95" s="189"/>
      <c r="AB95" s="199" t="str">
        <f t="shared" ca="1" si="11"/>
        <v/>
      </c>
      <c r="AC95" s="277"/>
      <c r="AD95" s="262"/>
      <c r="AE95" s="431"/>
      <c r="AF95" s="434"/>
      <c r="AG95" s="431"/>
      <c r="AH95" s="267"/>
    </row>
    <row r="96" spans="1:34" ht="67.5" customHeight="1" x14ac:dyDescent="0.25">
      <c r="A96" s="203" t="s">
        <v>1073</v>
      </c>
      <c r="B96" s="193"/>
      <c r="C96" s="186"/>
      <c r="D96" s="187"/>
      <c r="E96" s="268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71" t="str">
        <f t="shared" si="9"/>
        <v/>
      </c>
      <c r="P96" s="550" t="str">
        <f>IFERROR(O96-IFERROR(IF(L96="avec arrêt",IF(MONTH(N96)&lt;=mois_stat,0,N96-EOMONTH('Stats AT BDD'!$Y$2,0)),""),""),"")</f>
        <v/>
      </c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2"/>
        <v/>
      </c>
      <c r="AA96" s="189"/>
      <c r="AB96" s="199" t="str">
        <f t="shared" ca="1" si="11"/>
        <v/>
      </c>
      <c r="AC96" s="277"/>
      <c r="AD96" s="262"/>
      <c r="AE96" s="431"/>
      <c r="AF96" s="434"/>
      <c r="AG96" s="431"/>
      <c r="AH96" s="267"/>
    </row>
    <row r="97" spans="1:34" ht="67.5" customHeight="1" x14ac:dyDescent="0.25">
      <c r="A97" s="203" t="s">
        <v>1074</v>
      </c>
      <c r="B97" s="193"/>
      <c r="C97" s="186"/>
      <c r="D97" s="187"/>
      <c r="E97" s="268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71" t="str">
        <f t="shared" si="9"/>
        <v/>
      </c>
      <c r="P97" s="550" t="str">
        <f>IFERROR(O97-IFERROR(IF(L97="avec arrêt",IF(MONTH(N97)&lt;=mois_stat,0,N97-EOMONTH('Stats AT BDD'!$Y$2,0)),""),""),"")</f>
        <v/>
      </c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2"/>
        <v/>
      </c>
      <c r="AA97" s="189"/>
      <c r="AB97" s="199" t="str">
        <f t="shared" ca="1" si="11"/>
        <v/>
      </c>
      <c r="AC97" s="277"/>
      <c r="AD97" s="262"/>
      <c r="AE97" s="431"/>
      <c r="AF97" s="434"/>
      <c r="AG97" s="431"/>
      <c r="AH97" s="267"/>
    </row>
    <row r="98" spans="1:34" ht="67.5" customHeight="1" x14ac:dyDescent="0.25">
      <c r="A98" s="203" t="s">
        <v>1075</v>
      </c>
      <c r="B98" s="193"/>
      <c r="C98" s="186"/>
      <c r="D98" s="187"/>
      <c r="E98" s="268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71" t="str">
        <f t="shared" si="9"/>
        <v/>
      </c>
      <c r="P98" s="550" t="str">
        <f>IFERROR(O98-IFERROR(IF(L98="avec arrêt",IF(MONTH(N98)&lt;=mois_stat,0,N98-EOMONTH('Stats AT BDD'!$Y$2,0)),""),""),"")</f>
        <v/>
      </c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2"/>
        <v/>
      </c>
      <c r="AA98" s="189"/>
      <c r="AB98" s="199" t="str">
        <f t="shared" ca="1" si="11"/>
        <v/>
      </c>
      <c r="AC98" s="277"/>
      <c r="AD98" s="262"/>
      <c r="AE98" s="431"/>
      <c r="AF98" s="434"/>
      <c r="AG98" s="431"/>
      <c r="AH98" s="267"/>
    </row>
    <row r="99" spans="1:34" ht="67.5" customHeight="1" x14ac:dyDescent="0.25">
      <c r="A99" s="203" t="s">
        <v>1076</v>
      </c>
      <c r="B99" s="193"/>
      <c r="C99" s="186"/>
      <c r="D99" s="187"/>
      <c r="E99" s="268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71" t="str">
        <f t="shared" si="9"/>
        <v/>
      </c>
      <c r="P99" s="550" t="str">
        <f>IFERROR(O99-IFERROR(IF(L99="avec arrêt",IF(MONTH(N99)&lt;=mois_stat,0,N99-EOMONTH('Stats AT BDD'!$Y$2,0)),""),""),"")</f>
        <v/>
      </c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2"/>
        <v/>
      </c>
      <c r="AA99" s="189"/>
      <c r="AB99" s="199" t="str">
        <f t="shared" ca="1" si="11"/>
        <v/>
      </c>
      <c r="AC99" s="277"/>
      <c r="AD99" s="262"/>
      <c r="AE99" s="431"/>
      <c r="AF99" s="434"/>
      <c r="AG99" s="431"/>
      <c r="AH99" s="267"/>
    </row>
    <row r="100" spans="1:34" ht="67.5" customHeight="1" x14ac:dyDescent="0.25">
      <c r="A100" s="203" t="s">
        <v>1077</v>
      </c>
      <c r="B100" s="193"/>
      <c r="C100" s="186"/>
      <c r="D100" s="187"/>
      <c r="E100" s="268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71" t="str">
        <f t="shared" si="9"/>
        <v/>
      </c>
      <c r="P100" s="550" t="str">
        <f>IFERROR(O100-IFERROR(IF(L100="avec arrêt",IF(MONTH(N100)&lt;=mois_stat,0,N100-EOMONTH('Stats AT BDD'!$Y$2,0)),""),""),"")</f>
        <v/>
      </c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2"/>
        <v/>
      </c>
      <c r="AA100" s="189"/>
      <c r="AB100" s="199" t="str">
        <f t="shared" ca="1" si="11"/>
        <v/>
      </c>
      <c r="AC100" s="277"/>
      <c r="AD100" s="262"/>
      <c r="AE100" s="431"/>
      <c r="AF100" s="434"/>
      <c r="AG100" s="431"/>
      <c r="AH100" s="267"/>
    </row>
    <row r="101" spans="1:34" ht="67.5" customHeight="1" x14ac:dyDescent="0.25">
      <c r="A101" s="203" t="s">
        <v>1078</v>
      </c>
      <c r="B101" s="193"/>
      <c r="C101" s="186"/>
      <c r="D101" s="187"/>
      <c r="E101" s="268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71" t="str">
        <f t="shared" si="9"/>
        <v/>
      </c>
      <c r="P101" s="550" t="str">
        <f>IFERROR(O101-IFERROR(IF(L101="avec arrêt",IF(MONTH(N101)&lt;=mois_stat,0,N101-EOMONTH('Stats AT BDD'!$Y$2,0)),""),""),"")</f>
        <v/>
      </c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2"/>
        <v/>
      </c>
      <c r="AA101" s="189"/>
      <c r="AB101" s="199" t="str">
        <f t="shared" ca="1" si="11"/>
        <v/>
      </c>
      <c r="AC101" s="277"/>
      <c r="AD101" s="262"/>
      <c r="AE101" s="431"/>
      <c r="AF101" s="434"/>
      <c r="AG101" s="431"/>
      <c r="AH101" s="267"/>
    </row>
    <row r="102" spans="1:34" ht="67.5" customHeight="1" x14ac:dyDescent="0.25">
      <c r="A102" s="203" t="s">
        <v>1079</v>
      </c>
      <c r="B102" s="193"/>
      <c r="C102" s="186"/>
      <c r="D102" s="187"/>
      <c r="E102" s="268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71" t="str">
        <f t="shared" si="9"/>
        <v/>
      </c>
      <c r="P102" s="550" t="str">
        <f>IFERROR(O102-IFERROR(IF(L102="avec arrêt",IF(MONTH(N102)&lt;=mois_stat,0,N102-EOMONTH('Stats AT BDD'!$Y$2,0)),""),""),"")</f>
        <v/>
      </c>
      <c r="Q102" s="190"/>
      <c r="R102" s="191"/>
      <c r="S102" s="191"/>
      <c r="T102" s="192"/>
      <c r="U102" s="194"/>
      <c r="V102" s="188"/>
      <c r="W102" s="188"/>
      <c r="X102" s="266"/>
      <c r="Y102" s="198"/>
      <c r="Z102" s="195" t="str">
        <f t="shared" si="12"/>
        <v/>
      </c>
      <c r="AA102" s="189"/>
      <c r="AB102" s="199" t="str">
        <f t="shared" ca="1" si="11"/>
        <v/>
      </c>
      <c r="AC102" s="277"/>
      <c r="AD102" s="262"/>
      <c r="AE102" s="431"/>
      <c r="AF102" s="434"/>
      <c r="AG102" s="431"/>
      <c r="AH102" s="267"/>
    </row>
    <row r="103" spans="1:34" ht="67.5" customHeight="1" x14ac:dyDescent="0.25">
      <c r="A103" s="203" t="s">
        <v>1080</v>
      </c>
      <c r="B103" s="193"/>
      <c r="C103" s="186"/>
      <c r="D103" s="187"/>
      <c r="E103" s="268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71" t="str">
        <f t="shared" si="9"/>
        <v/>
      </c>
      <c r="P103" s="550" t="str">
        <f>IFERROR(O103-IFERROR(IF(L103="avec arrêt",IF(MONTH(N103)&lt;=mois_stat,0,N103-EOMONTH('Stats AT BDD'!$Y$2,0)),""),""),"")</f>
        <v/>
      </c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2"/>
        <v/>
      </c>
      <c r="AA103" s="189"/>
      <c r="AB103" s="199" t="str">
        <f t="shared" ca="1" si="11"/>
        <v/>
      </c>
      <c r="AC103" s="277"/>
      <c r="AD103" s="262"/>
      <c r="AE103" s="431"/>
      <c r="AF103" s="434"/>
      <c r="AG103" s="431"/>
      <c r="AH103" s="267"/>
    </row>
    <row r="104" spans="1:34" ht="67.5" customHeight="1" x14ac:dyDescent="0.25">
      <c r="A104" s="203" t="s">
        <v>1081</v>
      </c>
      <c r="B104" s="193"/>
      <c r="C104" s="186"/>
      <c r="D104" s="187"/>
      <c r="E104" s="268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71" t="str">
        <f t="shared" si="9"/>
        <v/>
      </c>
      <c r="P104" s="550" t="str">
        <f>IFERROR(O104-IFERROR(IF(L104="avec arrêt",IF(MONTH(N104)&lt;=mois_stat,0,N104-EOMONTH('Stats AT BDD'!$Y$2,0)),""),""),"")</f>
        <v/>
      </c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2"/>
        <v/>
      </c>
      <c r="AA104" s="189"/>
      <c r="AB104" s="199" t="str">
        <f t="shared" ca="1" si="11"/>
        <v/>
      </c>
      <c r="AC104" s="277"/>
      <c r="AD104" s="262"/>
      <c r="AE104" s="431"/>
      <c r="AF104" s="434"/>
      <c r="AG104" s="431"/>
      <c r="AH104" s="267"/>
    </row>
    <row r="105" spans="1:34" ht="67.5" customHeight="1" x14ac:dyDescent="0.25">
      <c r="A105" s="203" t="s">
        <v>1082</v>
      </c>
      <c r="B105" s="193"/>
      <c r="C105" s="186"/>
      <c r="D105" s="187"/>
      <c r="E105" s="268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71" t="str">
        <f t="shared" si="9"/>
        <v/>
      </c>
      <c r="P105" s="550" t="str">
        <f>IFERROR(O105-IFERROR(IF(L105="avec arrêt",IF(MONTH(N105)&lt;=mois_stat,0,N105-EOMONTH('Stats AT BDD'!$Y$2,0)),""),""),"")</f>
        <v/>
      </c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2"/>
        <v/>
      </c>
      <c r="AA105" s="189"/>
      <c r="AB105" s="199" t="str">
        <f t="shared" ca="1" si="11"/>
        <v/>
      </c>
      <c r="AC105" s="277"/>
      <c r="AD105" s="262"/>
      <c r="AE105" s="431"/>
      <c r="AF105" s="434"/>
      <c r="AG105" s="431"/>
      <c r="AH105" s="267"/>
    </row>
    <row r="106" spans="1:34" ht="67.5" customHeight="1" x14ac:dyDescent="0.25">
      <c r="A106" s="203" t="s">
        <v>1083</v>
      </c>
      <c r="B106" s="193"/>
      <c r="C106" s="186"/>
      <c r="D106" s="187"/>
      <c r="E106" s="268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71" t="str">
        <f t="shared" ref="O106:O169" si="13">IF(L106="avec arrêt",(N106-M106)+1,"")</f>
        <v/>
      </c>
      <c r="P106" s="550" t="str">
        <f>IFERROR(O106-IFERROR(IF(L106="avec arrêt",IF(MONTH(N106)&lt;=mois_stat,0,N106-EOMONTH('Stats AT BDD'!$Y$2,0)),""),""),"")</f>
        <v/>
      </c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2"/>
        <v/>
      </c>
      <c r="AA106" s="189"/>
      <c r="AB106" s="199" t="str">
        <f t="shared" ca="1" si="11"/>
        <v/>
      </c>
      <c r="AC106" s="277"/>
      <c r="AD106" s="262"/>
      <c r="AE106" s="431"/>
      <c r="AF106" s="434"/>
      <c r="AG106" s="431"/>
      <c r="AH106" s="267"/>
    </row>
    <row r="107" spans="1:34" ht="67.5" customHeight="1" x14ac:dyDescent="0.25">
      <c r="A107" s="203" t="s">
        <v>1084</v>
      </c>
      <c r="B107" s="193"/>
      <c r="C107" s="186"/>
      <c r="D107" s="187"/>
      <c r="E107" s="268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71" t="str">
        <f t="shared" si="13"/>
        <v/>
      </c>
      <c r="P107" s="550" t="str">
        <f>IFERROR(O107-IFERROR(IF(L107="avec arrêt",IF(MONTH(N107)&lt;=mois_stat,0,N107-EOMONTH('Stats AT BDD'!$Y$2,0)),""),""),"")</f>
        <v/>
      </c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2"/>
        <v/>
      </c>
      <c r="AA107" s="189"/>
      <c r="AB107" s="199" t="str">
        <f t="shared" ca="1" si="11"/>
        <v/>
      </c>
      <c r="AC107" s="277"/>
      <c r="AD107" s="262"/>
      <c r="AE107" s="431"/>
      <c r="AF107" s="434"/>
      <c r="AG107" s="431"/>
      <c r="AH107" s="267"/>
    </row>
    <row r="108" spans="1:34" ht="67.5" customHeight="1" x14ac:dyDescent="0.25">
      <c r="A108" s="203" t="s">
        <v>1085</v>
      </c>
      <c r="B108" s="193"/>
      <c r="C108" s="186"/>
      <c r="D108" s="187"/>
      <c r="E108" s="268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71" t="str">
        <f t="shared" si="13"/>
        <v/>
      </c>
      <c r="P108" s="550" t="str">
        <f>IFERROR(O108-IFERROR(IF(L108="avec arrêt",IF(MONTH(N108)&lt;=mois_stat,0,N108-EOMONTH('Stats AT BDD'!$Y$2,0)),""),""),"")</f>
        <v/>
      </c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2"/>
        <v/>
      </c>
      <c r="AA108" s="189"/>
      <c r="AB108" s="199" t="str">
        <f t="shared" ca="1" si="11"/>
        <v/>
      </c>
      <c r="AC108" s="277"/>
      <c r="AD108" s="262"/>
      <c r="AE108" s="431"/>
      <c r="AF108" s="434"/>
      <c r="AG108" s="431"/>
      <c r="AH108" s="267"/>
    </row>
    <row r="109" spans="1:34" ht="67.5" customHeight="1" x14ac:dyDescent="0.25">
      <c r="A109" s="203" t="s">
        <v>1086</v>
      </c>
      <c r="B109" s="193"/>
      <c r="C109" s="186"/>
      <c r="D109" s="187"/>
      <c r="E109" s="268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71" t="str">
        <f t="shared" si="13"/>
        <v/>
      </c>
      <c r="P109" s="550" t="str">
        <f>IFERROR(O109-IFERROR(IF(L109="avec arrêt",IF(MONTH(N109)&lt;=mois_stat,0,N109-EOMONTH('Stats AT BDD'!$Y$2,0)),""),""),"")</f>
        <v/>
      </c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2"/>
        <v/>
      </c>
      <c r="AA109" s="189"/>
      <c r="AB109" s="199" t="str">
        <f t="shared" ca="1" si="11"/>
        <v/>
      </c>
      <c r="AC109" s="277"/>
      <c r="AD109" s="262"/>
      <c r="AE109" s="431"/>
      <c r="AF109" s="434"/>
      <c r="AG109" s="431"/>
      <c r="AH109" s="267"/>
    </row>
    <row r="110" spans="1:34" ht="67.5" customHeight="1" x14ac:dyDescent="0.25">
      <c r="A110" s="203" t="s">
        <v>1087</v>
      </c>
      <c r="B110" s="193"/>
      <c r="C110" s="186"/>
      <c r="D110" s="187"/>
      <c r="E110" s="268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71" t="str">
        <f t="shared" si="13"/>
        <v/>
      </c>
      <c r="P110" s="550" t="str">
        <f>IFERROR(O110-IFERROR(IF(L110="avec arrêt",IF(MONTH(N110)&lt;=mois_stat,0,N110-EOMONTH('Stats AT BDD'!$Y$2,0)),""),""),"")</f>
        <v/>
      </c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2"/>
        <v/>
      </c>
      <c r="AA110" s="189"/>
      <c r="AB110" s="199" t="str">
        <f t="shared" ca="1" si="11"/>
        <v/>
      </c>
      <c r="AC110" s="277"/>
      <c r="AD110" s="262"/>
      <c r="AE110" s="431"/>
      <c r="AF110" s="434"/>
      <c r="AG110" s="431"/>
      <c r="AH110" s="267"/>
    </row>
    <row r="111" spans="1:34" ht="67.5" customHeight="1" x14ac:dyDescent="0.25">
      <c r="A111" s="203" t="s">
        <v>1088</v>
      </c>
      <c r="B111" s="193"/>
      <c r="C111" s="186"/>
      <c r="D111" s="187"/>
      <c r="E111" s="268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71" t="str">
        <f t="shared" si="13"/>
        <v/>
      </c>
      <c r="P111" s="550" t="str">
        <f>IFERROR(O111-IFERROR(IF(L111="avec arrêt",IF(MONTH(N111)&lt;=mois_stat,0,N111-EOMONTH('Stats AT BDD'!$Y$2,0)),""),""),"")</f>
        <v/>
      </c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2"/>
        <v/>
      </c>
      <c r="AA111" s="189"/>
      <c r="AB111" s="199" t="str">
        <f t="shared" ca="1" si="11"/>
        <v/>
      </c>
      <c r="AC111" s="277"/>
      <c r="AD111" s="262"/>
      <c r="AE111" s="431"/>
      <c r="AF111" s="434"/>
      <c r="AG111" s="431"/>
      <c r="AH111" s="267"/>
    </row>
    <row r="112" spans="1:34" ht="67.5" customHeight="1" x14ac:dyDescent="0.25">
      <c r="A112" s="203" t="s">
        <v>1089</v>
      </c>
      <c r="B112" s="193"/>
      <c r="C112" s="186"/>
      <c r="D112" s="187"/>
      <c r="E112" s="268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71" t="str">
        <f t="shared" si="13"/>
        <v/>
      </c>
      <c r="P112" s="550" t="str">
        <f>IFERROR(O112-IFERROR(IF(L112="avec arrêt",IF(MONTH(N112)&lt;=mois_stat,0,N112-EOMONTH('Stats AT BDD'!$Y$2,0)),""),""),"")</f>
        <v/>
      </c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2"/>
        <v/>
      </c>
      <c r="AA112" s="189"/>
      <c r="AB112" s="199" t="str">
        <f t="shared" ca="1" si="11"/>
        <v/>
      </c>
      <c r="AC112" s="277"/>
      <c r="AD112" s="262"/>
      <c r="AE112" s="431"/>
      <c r="AF112" s="434"/>
      <c r="AG112" s="431"/>
      <c r="AH112" s="267"/>
    </row>
    <row r="113" spans="1:34" ht="67.5" customHeight="1" x14ac:dyDescent="0.25">
      <c r="A113" s="203" t="s">
        <v>1090</v>
      </c>
      <c r="B113" s="193"/>
      <c r="C113" s="186"/>
      <c r="D113" s="187"/>
      <c r="E113" s="268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71" t="str">
        <f t="shared" si="13"/>
        <v/>
      </c>
      <c r="P113" s="550" t="str">
        <f>IFERROR(O113-IFERROR(IF(L113="avec arrêt",IF(MONTH(N113)&lt;=mois_stat,0,N113-EOMONTH('Stats AT BDD'!$Y$2,0)),""),""),"")</f>
        <v/>
      </c>
      <c r="Q113" s="190"/>
      <c r="R113" s="191"/>
      <c r="S113" s="191"/>
      <c r="T113" s="192"/>
      <c r="U113" s="194"/>
      <c r="V113" s="188"/>
      <c r="W113" s="188"/>
      <c r="X113" s="266"/>
      <c r="Y113" s="272"/>
      <c r="Z113" s="195" t="str">
        <f t="shared" si="12"/>
        <v/>
      </c>
      <c r="AA113" s="189"/>
      <c r="AB113" s="199" t="str">
        <f t="shared" ca="1" si="11"/>
        <v/>
      </c>
      <c r="AC113" s="277"/>
      <c r="AD113" s="262"/>
      <c r="AE113" s="431"/>
      <c r="AF113" s="434"/>
      <c r="AG113" s="431"/>
      <c r="AH113" s="267"/>
    </row>
    <row r="114" spans="1:34" ht="67.5" customHeight="1" x14ac:dyDescent="0.25">
      <c r="A114" s="203" t="s">
        <v>1091</v>
      </c>
      <c r="B114" s="193"/>
      <c r="C114" s="186"/>
      <c r="D114" s="187"/>
      <c r="E114" s="268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71" t="str">
        <f t="shared" si="13"/>
        <v/>
      </c>
      <c r="P114" s="550" t="str">
        <f>IFERROR(O114-IFERROR(IF(L114="avec arrêt",IF(MONTH(N114)&lt;=mois_stat,0,N114-EOMONTH('Stats AT BDD'!$Y$2,0)),""),""),"")</f>
        <v/>
      </c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2"/>
        <v/>
      </c>
      <c r="AA114" s="189"/>
      <c r="AB114" s="199" t="str">
        <f t="shared" ca="1" si="11"/>
        <v/>
      </c>
      <c r="AC114" s="277"/>
      <c r="AD114" s="262"/>
      <c r="AE114" s="431"/>
      <c r="AF114" s="434"/>
      <c r="AG114" s="431"/>
      <c r="AH114" s="267"/>
    </row>
    <row r="115" spans="1:34" ht="67.5" customHeight="1" x14ac:dyDescent="0.25">
      <c r="A115" s="203" t="s">
        <v>1092</v>
      </c>
      <c r="B115" s="193"/>
      <c r="C115" s="186"/>
      <c r="D115" s="187"/>
      <c r="E115" s="268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71" t="str">
        <f t="shared" si="13"/>
        <v/>
      </c>
      <c r="P115" s="550" t="str">
        <f>IFERROR(O115-IFERROR(IF(L115="avec arrêt",IF(MONTH(N115)&lt;=mois_stat,0,N115-EOMONTH('Stats AT BDD'!$Y$2,0)),""),""),"")</f>
        <v/>
      </c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2"/>
        <v/>
      </c>
      <c r="AA115" s="189"/>
      <c r="AB115" s="199" t="str">
        <f t="shared" ca="1" si="11"/>
        <v/>
      </c>
      <c r="AC115" s="277"/>
      <c r="AD115" s="262"/>
      <c r="AE115" s="431"/>
      <c r="AF115" s="434"/>
      <c r="AG115" s="431"/>
      <c r="AH115" s="267"/>
    </row>
    <row r="116" spans="1:34" ht="63" customHeight="1" x14ac:dyDescent="0.25">
      <c r="A116" s="203" t="s">
        <v>1093</v>
      </c>
      <c r="B116" s="193"/>
      <c r="C116" s="186"/>
      <c r="D116" s="187"/>
      <c r="E116" s="268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71" t="str">
        <f t="shared" si="13"/>
        <v/>
      </c>
      <c r="P116" s="550" t="str">
        <f>IFERROR(O116-IFERROR(IF(L116="avec arrêt",IF(MONTH(N116)&lt;=mois_stat,0,N116-EOMONTH('Stats AT BDD'!$Y$2,0)),""),""),"")</f>
        <v/>
      </c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2"/>
        <v/>
      </c>
      <c r="AA116" s="189"/>
      <c r="AB116" s="199" t="str">
        <f t="shared" ca="1" si="11"/>
        <v/>
      </c>
      <c r="AC116" s="277"/>
      <c r="AD116" s="262"/>
      <c r="AE116" s="431"/>
      <c r="AF116" s="434"/>
      <c r="AG116" s="431"/>
      <c r="AH116" s="267"/>
    </row>
    <row r="117" spans="1:34" ht="63" customHeight="1" x14ac:dyDescent="0.25">
      <c r="A117" s="203" t="s">
        <v>1094</v>
      </c>
      <c r="B117" s="193"/>
      <c r="C117" s="186"/>
      <c r="D117" s="187"/>
      <c r="E117" s="268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71" t="str">
        <f t="shared" si="13"/>
        <v/>
      </c>
      <c r="P117" s="550" t="str">
        <f>IFERROR(O117-IFERROR(IF(L117="avec arrêt",IF(MONTH(N117)&lt;=mois_stat,0,N117-EOMONTH('Stats AT BDD'!$Y$2,0)),""),""),"")</f>
        <v/>
      </c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2"/>
        <v/>
      </c>
      <c r="AA117" s="189"/>
      <c r="AB117" s="199" t="str">
        <f t="shared" ca="1" si="11"/>
        <v/>
      </c>
      <c r="AC117" s="277"/>
      <c r="AD117" s="262"/>
      <c r="AE117" s="431"/>
      <c r="AF117" s="434"/>
      <c r="AG117" s="431"/>
      <c r="AH117" s="267"/>
    </row>
    <row r="118" spans="1:34" ht="63" customHeight="1" x14ac:dyDescent="0.25">
      <c r="A118" s="203" t="s">
        <v>1095</v>
      </c>
      <c r="B118" s="193"/>
      <c r="C118" s="186"/>
      <c r="D118" s="187"/>
      <c r="E118" s="268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71" t="str">
        <f t="shared" si="13"/>
        <v/>
      </c>
      <c r="P118" s="550" t="str">
        <f>IFERROR(O118-IFERROR(IF(L118="avec arrêt",IF(MONTH(N118)&lt;=mois_stat,0,N118-EOMONTH('Stats AT BDD'!$Y$2,0)),""),""),"")</f>
        <v/>
      </c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2"/>
        <v/>
      </c>
      <c r="AA118" s="189"/>
      <c r="AB118" s="199" t="str">
        <f t="shared" ca="1" si="11"/>
        <v/>
      </c>
      <c r="AC118" s="277"/>
      <c r="AD118" s="262"/>
      <c r="AE118" s="431"/>
      <c r="AF118" s="434"/>
      <c r="AG118" s="431"/>
      <c r="AH118" s="267"/>
    </row>
    <row r="119" spans="1:34" ht="63" customHeight="1" x14ac:dyDescent="0.25">
      <c r="A119" s="203" t="s">
        <v>1096</v>
      </c>
      <c r="B119" s="193"/>
      <c r="C119" s="186"/>
      <c r="D119" s="187"/>
      <c r="E119" s="268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71" t="str">
        <f t="shared" si="13"/>
        <v/>
      </c>
      <c r="P119" s="550" t="str">
        <f>IFERROR(O119-IFERROR(IF(L119="avec arrêt",IF(MONTH(N119)&lt;=mois_stat,0,N119-EOMONTH('Stats AT BDD'!$Y$2,0)),""),""),"")</f>
        <v/>
      </c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2"/>
        <v/>
      </c>
      <c r="AA119" s="189"/>
      <c r="AB119" s="199" t="str">
        <f t="shared" ca="1" si="11"/>
        <v/>
      </c>
      <c r="AC119" s="277"/>
      <c r="AD119" s="262"/>
      <c r="AE119" s="431"/>
      <c r="AF119" s="434"/>
      <c r="AG119" s="431"/>
      <c r="AH119" s="267"/>
    </row>
    <row r="120" spans="1:34" ht="63" customHeight="1" x14ac:dyDescent="0.25">
      <c r="A120" s="203" t="s">
        <v>1097</v>
      </c>
      <c r="B120" s="193"/>
      <c r="C120" s="186"/>
      <c r="D120" s="187"/>
      <c r="E120" s="268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71" t="str">
        <f t="shared" si="13"/>
        <v/>
      </c>
      <c r="P120" s="550" t="str">
        <f>IFERROR(O120-IFERROR(IF(L120="avec arrêt",IF(MONTH(N120)&lt;=mois_stat,0,N120-EOMONTH('Stats AT BDD'!$Y$2,0)),""),""),"")</f>
        <v/>
      </c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2"/>
        <v/>
      </c>
      <c r="AA120" s="189"/>
      <c r="AB120" s="199" t="str">
        <f t="shared" ca="1" si="11"/>
        <v/>
      </c>
      <c r="AC120" s="277"/>
      <c r="AD120" s="262"/>
      <c r="AE120" s="431"/>
      <c r="AF120" s="434"/>
      <c r="AG120" s="431"/>
      <c r="AH120" s="267"/>
    </row>
    <row r="121" spans="1:34" ht="63" customHeight="1" x14ac:dyDescent="0.25">
      <c r="A121" s="203" t="s">
        <v>1098</v>
      </c>
      <c r="B121" s="193"/>
      <c r="C121" s="186"/>
      <c r="D121" s="187"/>
      <c r="E121" s="268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71" t="str">
        <f t="shared" si="13"/>
        <v/>
      </c>
      <c r="P121" s="550" t="str">
        <f>IFERROR(O121-IFERROR(IF(L121="avec arrêt",IF(MONTH(N121)&lt;=mois_stat,0,N121-EOMONTH('Stats AT BDD'!$Y$2,0)),""),""),"")</f>
        <v/>
      </c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2"/>
        <v/>
      </c>
      <c r="AA121" s="189"/>
      <c r="AB121" s="199" t="str">
        <f t="shared" ca="1" si="11"/>
        <v/>
      </c>
      <c r="AC121" s="277"/>
      <c r="AD121" s="262"/>
      <c r="AE121" s="431"/>
      <c r="AF121" s="434"/>
      <c r="AG121" s="431"/>
      <c r="AH121" s="267"/>
    </row>
    <row r="122" spans="1:34" ht="63" customHeight="1" x14ac:dyDescent="0.25">
      <c r="A122" s="203" t="s">
        <v>1099</v>
      </c>
      <c r="B122" s="193"/>
      <c r="C122" s="186"/>
      <c r="D122" s="187"/>
      <c r="E122" s="268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71" t="str">
        <f t="shared" si="13"/>
        <v/>
      </c>
      <c r="P122" s="550" t="str">
        <f>IFERROR(O122-IFERROR(IF(L122="avec arrêt",IF(MONTH(N122)&lt;=mois_stat,0,N122-EOMONTH('Stats AT BDD'!$Y$2,0)),""),""),"")</f>
        <v/>
      </c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2"/>
        <v/>
      </c>
      <c r="AA122" s="189"/>
      <c r="AB122" s="199" t="str">
        <f t="shared" ca="1" si="11"/>
        <v/>
      </c>
      <c r="AC122" s="277"/>
      <c r="AD122" s="262"/>
      <c r="AE122" s="431"/>
      <c r="AF122" s="434"/>
      <c r="AG122" s="431"/>
      <c r="AH122" s="267"/>
    </row>
    <row r="123" spans="1:34" ht="63" customHeight="1" x14ac:dyDescent="0.25">
      <c r="A123" s="203" t="s">
        <v>1100</v>
      </c>
      <c r="B123" s="193"/>
      <c r="C123" s="186"/>
      <c r="D123" s="187"/>
      <c r="E123" s="268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71" t="str">
        <f t="shared" si="13"/>
        <v/>
      </c>
      <c r="P123" s="550" t="str">
        <f>IFERROR(O123-IFERROR(IF(L123="avec arrêt",IF(MONTH(N123)&lt;=mois_stat,0,N123-EOMONTH('Stats AT BDD'!$Y$2,0)),""),""),"")</f>
        <v/>
      </c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2"/>
        <v/>
      </c>
      <c r="AA123" s="189"/>
      <c r="AB123" s="199" t="str">
        <f t="shared" ca="1" si="11"/>
        <v/>
      </c>
      <c r="AC123" s="277"/>
      <c r="AD123" s="262"/>
      <c r="AE123" s="431"/>
      <c r="AF123" s="434"/>
      <c r="AG123" s="431"/>
      <c r="AH123" s="267"/>
    </row>
    <row r="124" spans="1:34" ht="63" customHeight="1" x14ac:dyDescent="0.25">
      <c r="A124" s="203" t="s">
        <v>1101</v>
      </c>
      <c r="B124" s="193"/>
      <c r="C124" s="186"/>
      <c r="D124" s="187"/>
      <c r="E124" s="268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71" t="str">
        <f t="shared" si="13"/>
        <v/>
      </c>
      <c r="P124" s="550" t="str">
        <f>IFERROR(O124-IFERROR(IF(L124="avec arrêt",IF(MONTH(N124)&lt;=mois_stat,0,N124-EOMONTH('Stats AT BDD'!$Y$2,0)),""),""),"")</f>
        <v/>
      </c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2"/>
        <v/>
      </c>
      <c r="AA124" s="189"/>
      <c r="AB124" s="199" t="str">
        <f t="shared" ca="1" si="11"/>
        <v/>
      </c>
      <c r="AC124" s="277"/>
      <c r="AD124" s="262"/>
      <c r="AE124" s="431"/>
      <c r="AF124" s="434"/>
      <c r="AG124" s="431"/>
      <c r="AH124" s="267"/>
    </row>
    <row r="125" spans="1:34" ht="63" customHeight="1" x14ac:dyDescent="0.25">
      <c r="A125" s="203" t="s">
        <v>1102</v>
      </c>
      <c r="B125" s="193"/>
      <c r="C125" s="186"/>
      <c r="D125" s="187"/>
      <c r="E125" s="268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71" t="str">
        <f t="shared" si="13"/>
        <v/>
      </c>
      <c r="P125" s="550" t="str">
        <f>IFERROR(O125-IFERROR(IF(L125="avec arrêt",IF(MONTH(N125)&lt;=mois_stat,0,N125-EOMONTH('Stats AT BDD'!$Y$2,0)),""),""),"")</f>
        <v/>
      </c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2"/>
        <v/>
      </c>
      <c r="AA125" s="189"/>
      <c r="AB125" s="199" t="str">
        <f t="shared" ca="1" si="11"/>
        <v/>
      </c>
      <c r="AC125" s="277"/>
      <c r="AD125" s="262"/>
      <c r="AE125" s="431"/>
      <c r="AF125" s="434"/>
      <c r="AG125" s="431"/>
      <c r="AH125" s="267"/>
    </row>
    <row r="126" spans="1:34" ht="63" customHeight="1" x14ac:dyDescent="0.25">
      <c r="A126" s="203" t="s">
        <v>1103</v>
      </c>
      <c r="B126" s="193"/>
      <c r="C126" s="186"/>
      <c r="D126" s="187"/>
      <c r="E126" s="268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71" t="str">
        <f t="shared" si="13"/>
        <v/>
      </c>
      <c r="P126" s="550" t="str">
        <f>IFERROR(O126-IFERROR(IF(L126="avec arrêt",IF(MONTH(N126)&lt;=mois_stat,0,N126-EOMONTH('Stats AT BDD'!$Y$2,0)),""),""),"")</f>
        <v/>
      </c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2"/>
        <v/>
      </c>
      <c r="AA126" s="189"/>
      <c r="AB126" s="199" t="str">
        <f t="shared" ca="1" si="11"/>
        <v/>
      </c>
      <c r="AC126" s="277"/>
      <c r="AD126" s="262"/>
      <c r="AE126" s="431"/>
      <c r="AF126" s="434"/>
      <c r="AG126" s="431"/>
      <c r="AH126" s="267"/>
    </row>
    <row r="127" spans="1:34" ht="63" customHeight="1" x14ac:dyDescent="0.25">
      <c r="A127" s="203" t="s">
        <v>1104</v>
      </c>
      <c r="B127" s="193"/>
      <c r="C127" s="186"/>
      <c r="D127" s="187"/>
      <c r="E127" s="268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71" t="str">
        <f t="shared" si="13"/>
        <v/>
      </c>
      <c r="P127" s="550" t="str">
        <f>IFERROR(O127-IFERROR(IF(L127="avec arrêt",IF(MONTH(N127)&lt;=mois_stat,0,N127-EOMONTH('Stats AT BDD'!$Y$2,0)),""),""),"")</f>
        <v/>
      </c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2"/>
        <v/>
      </c>
      <c r="AA127" s="189"/>
      <c r="AB127" s="199" t="str">
        <f t="shared" ca="1" si="11"/>
        <v/>
      </c>
      <c r="AC127" s="277"/>
      <c r="AD127" s="262"/>
      <c r="AE127" s="431"/>
      <c r="AF127" s="434"/>
      <c r="AG127" s="431"/>
      <c r="AH127" s="267"/>
    </row>
    <row r="128" spans="1:34" ht="63" customHeight="1" x14ac:dyDescent="0.25">
      <c r="A128" s="203" t="s">
        <v>1105</v>
      </c>
      <c r="B128" s="193"/>
      <c r="C128" s="186"/>
      <c r="D128" s="187"/>
      <c r="E128" s="268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71" t="str">
        <f t="shared" si="13"/>
        <v/>
      </c>
      <c r="P128" s="550" t="str">
        <f>IFERROR(O128-IFERROR(IF(L128="avec arrêt",IF(MONTH(N128)&lt;=mois_stat,0,N128-EOMONTH('Stats AT BDD'!$Y$2,0)),""),""),"")</f>
        <v/>
      </c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2"/>
        <v/>
      </c>
      <c r="AA128" s="189"/>
      <c r="AB128" s="199" t="str">
        <f t="shared" ca="1" si="11"/>
        <v/>
      </c>
      <c r="AC128" s="277"/>
      <c r="AD128" s="262"/>
      <c r="AE128" s="431"/>
      <c r="AF128" s="434"/>
      <c r="AG128" s="431"/>
      <c r="AH128" s="267"/>
    </row>
    <row r="129" spans="1:34" ht="63" customHeight="1" x14ac:dyDescent="0.25">
      <c r="A129" s="203" t="s">
        <v>1106</v>
      </c>
      <c r="B129" s="193"/>
      <c r="C129" s="186"/>
      <c r="D129" s="187"/>
      <c r="E129" s="268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71" t="str">
        <f t="shared" si="13"/>
        <v/>
      </c>
      <c r="P129" s="550" t="str">
        <f>IFERROR(O129-IFERROR(IF(L129="avec arrêt",IF(MONTH(N129)&lt;=mois_stat,0,N129-EOMONTH('Stats AT BDD'!$Y$2,0)),""),""),"")</f>
        <v/>
      </c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2"/>
        <v/>
      </c>
      <c r="AA129" s="189"/>
      <c r="AB129" s="199" t="str">
        <f t="shared" ca="1" si="11"/>
        <v/>
      </c>
      <c r="AC129" s="277"/>
      <c r="AD129" s="262"/>
      <c r="AE129" s="431"/>
      <c r="AF129" s="434"/>
      <c r="AG129" s="431"/>
      <c r="AH129" s="267"/>
    </row>
    <row r="130" spans="1:34" ht="63" customHeight="1" x14ac:dyDescent="0.25">
      <c r="A130" s="203" t="s">
        <v>1107</v>
      </c>
      <c r="B130" s="193"/>
      <c r="C130" s="186"/>
      <c r="D130" s="187"/>
      <c r="E130" s="268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71" t="str">
        <f t="shared" si="13"/>
        <v/>
      </c>
      <c r="P130" s="550" t="str">
        <f>IFERROR(O130-IFERROR(IF(L130="avec arrêt",IF(MONTH(N130)&lt;=mois_stat,0,N130-EOMONTH('Stats AT BDD'!$Y$2,0)),""),""),"")</f>
        <v/>
      </c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2"/>
        <v/>
      </c>
      <c r="AA130" s="189"/>
      <c r="AB130" s="199" t="str">
        <f t="shared" ca="1" si="11"/>
        <v/>
      </c>
      <c r="AC130" s="277"/>
      <c r="AD130" s="262"/>
      <c r="AE130" s="431"/>
      <c r="AF130" s="434"/>
      <c r="AG130" s="431"/>
      <c r="AH130" s="267"/>
    </row>
    <row r="131" spans="1:34" ht="63" customHeight="1" x14ac:dyDescent="0.25">
      <c r="A131" s="203" t="s">
        <v>1108</v>
      </c>
      <c r="B131" s="193"/>
      <c r="C131" s="186"/>
      <c r="D131" s="187"/>
      <c r="E131" s="268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71" t="str">
        <f t="shared" si="13"/>
        <v/>
      </c>
      <c r="P131" s="550" t="str">
        <f>IFERROR(O131-IFERROR(IF(L131="avec arrêt",IF(MONTH(N131)&lt;=mois_stat,0,N131-EOMONTH('Stats AT BDD'!$Y$2,0)),""),""),"")</f>
        <v/>
      </c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2"/>
        <v/>
      </c>
      <c r="AA131" s="189"/>
      <c r="AB131" s="199" t="str">
        <f t="shared" ca="1" si="11"/>
        <v/>
      </c>
      <c r="AC131" s="277"/>
      <c r="AD131" s="262"/>
      <c r="AE131" s="431"/>
      <c r="AF131" s="434"/>
      <c r="AG131" s="431"/>
      <c r="AH131" s="267"/>
    </row>
    <row r="132" spans="1:34" ht="63" customHeight="1" x14ac:dyDescent="0.25">
      <c r="A132" s="203" t="s">
        <v>1109</v>
      </c>
      <c r="B132" s="193"/>
      <c r="C132" s="186"/>
      <c r="D132" s="187"/>
      <c r="E132" s="268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71" t="str">
        <f t="shared" si="13"/>
        <v/>
      </c>
      <c r="P132" s="550" t="str">
        <f>IFERROR(O132-IFERROR(IF(L132="avec arrêt",IF(MONTH(N132)&lt;=mois_stat,0,N132-EOMONTH('Stats AT BDD'!$Y$2,0)),""),""),"")</f>
        <v/>
      </c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2"/>
        <v/>
      </c>
      <c r="AA132" s="189"/>
      <c r="AB132" s="199" t="str">
        <f t="shared" ca="1" si="11"/>
        <v/>
      </c>
      <c r="AC132" s="277"/>
      <c r="AD132" s="262"/>
      <c r="AE132" s="431"/>
      <c r="AF132" s="434"/>
      <c r="AG132" s="431"/>
      <c r="AH132" s="267"/>
    </row>
    <row r="133" spans="1:34" ht="63" customHeight="1" x14ac:dyDescent="0.25">
      <c r="A133" s="203" t="s">
        <v>1110</v>
      </c>
      <c r="B133" s="193"/>
      <c r="C133" s="186"/>
      <c r="D133" s="187"/>
      <c r="E133" s="268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71" t="str">
        <f t="shared" si="13"/>
        <v/>
      </c>
      <c r="P133" s="550" t="str">
        <f>IFERROR(O133-IFERROR(IF(L133="avec arrêt",IF(MONTH(N133)&lt;=mois_stat,0,N133-EOMONTH('Stats AT BDD'!$Y$2,0)),""),""),"")</f>
        <v/>
      </c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2"/>
        <v/>
      </c>
      <c r="AA133" s="189"/>
      <c r="AB133" s="199" t="str">
        <f t="shared" ca="1" si="11"/>
        <v/>
      </c>
      <c r="AC133" s="277"/>
      <c r="AD133" s="262"/>
      <c r="AE133" s="431"/>
      <c r="AF133" s="434"/>
      <c r="AG133" s="431"/>
      <c r="AH133" s="267"/>
    </row>
    <row r="134" spans="1:34" ht="63" customHeight="1" x14ac:dyDescent="0.25">
      <c r="A134" s="203" t="s">
        <v>1111</v>
      </c>
      <c r="B134" s="193"/>
      <c r="C134" s="186"/>
      <c r="D134" s="187"/>
      <c r="E134" s="268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71" t="str">
        <f t="shared" si="13"/>
        <v/>
      </c>
      <c r="P134" s="550" t="str">
        <f>IFERROR(O134-IFERROR(IF(L134="avec arrêt",IF(MONTH(N134)&lt;=mois_stat,0,N134-EOMONTH('Stats AT BDD'!$Y$2,0)),""),""),"")</f>
        <v/>
      </c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2"/>
        <v/>
      </c>
      <c r="AA134" s="189"/>
      <c r="AB134" s="199" t="str">
        <f t="shared" ca="1" si="11"/>
        <v/>
      </c>
      <c r="AC134" s="277"/>
      <c r="AD134" s="262"/>
      <c r="AE134" s="431"/>
      <c r="AF134" s="434"/>
      <c r="AG134" s="431"/>
      <c r="AH134" s="267"/>
    </row>
    <row r="135" spans="1:34" ht="63" customHeight="1" x14ac:dyDescent="0.25">
      <c r="A135" s="203" t="s">
        <v>1112</v>
      </c>
      <c r="B135" s="193"/>
      <c r="C135" s="186"/>
      <c r="D135" s="187"/>
      <c r="E135" s="268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71" t="str">
        <f t="shared" si="13"/>
        <v/>
      </c>
      <c r="P135" s="550" t="str">
        <f>IFERROR(O135-IFERROR(IF(L135="avec arrêt",IF(MONTH(N135)&lt;=mois_stat,0,N135-EOMONTH('Stats AT BDD'!$Y$2,0)),""),""),"")</f>
        <v/>
      </c>
      <c r="Q135" s="190"/>
      <c r="R135" s="191"/>
      <c r="S135" s="191"/>
      <c r="T135" s="192"/>
      <c r="U135" s="194"/>
      <c r="V135" s="188"/>
      <c r="W135" s="188"/>
      <c r="X135" s="266"/>
      <c r="Y135" s="272"/>
      <c r="Z135" s="195" t="str">
        <f t="shared" si="12"/>
        <v/>
      </c>
      <c r="AA135" s="189"/>
      <c r="AB135" s="199" t="str">
        <f t="shared" ca="1" si="11"/>
        <v/>
      </c>
      <c r="AC135" s="277"/>
      <c r="AD135" s="262"/>
      <c r="AE135" s="431"/>
      <c r="AF135" s="434"/>
      <c r="AG135" s="431"/>
      <c r="AH135" s="267"/>
    </row>
    <row r="136" spans="1:34" ht="63" customHeight="1" x14ac:dyDescent="0.25">
      <c r="A136" s="203" t="s">
        <v>1113</v>
      </c>
      <c r="B136" s="193"/>
      <c r="C136" s="186"/>
      <c r="D136" s="187"/>
      <c r="E136" s="268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71" t="str">
        <f t="shared" si="13"/>
        <v/>
      </c>
      <c r="P136" s="550" t="str">
        <f>IFERROR(O136-IFERROR(IF(L136="avec arrêt",IF(MONTH(N136)&lt;=mois_stat,0,N136-EOMONTH('Stats AT BDD'!$Y$2,0)),""),""),"")</f>
        <v/>
      </c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2"/>
        <v/>
      </c>
      <c r="AA136" s="189"/>
      <c r="AB136" s="199" t="str">
        <f t="shared" ca="1" si="11"/>
        <v/>
      </c>
      <c r="AC136" s="277"/>
      <c r="AD136" s="262"/>
      <c r="AE136" s="431"/>
      <c r="AF136" s="434"/>
      <c r="AG136" s="431"/>
      <c r="AH136" s="267"/>
    </row>
    <row r="137" spans="1:34" ht="63" customHeight="1" x14ac:dyDescent="0.25">
      <c r="A137" s="203" t="s">
        <v>1114</v>
      </c>
      <c r="B137" s="193"/>
      <c r="C137" s="186"/>
      <c r="D137" s="187"/>
      <c r="E137" s="268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71" t="str">
        <f t="shared" si="13"/>
        <v/>
      </c>
      <c r="P137" s="550" t="str">
        <f>IFERROR(O137-IFERROR(IF(L137="avec arrêt",IF(MONTH(N137)&lt;=mois_stat,0,N137-EOMONTH('Stats AT BDD'!$Y$2,0)),""),""),"")</f>
        <v/>
      </c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2"/>
        <v/>
      </c>
      <c r="AA137" s="189"/>
      <c r="AB137" s="199" t="str">
        <f t="shared" ca="1" si="11"/>
        <v/>
      </c>
      <c r="AC137" s="277"/>
      <c r="AD137" s="262"/>
      <c r="AE137" s="431"/>
      <c r="AF137" s="434"/>
      <c r="AG137" s="431"/>
      <c r="AH137" s="267"/>
    </row>
    <row r="138" spans="1:34" ht="63" customHeight="1" x14ac:dyDescent="0.25">
      <c r="A138" s="203" t="s">
        <v>1115</v>
      </c>
      <c r="B138" s="193"/>
      <c r="C138" s="186"/>
      <c r="D138" s="187"/>
      <c r="E138" s="268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71" t="str">
        <f t="shared" si="13"/>
        <v/>
      </c>
      <c r="P138" s="550" t="str">
        <f>IFERROR(O138-IFERROR(IF(L138="avec arrêt",IF(MONTH(N138)&lt;=mois_stat,0,N138-EOMONTH('Stats AT BDD'!$Y$2,0)),""),""),"")</f>
        <v/>
      </c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2"/>
        <v/>
      </c>
      <c r="AA138" s="189"/>
      <c r="AB138" s="199" t="str">
        <f t="shared" ca="1" si="11"/>
        <v/>
      </c>
      <c r="AC138" s="277"/>
      <c r="AD138" s="262"/>
      <c r="AE138" s="431"/>
      <c r="AF138" s="434"/>
      <c r="AG138" s="431"/>
      <c r="AH138" s="267"/>
    </row>
    <row r="139" spans="1:34" ht="63" customHeight="1" x14ac:dyDescent="0.25">
      <c r="A139" s="203" t="s">
        <v>1116</v>
      </c>
      <c r="B139" s="193"/>
      <c r="C139" s="186"/>
      <c r="D139" s="187"/>
      <c r="E139" s="268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71" t="str">
        <f t="shared" si="13"/>
        <v/>
      </c>
      <c r="P139" s="550" t="str">
        <f>IFERROR(O139-IFERROR(IF(L139="avec arrêt",IF(MONTH(N139)&lt;=mois_stat,0,N139-EOMONTH('Stats AT BDD'!$Y$2,0)),""),""),"")</f>
        <v/>
      </c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2"/>
        <v/>
      </c>
      <c r="AA139" s="189"/>
      <c r="AB139" s="199" t="str">
        <f t="shared" ca="1" si="11"/>
        <v/>
      </c>
      <c r="AC139" s="277"/>
      <c r="AD139" s="262"/>
      <c r="AE139" s="431"/>
      <c r="AF139" s="434"/>
      <c r="AG139" s="431"/>
      <c r="AH139" s="267"/>
    </row>
    <row r="140" spans="1:34" ht="63" customHeight="1" x14ac:dyDescent="0.25">
      <c r="A140" s="203" t="s">
        <v>1117</v>
      </c>
      <c r="B140" s="193"/>
      <c r="C140" s="186"/>
      <c r="D140" s="187"/>
      <c r="E140" s="268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71" t="str">
        <f t="shared" si="13"/>
        <v/>
      </c>
      <c r="P140" s="550" t="str">
        <f>IFERROR(O140-IFERROR(IF(L140="avec arrêt",IF(MONTH(N140)&lt;=mois_stat,0,N140-EOMONTH('Stats AT BDD'!$Y$2,0)),""),""),"")</f>
        <v/>
      </c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2"/>
        <v/>
      </c>
      <c r="AA140" s="189"/>
      <c r="AB140" s="199" t="str">
        <f t="shared" ca="1" si="11"/>
        <v/>
      </c>
      <c r="AC140" s="277"/>
      <c r="AD140" s="262"/>
      <c r="AE140" s="431"/>
      <c r="AF140" s="434"/>
      <c r="AG140" s="431"/>
      <c r="AH140" s="267"/>
    </row>
    <row r="141" spans="1:34" ht="63" customHeight="1" x14ac:dyDescent="0.25">
      <c r="A141" s="203" t="s">
        <v>1118</v>
      </c>
      <c r="B141" s="193"/>
      <c r="C141" s="186"/>
      <c r="D141" s="187"/>
      <c r="E141" s="268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71" t="str">
        <f t="shared" si="13"/>
        <v/>
      </c>
      <c r="P141" s="550" t="str">
        <f>IFERROR(O141-IFERROR(IF(L141="avec arrêt",IF(MONTH(N141)&lt;=mois_stat,0,N141-EOMONTH('Stats AT BDD'!$Y$2,0)),""),""),"")</f>
        <v/>
      </c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2"/>
        <v/>
      </c>
      <c r="AA141" s="189"/>
      <c r="AB141" s="199" t="str">
        <f t="shared" ca="1" si="11"/>
        <v/>
      </c>
      <c r="AC141" s="277"/>
      <c r="AD141" s="262"/>
      <c r="AE141" s="431"/>
      <c r="AF141" s="434"/>
      <c r="AG141" s="431"/>
      <c r="AH141" s="267"/>
    </row>
    <row r="142" spans="1:34" ht="63" customHeight="1" x14ac:dyDescent="0.25">
      <c r="A142" s="203" t="s">
        <v>1119</v>
      </c>
      <c r="B142" s="193"/>
      <c r="C142" s="186"/>
      <c r="D142" s="187"/>
      <c r="E142" s="268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71" t="str">
        <f t="shared" si="13"/>
        <v/>
      </c>
      <c r="P142" s="550" t="str">
        <f>IFERROR(O142-IFERROR(IF(L142="avec arrêt",IF(MONTH(N142)&lt;=mois_stat,0,N142-EOMONTH('Stats AT BDD'!$Y$2,0)),""),""),"")</f>
        <v/>
      </c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2"/>
        <v/>
      </c>
      <c r="AA142" s="189"/>
      <c r="AB142" s="199" t="str">
        <f t="shared" ca="1" si="11"/>
        <v/>
      </c>
      <c r="AC142" s="277"/>
      <c r="AD142" s="262"/>
      <c r="AE142" s="431"/>
      <c r="AF142" s="434"/>
      <c r="AG142" s="431"/>
      <c r="AH142" s="267"/>
    </row>
    <row r="143" spans="1:34" ht="63" customHeight="1" x14ac:dyDescent="0.25">
      <c r="A143" s="203" t="s">
        <v>1120</v>
      </c>
      <c r="B143" s="193"/>
      <c r="C143" s="186"/>
      <c r="D143" s="187"/>
      <c r="E143" s="268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71" t="str">
        <f t="shared" si="13"/>
        <v/>
      </c>
      <c r="P143" s="550" t="str">
        <f>IFERROR(O143-IFERROR(IF(L143="avec arrêt",IF(MONTH(N143)&lt;=mois_stat,0,N143-EOMONTH('Stats AT BDD'!$Y$2,0)),""),""),"")</f>
        <v/>
      </c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2"/>
        <v/>
      </c>
      <c r="AA143" s="189"/>
      <c r="AB143" s="199" t="str">
        <f t="shared" ca="1" si="11"/>
        <v/>
      </c>
      <c r="AC143" s="277"/>
      <c r="AD143" s="262"/>
      <c r="AE143" s="431"/>
      <c r="AF143" s="434"/>
      <c r="AG143" s="431"/>
      <c r="AH143" s="267"/>
    </row>
    <row r="144" spans="1:34" ht="63" customHeight="1" x14ac:dyDescent="0.25">
      <c r="A144" s="203" t="s">
        <v>1121</v>
      </c>
      <c r="B144" s="193"/>
      <c r="C144" s="186"/>
      <c r="D144" s="187"/>
      <c r="E144" s="268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71" t="str">
        <f t="shared" si="13"/>
        <v/>
      </c>
      <c r="P144" s="550" t="str">
        <f>IFERROR(O144-IFERROR(IF(L144="avec arrêt",IF(MONTH(N144)&lt;=mois_stat,0,N144-EOMONTH('Stats AT BDD'!$Y$2,0)),""),""),"")</f>
        <v/>
      </c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2"/>
        <v/>
      </c>
      <c r="AA144" s="189"/>
      <c r="AB144" s="199" t="str">
        <f t="shared" ca="1" si="11"/>
        <v/>
      </c>
      <c r="AC144" s="277"/>
      <c r="AD144" s="262"/>
      <c r="AE144" s="431"/>
      <c r="AF144" s="434"/>
      <c r="AG144" s="431"/>
      <c r="AH144" s="267"/>
    </row>
    <row r="145" spans="1:34" ht="63" customHeight="1" x14ac:dyDescent="0.25">
      <c r="A145" s="203" t="s">
        <v>1122</v>
      </c>
      <c r="B145" s="193"/>
      <c r="C145" s="186"/>
      <c r="D145" s="187"/>
      <c r="E145" s="268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71" t="str">
        <f t="shared" si="13"/>
        <v/>
      </c>
      <c r="P145" s="550" t="str">
        <f>IFERROR(O145-IFERROR(IF(L145="avec arrêt",IF(MONTH(N145)&lt;=mois_stat,0,N145-EOMONTH('Stats AT BDD'!$Y$2,0)),""),""),"")</f>
        <v/>
      </c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2"/>
        <v/>
      </c>
      <c r="AA145" s="189"/>
      <c r="AB145" s="199" t="str">
        <f t="shared" ca="1" si="11"/>
        <v/>
      </c>
      <c r="AC145" s="277"/>
      <c r="AD145" s="262"/>
      <c r="AE145" s="431"/>
      <c r="AF145" s="434"/>
      <c r="AG145" s="431"/>
      <c r="AH145" s="267"/>
    </row>
    <row r="146" spans="1:34" ht="63" customHeight="1" x14ac:dyDescent="0.25">
      <c r="A146" s="203" t="s">
        <v>1123</v>
      </c>
      <c r="B146" s="193"/>
      <c r="C146" s="186"/>
      <c r="D146" s="187"/>
      <c r="E146" s="268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71" t="str">
        <f t="shared" si="13"/>
        <v/>
      </c>
      <c r="P146" s="550" t="str">
        <f>IFERROR(O146-IFERROR(IF(L146="avec arrêt",IF(MONTH(N146)&lt;=mois_stat,0,N146-EOMONTH('Stats AT BDD'!$Y$2,0)),""),""),"")</f>
        <v/>
      </c>
      <c r="Q146" s="190"/>
      <c r="R146" s="191"/>
      <c r="S146" s="191"/>
      <c r="T146" s="192"/>
      <c r="U146" s="194"/>
      <c r="V146" s="188"/>
      <c r="W146" s="188"/>
      <c r="X146" s="266"/>
      <c r="Y146" s="272"/>
      <c r="Z146" s="195" t="str">
        <f t="shared" si="12"/>
        <v/>
      </c>
      <c r="AA146" s="189"/>
      <c r="AB146" s="199" t="str">
        <f t="shared" ca="1" si="11"/>
        <v/>
      </c>
      <c r="AC146" s="277"/>
      <c r="AD146" s="262"/>
      <c r="AE146" s="431"/>
      <c r="AF146" s="434"/>
      <c r="AG146" s="431"/>
      <c r="AH146" s="267"/>
    </row>
    <row r="147" spans="1:34" ht="63" customHeight="1" x14ac:dyDescent="0.25">
      <c r="A147" s="203" t="s">
        <v>1124</v>
      </c>
      <c r="B147" s="193"/>
      <c r="C147" s="186"/>
      <c r="D147" s="187"/>
      <c r="E147" s="268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71" t="str">
        <f t="shared" si="13"/>
        <v/>
      </c>
      <c r="P147" s="550" t="str">
        <f>IFERROR(O147-IFERROR(IF(L147="avec arrêt",IF(MONTH(N147)&lt;=mois_stat,0,N147-EOMONTH('Stats AT BDD'!$Y$2,0)),""),""),"")</f>
        <v/>
      </c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2"/>
        <v/>
      </c>
      <c r="AA147" s="189"/>
      <c r="AB147" s="199" t="str">
        <f t="shared" ref="AB147:AB210" ca="1" si="14">IF(ISBLANK(AA147),IF(Z147&lt;TODAY(),"non",""),IF(AA147&gt;Z147,"non","oui"))</f>
        <v/>
      </c>
      <c r="AC147" s="277"/>
      <c r="AD147" s="262"/>
      <c r="AE147" s="431"/>
      <c r="AF147" s="434"/>
      <c r="AG147" s="431"/>
      <c r="AH147" s="267"/>
    </row>
    <row r="148" spans="1:34" ht="63" customHeight="1" x14ac:dyDescent="0.25">
      <c r="A148" s="203" t="s">
        <v>1125</v>
      </c>
      <c r="B148" s="193"/>
      <c r="C148" s="186"/>
      <c r="D148" s="187"/>
      <c r="E148" s="268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71" t="str">
        <f t="shared" si="13"/>
        <v/>
      </c>
      <c r="P148" s="550" t="str">
        <f>IFERROR(O148-IFERROR(IF(L148="avec arrêt",IF(MONTH(N148)&lt;=mois_stat,0,N148-EOMONTH('Stats AT BDD'!$Y$2,0)),""),""),"")</f>
        <v/>
      </c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2"/>
        <v/>
      </c>
      <c r="AA148" s="189"/>
      <c r="AB148" s="199" t="str">
        <f t="shared" ca="1" si="14"/>
        <v/>
      </c>
      <c r="AC148" s="277"/>
      <c r="AD148" s="262"/>
      <c r="AE148" s="431"/>
      <c r="AF148" s="434"/>
      <c r="AG148" s="431"/>
      <c r="AH148" s="267"/>
    </row>
    <row r="149" spans="1:34" ht="63" customHeight="1" x14ac:dyDescent="0.25">
      <c r="A149" s="203" t="s">
        <v>1126</v>
      </c>
      <c r="B149" s="193"/>
      <c r="C149" s="186"/>
      <c r="D149" s="187"/>
      <c r="E149" s="268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71" t="str">
        <f t="shared" si="13"/>
        <v/>
      </c>
      <c r="P149" s="550" t="str">
        <f>IFERROR(O149-IFERROR(IF(L149="avec arrêt",IF(MONTH(N149)&lt;=mois_stat,0,N149-EOMONTH('Stats AT BDD'!$Y$2,0)),""),""),"")</f>
        <v/>
      </c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2"/>
        <v/>
      </c>
      <c r="AA149" s="189"/>
      <c r="AB149" s="199" t="str">
        <f t="shared" ca="1" si="14"/>
        <v/>
      </c>
      <c r="AC149" s="277"/>
      <c r="AD149" s="262"/>
      <c r="AE149" s="431"/>
      <c r="AF149" s="434"/>
      <c r="AG149" s="431"/>
      <c r="AH149" s="267"/>
    </row>
    <row r="150" spans="1:34" ht="63" customHeight="1" x14ac:dyDescent="0.25">
      <c r="A150" s="203" t="s">
        <v>1127</v>
      </c>
      <c r="B150" s="193"/>
      <c r="C150" s="186"/>
      <c r="D150" s="187"/>
      <c r="E150" s="268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71" t="str">
        <f t="shared" si="13"/>
        <v/>
      </c>
      <c r="P150" s="550" t="str">
        <f>IFERROR(O150-IFERROR(IF(L150="avec arrêt",IF(MONTH(N150)&lt;=mois_stat,0,N150-EOMONTH('Stats AT BDD'!$Y$2,0)),""),""),"")</f>
        <v/>
      </c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2"/>
        <v/>
      </c>
      <c r="AA150" s="189"/>
      <c r="AB150" s="199" t="str">
        <f t="shared" ca="1" si="14"/>
        <v/>
      </c>
      <c r="AC150" s="277"/>
      <c r="AD150" s="262"/>
      <c r="AE150" s="431"/>
      <c r="AF150" s="434"/>
      <c r="AG150" s="431"/>
      <c r="AH150" s="267"/>
    </row>
    <row r="151" spans="1:34" ht="63" customHeight="1" x14ac:dyDescent="0.25">
      <c r="A151" s="203" t="s">
        <v>1128</v>
      </c>
      <c r="B151" s="193"/>
      <c r="C151" s="186"/>
      <c r="D151" s="187"/>
      <c r="E151" s="268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71" t="str">
        <f t="shared" si="13"/>
        <v/>
      </c>
      <c r="P151" s="550" t="str">
        <f>IFERROR(O151-IFERROR(IF(L151="avec arrêt",IF(MONTH(N151)&lt;=mois_stat,0,N151-EOMONTH('Stats AT BDD'!$Y$2,0)),""),""),"")</f>
        <v/>
      </c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2"/>
        <v/>
      </c>
      <c r="AA151" s="189"/>
      <c r="AB151" s="199" t="str">
        <f t="shared" ca="1" si="14"/>
        <v/>
      </c>
      <c r="AC151" s="277"/>
      <c r="AD151" s="262"/>
      <c r="AE151" s="431"/>
      <c r="AF151" s="434"/>
      <c r="AG151" s="431"/>
      <c r="AH151" s="267"/>
    </row>
    <row r="152" spans="1:34" ht="63" customHeight="1" x14ac:dyDescent="0.25">
      <c r="A152" s="203" t="s">
        <v>1129</v>
      </c>
      <c r="B152" s="193"/>
      <c r="C152" s="186"/>
      <c r="D152" s="187"/>
      <c r="E152" s="268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71" t="str">
        <f t="shared" si="13"/>
        <v/>
      </c>
      <c r="P152" s="550" t="str">
        <f>IFERROR(O152-IFERROR(IF(L152="avec arrêt",IF(MONTH(N152)&lt;=mois_stat,0,N152-EOMONTH('Stats AT BDD'!$Y$2,0)),""),""),"")</f>
        <v/>
      </c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2"/>
        <v/>
      </c>
      <c r="AA152" s="189"/>
      <c r="AB152" s="199" t="str">
        <f t="shared" ca="1" si="14"/>
        <v/>
      </c>
      <c r="AC152" s="277"/>
      <c r="AD152" s="262"/>
      <c r="AE152" s="431"/>
      <c r="AF152" s="434"/>
      <c r="AG152" s="431"/>
      <c r="AH152" s="267"/>
    </row>
    <row r="153" spans="1:34" ht="63" customHeight="1" x14ac:dyDescent="0.25">
      <c r="A153" s="203" t="s">
        <v>1130</v>
      </c>
      <c r="B153" s="193"/>
      <c r="C153" s="186"/>
      <c r="D153" s="187"/>
      <c r="E153" s="268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71" t="str">
        <f t="shared" si="13"/>
        <v/>
      </c>
      <c r="P153" s="550" t="str">
        <f>IFERROR(O153-IFERROR(IF(L153="avec arrêt",IF(MONTH(N153)&lt;=mois_stat,0,N153-EOMONTH('Stats AT BDD'!$Y$2,0)),""),""),"")</f>
        <v/>
      </c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2"/>
        <v/>
      </c>
      <c r="AA153" s="189"/>
      <c r="AB153" s="199" t="str">
        <f t="shared" ca="1" si="14"/>
        <v/>
      </c>
      <c r="AC153" s="277"/>
      <c r="AD153" s="262"/>
      <c r="AE153" s="431"/>
      <c r="AF153" s="434"/>
      <c r="AG153" s="431"/>
      <c r="AH153" s="267"/>
    </row>
    <row r="154" spans="1:34" ht="63" customHeight="1" x14ac:dyDescent="0.25">
      <c r="A154" s="203" t="s">
        <v>1131</v>
      </c>
      <c r="B154" s="193"/>
      <c r="C154" s="186"/>
      <c r="D154" s="187"/>
      <c r="E154" s="268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71" t="str">
        <f t="shared" si="13"/>
        <v/>
      </c>
      <c r="P154" s="550" t="str">
        <f>IFERROR(O154-IFERROR(IF(L154="avec arrêt",IF(MONTH(N154)&lt;=mois_stat,0,N154-EOMONTH('Stats AT BDD'!$Y$2,0)),""),""),"")</f>
        <v/>
      </c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2"/>
        <v/>
      </c>
      <c r="AA154" s="189"/>
      <c r="AB154" s="199" t="str">
        <f t="shared" ca="1" si="14"/>
        <v/>
      </c>
      <c r="AC154" s="277"/>
      <c r="AD154" s="262"/>
      <c r="AE154" s="431"/>
      <c r="AF154" s="434"/>
      <c r="AG154" s="431"/>
      <c r="AH154" s="267"/>
    </row>
    <row r="155" spans="1:34" ht="63" customHeight="1" x14ac:dyDescent="0.25">
      <c r="A155" s="203" t="s">
        <v>1132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71" t="str">
        <f t="shared" si="13"/>
        <v/>
      </c>
      <c r="P155" s="550" t="str">
        <f>IFERROR(O155-IFERROR(IF(L155="avec arrêt",IF(MONTH(N155)&lt;=mois_stat,0,N155-EOMONTH('Stats AT BDD'!$Y$2,0)),""),""),"")</f>
        <v/>
      </c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2"/>
        <v/>
      </c>
      <c r="AA155" s="189"/>
      <c r="AB155" s="199" t="str">
        <f t="shared" ca="1" si="14"/>
        <v/>
      </c>
      <c r="AC155" s="277"/>
      <c r="AD155" s="262"/>
      <c r="AE155" s="431"/>
      <c r="AF155" s="434"/>
      <c r="AG155" s="431"/>
      <c r="AH155" s="267"/>
    </row>
    <row r="156" spans="1:34" ht="63" customHeight="1" x14ac:dyDescent="0.25">
      <c r="A156" s="203" t="s">
        <v>1133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71" t="str">
        <f t="shared" si="13"/>
        <v/>
      </c>
      <c r="P156" s="550" t="str">
        <f>IFERROR(O156-IFERROR(IF(L156="avec arrêt",IF(MONTH(N156)&lt;=mois_stat,0,N156-EOMONTH('Stats AT BDD'!$Y$2,0)),""),""),"")</f>
        <v/>
      </c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2"/>
        <v/>
      </c>
      <c r="AA156" s="189"/>
      <c r="AB156" s="199" t="str">
        <f t="shared" ca="1" si="14"/>
        <v/>
      </c>
      <c r="AC156" s="277"/>
      <c r="AD156" s="262"/>
      <c r="AE156" s="431"/>
      <c r="AF156" s="434"/>
      <c r="AG156" s="431"/>
      <c r="AH156" s="267"/>
    </row>
    <row r="157" spans="1:34" ht="63" customHeight="1" x14ac:dyDescent="0.25">
      <c r="A157" s="203" t="s">
        <v>1134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71" t="str">
        <f t="shared" si="13"/>
        <v/>
      </c>
      <c r="P157" s="550" t="str">
        <f>IFERROR(O157-IFERROR(IF(L157="avec arrêt",IF(MONTH(N157)&lt;=mois_stat,0,N157-EOMONTH('Stats AT BDD'!$Y$2,0)),""),""),"")</f>
        <v/>
      </c>
      <c r="Q157" s="190"/>
      <c r="R157" s="191"/>
      <c r="S157" s="191"/>
      <c r="T157" s="192"/>
      <c r="U157" s="194"/>
      <c r="V157" s="188"/>
      <c r="W157" s="188"/>
      <c r="X157" s="266"/>
      <c r="Y157" s="198"/>
      <c r="Z157" s="195" t="str">
        <f t="shared" si="12"/>
        <v/>
      </c>
      <c r="AA157" s="189"/>
      <c r="AB157" s="199" t="str">
        <f t="shared" ca="1" si="14"/>
        <v/>
      </c>
      <c r="AC157" s="277"/>
      <c r="AD157" s="262"/>
      <c r="AE157" s="431"/>
      <c r="AF157" s="434"/>
      <c r="AG157" s="431"/>
      <c r="AH157" s="267"/>
    </row>
    <row r="158" spans="1:34" ht="63" customHeight="1" x14ac:dyDescent="0.25">
      <c r="A158" s="203" t="s">
        <v>1135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71" t="str">
        <f t="shared" si="13"/>
        <v/>
      </c>
      <c r="P158" s="550" t="str">
        <f>IFERROR(O158-IFERROR(IF(L158="avec arrêt",IF(MONTH(N158)&lt;=mois_stat,0,N158-EOMONTH('Stats AT BDD'!$Y$2,0)),""),""),"")</f>
        <v/>
      </c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5">IF(ISBLANK(I158),"",I158+7)</f>
        <v/>
      </c>
      <c r="AA158" s="189"/>
      <c r="AB158" s="199" t="str">
        <f t="shared" ca="1" si="14"/>
        <v/>
      </c>
      <c r="AC158" s="277"/>
      <c r="AD158" s="262"/>
      <c r="AE158" s="431"/>
      <c r="AF158" s="434"/>
      <c r="AG158" s="431"/>
      <c r="AH158" s="267"/>
    </row>
    <row r="159" spans="1:34" ht="63" customHeight="1" x14ac:dyDescent="0.25">
      <c r="A159" s="203" t="s">
        <v>1136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71" t="str">
        <f t="shared" si="13"/>
        <v/>
      </c>
      <c r="P159" s="550" t="str">
        <f>IFERROR(O159-IFERROR(IF(L159="avec arrêt",IF(MONTH(N159)&lt;=mois_stat,0,N159-EOMONTH('Stats AT BDD'!$Y$2,0)),""),""),"")</f>
        <v/>
      </c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5"/>
        <v/>
      </c>
      <c r="AA159" s="189"/>
      <c r="AB159" s="199" t="str">
        <f t="shared" ca="1" si="14"/>
        <v/>
      </c>
      <c r="AC159" s="277"/>
      <c r="AD159" s="262"/>
      <c r="AE159" s="431"/>
      <c r="AF159" s="434"/>
      <c r="AG159" s="431"/>
      <c r="AH159" s="267"/>
    </row>
    <row r="160" spans="1:34" ht="63" customHeight="1" x14ac:dyDescent="0.25">
      <c r="A160" s="203" t="s">
        <v>1137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71" t="str">
        <f t="shared" si="13"/>
        <v/>
      </c>
      <c r="P160" s="550" t="str">
        <f>IFERROR(O160-IFERROR(IF(L160="avec arrêt",IF(MONTH(N160)&lt;=mois_stat,0,N160-EOMONTH('Stats AT BDD'!$Y$2,0)),""),""),"")</f>
        <v/>
      </c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5"/>
        <v/>
      </c>
      <c r="AA160" s="189"/>
      <c r="AB160" s="199" t="str">
        <f t="shared" ca="1" si="14"/>
        <v/>
      </c>
      <c r="AC160" s="277"/>
      <c r="AD160" s="262"/>
      <c r="AE160" s="431"/>
      <c r="AF160" s="434"/>
      <c r="AG160" s="431"/>
      <c r="AH160" s="267"/>
    </row>
    <row r="161" spans="1:34" ht="63" customHeight="1" x14ac:dyDescent="0.25">
      <c r="A161" s="203" t="s">
        <v>1138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71" t="str">
        <f t="shared" si="13"/>
        <v/>
      </c>
      <c r="P161" s="550" t="str">
        <f>IFERROR(O161-IFERROR(IF(L161="avec arrêt",IF(MONTH(N161)&lt;=mois_stat,0,N161-EOMONTH('Stats AT BDD'!$Y$2,0)),""),""),"")</f>
        <v/>
      </c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5"/>
        <v/>
      </c>
      <c r="AA161" s="189"/>
      <c r="AB161" s="199" t="str">
        <f t="shared" ca="1" si="14"/>
        <v/>
      </c>
      <c r="AC161" s="277"/>
      <c r="AD161" s="262"/>
      <c r="AE161" s="431"/>
      <c r="AF161" s="434"/>
      <c r="AG161" s="431"/>
      <c r="AH161" s="267"/>
    </row>
    <row r="162" spans="1:34" ht="63" customHeight="1" x14ac:dyDescent="0.25">
      <c r="A162" s="203" t="s">
        <v>1139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71" t="str">
        <f t="shared" si="13"/>
        <v/>
      </c>
      <c r="P162" s="550" t="str">
        <f>IFERROR(O162-IFERROR(IF(L162="avec arrêt",IF(MONTH(N162)&lt;=mois_stat,0,N162-EOMONTH('Stats AT BDD'!$Y$2,0)),""),""),"")</f>
        <v/>
      </c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5"/>
        <v/>
      </c>
      <c r="AA162" s="189"/>
      <c r="AB162" s="199" t="str">
        <f t="shared" ca="1" si="14"/>
        <v/>
      </c>
      <c r="AC162" s="277"/>
      <c r="AD162" s="262"/>
      <c r="AE162" s="431"/>
      <c r="AF162" s="434"/>
      <c r="AG162" s="431"/>
      <c r="AH162" s="267"/>
    </row>
    <row r="163" spans="1:34" ht="63" customHeight="1" x14ac:dyDescent="0.25">
      <c r="A163" s="203" t="s">
        <v>1140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71" t="str">
        <f t="shared" si="13"/>
        <v/>
      </c>
      <c r="P163" s="550" t="str">
        <f>IFERROR(O163-IFERROR(IF(L163="avec arrêt",IF(MONTH(N163)&lt;=mois_stat,0,N163-EOMONTH('Stats AT BDD'!$Y$2,0)),""),""),"")</f>
        <v/>
      </c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5"/>
        <v/>
      </c>
      <c r="AA163" s="189"/>
      <c r="AB163" s="199" t="str">
        <f t="shared" ca="1" si="14"/>
        <v/>
      </c>
      <c r="AC163" s="277"/>
      <c r="AD163" s="262"/>
      <c r="AE163" s="431"/>
      <c r="AF163" s="434"/>
      <c r="AG163" s="431"/>
      <c r="AH163" s="267"/>
    </row>
    <row r="164" spans="1:34" ht="63" customHeight="1" x14ac:dyDescent="0.25">
      <c r="A164" s="203" t="s">
        <v>1141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71" t="str">
        <f t="shared" si="13"/>
        <v/>
      </c>
      <c r="P164" s="550" t="str">
        <f>IFERROR(O164-IFERROR(IF(L164="avec arrêt",IF(MONTH(N164)&lt;=mois_stat,0,N164-EOMONTH('Stats AT BDD'!$Y$2,0)),""),""),"")</f>
        <v/>
      </c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5"/>
        <v/>
      </c>
      <c r="AA164" s="189"/>
      <c r="AB164" s="199" t="str">
        <f t="shared" ca="1" si="14"/>
        <v/>
      </c>
      <c r="AC164" s="277"/>
      <c r="AD164" s="262"/>
      <c r="AE164" s="431"/>
      <c r="AF164" s="434"/>
      <c r="AG164" s="431"/>
      <c r="AH164" s="267"/>
    </row>
    <row r="165" spans="1:34" ht="63" customHeight="1" x14ac:dyDescent="0.25">
      <c r="A165" s="203" t="s">
        <v>1142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71" t="str">
        <f t="shared" si="13"/>
        <v/>
      </c>
      <c r="P165" s="550" t="str">
        <f>IFERROR(O165-IFERROR(IF(L165="avec arrêt",IF(MONTH(N165)&lt;=mois_stat,0,N165-EOMONTH('Stats AT BDD'!$Y$2,0)),""),""),"")</f>
        <v/>
      </c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5"/>
        <v/>
      </c>
      <c r="AA165" s="189"/>
      <c r="AB165" s="199" t="str">
        <f t="shared" ca="1" si="14"/>
        <v/>
      </c>
      <c r="AC165" s="277"/>
      <c r="AD165" s="262"/>
      <c r="AE165" s="431"/>
      <c r="AF165" s="434"/>
      <c r="AG165" s="431"/>
      <c r="AH165" s="267"/>
    </row>
    <row r="166" spans="1:34" ht="63" customHeight="1" x14ac:dyDescent="0.25">
      <c r="A166" s="203" t="s">
        <v>1143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71" t="str">
        <f t="shared" si="13"/>
        <v/>
      </c>
      <c r="P166" s="550" t="str">
        <f>IFERROR(O166-IFERROR(IF(L166="avec arrêt",IF(MONTH(N166)&lt;=mois_stat,0,N166-EOMONTH('Stats AT BDD'!$Y$2,0)),""),""),"")</f>
        <v/>
      </c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5"/>
        <v/>
      </c>
      <c r="AA166" s="189"/>
      <c r="AB166" s="199" t="str">
        <f t="shared" ca="1" si="14"/>
        <v/>
      </c>
      <c r="AC166" s="277"/>
      <c r="AD166" s="262"/>
      <c r="AE166" s="431"/>
      <c r="AF166" s="434"/>
      <c r="AG166" s="431"/>
      <c r="AH166" s="267"/>
    </row>
    <row r="167" spans="1:34" ht="63" customHeight="1" x14ac:dyDescent="0.25">
      <c r="A167" s="203" t="s">
        <v>1144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71" t="str">
        <f t="shared" si="13"/>
        <v/>
      </c>
      <c r="P167" s="550" t="str">
        <f>IFERROR(O167-IFERROR(IF(L167="avec arrêt",IF(MONTH(N167)&lt;=mois_stat,0,N167-EOMONTH('Stats AT BDD'!$Y$2,0)),""),""),"")</f>
        <v/>
      </c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5"/>
        <v/>
      </c>
      <c r="AA167" s="189"/>
      <c r="AB167" s="199" t="str">
        <f t="shared" ca="1" si="14"/>
        <v/>
      </c>
      <c r="AC167" s="277"/>
      <c r="AD167" s="262"/>
      <c r="AE167" s="431"/>
      <c r="AF167" s="434"/>
      <c r="AG167" s="431"/>
      <c r="AH167" s="267"/>
    </row>
    <row r="168" spans="1:34" ht="63" customHeight="1" x14ac:dyDescent="0.25">
      <c r="A168" s="203" t="s">
        <v>1145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71" t="str">
        <f t="shared" si="13"/>
        <v/>
      </c>
      <c r="P168" s="550" t="str">
        <f>IFERROR(O168-IFERROR(IF(L168="avec arrêt",IF(MONTH(N168)&lt;=mois_stat,0,N168-EOMONTH('Stats AT BDD'!$Y$2,0)),""),""),"")</f>
        <v/>
      </c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5"/>
        <v/>
      </c>
      <c r="AA168" s="189"/>
      <c r="AB168" s="199" t="str">
        <f t="shared" ca="1" si="14"/>
        <v/>
      </c>
      <c r="AC168" s="277"/>
      <c r="AD168" s="262"/>
      <c r="AE168" s="431"/>
      <c r="AF168" s="434"/>
      <c r="AG168" s="431"/>
      <c r="AH168" s="267"/>
    </row>
    <row r="169" spans="1:34" ht="63" customHeight="1" x14ac:dyDescent="0.25">
      <c r="A169" s="203" t="s">
        <v>1146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71" t="str">
        <f t="shared" si="13"/>
        <v/>
      </c>
      <c r="P169" s="550" t="str">
        <f>IFERROR(O169-IFERROR(IF(L169="avec arrêt",IF(MONTH(N169)&lt;=mois_stat,0,N169-EOMONTH('Stats AT BDD'!$Y$2,0)),""),""),"")</f>
        <v/>
      </c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5"/>
        <v/>
      </c>
      <c r="AA169" s="189"/>
      <c r="AB169" s="199" t="str">
        <f t="shared" ca="1" si="14"/>
        <v/>
      </c>
      <c r="AC169" s="277"/>
      <c r="AD169" s="262"/>
      <c r="AE169" s="431"/>
      <c r="AF169" s="434"/>
      <c r="AG169" s="431"/>
      <c r="AH169" s="267"/>
    </row>
    <row r="170" spans="1:34" ht="63" customHeight="1" x14ac:dyDescent="0.25">
      <c r="A170" s="203" t="s">
        <v>1147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71" t="str">
        <f t="shared" ref="O170:O233" si="16">IF(L170="avec arrêt",(N170-M170)+1,"")</f>
        <v/>
      </c>
      <c r="P170" s="550" t="str">
        <f>IFERROR(O170-IFERROR(IF(L170="avec arrêt",IF(MONTH(N170)&lt;=mois_stat,0,N170-EOMONTH('Stats AT BDD'!$Y$2,0)),""),""),"")</f>
        <v/>
      </c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5"/>
        <v/>
      </c>
      <c r="AA170" s="189"/>
      <c r="AB170" s="199" t="str">
        <f t="shared" ca="1" si="14"/>
        <v/>
      </c>
      <c r="AC170" s="277"/>
      <c r="AD170" s="262"/>
      <c r="AE170" s="431"/>
      <c r="AF170" s="434"/>
      <c r="AG170" s="431"/>
      <c r="AH170" s="267"/>
    </row>
    <row r="171" spans="1:34" ht="63" customHeight="1" x14ac:dyDescent="0.25">
      <c r="A171" s="203" t="s">
        <v>1148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71" t="str">
        <f t="shared" si="16"/>
        <v/>
      </c>
      <c r="P171" s="550" t="str">
        <f>IFERROR(O171-IFERROR(IF(L171="avec arrêt",IF(MONTH(N171)&lt;=mois_stat,0,N171-EOMONTH('Stats AT BDD'!$Y$2,0)),""),""),"")</f>
        <v/>
      </c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5"/>
        <v/>
      </c>
      <c r="AA171" s="189"/>
      <c r="AB171" s="199" t="str">
        <f t="shared" ca="1" si="14"/>
        <v/>
      </c>
      <c r="AC171" s="277"/>
      <c r="AD171" s="262"/>
      <c r="AE171" s="431"/>
      <c r="AF171" s="434"/>
      <c r="AG171" s="431"/>
      <c r="AH171" s="267"/>
    </row>
    <row r="172" spans="1:34" ht="63" customHeight="1" x14ac:dyDescent="0.25">
      <c r="A172" s="203" t="s">
        <v>1149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71" t="str">
        <f t="shared" si="16"/>
        <v/>
      </c>
      <c r="P172" s="550" t="str">
        <f>IFERROR(O172-IFERROR(IF(L172="avec arrêt",IF(MONTH(N172)&lt;=mois_stat,0,N172-EOMONTH('Stats AT BDD'!$Y$2,0)),""),""),"")</f>
        <v/>
      </c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5"/>
        <v/>
      </c>
      <c r="AA172" s="189"/>
      <c r="AB172" s="199" t="str">
        <f t="shared" ca="1" si="14"/>
        <v/>
      </c>
      <c r="AC172" s="277"/>
      <c r="AD172" s="262"/>
      <c r="AE172" s="431"/>
      <c r="AF172" s="434"/>
      <c r="AG172" s="431"/>
      <c r="AH172" s="267"/>
    </row>
    <row r="173" spans="1:34" ht="63" customHeight="1" x14ac:dyDescent="0.25">
      <c r="A173" s="203" t="s">
        <v>1150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71" t="str">
        <f t="shared" si="16"/>
        <v/>
      </c>
      <c r="P173" s="550" t="str">
        <f>IFERROR(O173-IFERROR(IF(L173="avec arrêt",IF(MONTH(N173)&lt;=mois_stat,0,N173-EOMONTH('Stats AT BDD'!$Y$2,0)),""),""),"")</f>
        <v/>
      </c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5"/>
        <v/>
      </c>
      <c r="AA173" s="189"/>
      <c r="AB173" s="199" t="str">
        <f t="shared" ca="1" si="14"/>
        <v/>
      </c>
      <c r="AC173" s="277"/>
      <c r="AD173" s="262"/>
      <c r="AE173" s="431"/>
      <c r="AF173" s="434"/>
      <c r="AG173" s="431"/>
      <c r="AH173" s="267"/>
    </row>
    <row r="174" spans="1:34" ht="63" customHeight="1" x14ac:dyDescent="0.25">
      <c r="A174" s="203" t="s">
        <v>1151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71" t="str">
        <f t="shared" si="16"/>
        <v/>
      </c>
      <c r="P174" s="550" t="str">
        <f>IFERROR(O174-IFERROR(IF(L174="avec arrêt",IF(MONTH(N174)&lt;=mois_stat,0,N174-EOMONTH('Stats AT BDD'!$Y$2,0)),""),""),"")</f>
        <v/>
      </c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5"/>
        <v/>
      </c>
      <c r="AA174" s="189"/>
      <c r="AB174" s="199" t="str">
        <f t="shared" ca="1" si="14"/>
        <v/>
      </c>
      <c r="AC174" s="277"/>
      <c r="AD174" s="262"/>
      <c r="AE174" s="431"/>
      <c r="AF174" s="434"/>
      <c r="AG174" s="431"/>
      <c r="AH174" s="267"/>
    </row>
    <row r="175" spans="1:34" ht="63" customHeight="1" x14ac:dyDescent="0.25">
      <c r="A175" s="203" t="s">
        <v>1152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71" t="str">
        <f t="shared" si="16"/>
        <v/>
      </c>
      <c r="P175" s="550" t="str">
        <f>IFERROR(O175-IFERROR(IF(L175="avec arrêt",IF(MONTH(N175)&lt;=mois_stat,0,N175-EOMONTH('Stats AT BDD'!$Y$2,0)),""),""),"")</f>
        <v/>
      </c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5"/>
        <v/>
      </c>
      <c r="AA175" s="189"/>
      <c r="AB175" s="199" t="str">
        <f t="shared" ca="1" si="14"/>
        <v/>
      </c>
      <c r="AC175" s="277"/>
      <c r="AD175" s="262"/>
      <c r="AE175" s="431"/>
      <c r="AF175" s="434"/>
      <c r="AG175" s="431"/>
      <c r="AH175" s="267"/>
    </row>
    <row r="176" spans="1:34" ht="63" customHeight="1" x14ac:dyDescent="0.25">
      <c r="A176" s="203" t="s">
        <v>1153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71" t="str">
        <f t="shared" si="16"/>
        <v/>
      </c>
      <c r="P176" s="550" t="str">
        <f>IFERROR(O176-IFERROR(IF(L176="avec arrêt",IF(MONTH(N176)&lt;=mois_stat,0,N176-EOMONTH('Stats AT BDD'!$Y$2,0)),""),""),"")</f>
        <v/>
      </c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5"/>
        <v/>
      </c>
      <c r="AA176" s="189"/>
      <c r="AB176" s="199" t="str">
        <f t="shared" ca="1" si="14"/>
        <v/>
      </c>
      <c r="AC176" s="277"/>
      <c r="AD176" s="262"/>
      <c r="AE176" s="431"/>
      <c r="AF176" s="434"/>
      <c r="AG176" s="431"/>
      <c r="AH176" s="267"/>
    </row>
    <row r="177" spans="1:34" ht="63" customHeight="1" x14ac:dyDescent="0.25">
      <c r="A177" s="203" t="s">
        <v>1154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71" t="str">
        <f t="shared" si="16"/>
        <v/>
      </c>
      <c r="P177" s="550" t="str">
        <f>IFERROR(O177-IFERROR(IF(L177="avec arrêt",IF(MONTH(N177)&lt;=mois_stat,0,N177-EOMONTH('Stats AT BDD'!$Y$2,0)),""),""),"")</f>
        <v/>
      </c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5"/>
        <v/>
      </c>
      <c r="AA177" s="189"/>
      <c r="AB177" s="199" t="str">
        <f t="shared" ca="1" si="14"/>
        <v/>
      </c>
      <c r="AC177" s="277"/>
      <c r="AD177" s="262"/>
      <c r="AE177" s="431"/>
      <c r="AF177" s="434"/>
      <c r="AG177" s="431"/>
      <c r="AH177" s="267"/>
    </row>
    <row r="178" spans="1:34" ht="63" customHeight="1" x14ac:dyDescent="0.25">
      <c r="A178" s="203" t="s">
        <v>1155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71" t="str">
        <f t="shared" si="16"/>
        <v/>
      </c>
      <c r="P178" s="550" t="str">
        <f>IFERROR(O178-IFERROR(IF(L178="avec arrêt",IF(MONTH(N178)&lt;=mois_stat,0,N178-EOMONTH('Stats AT BDD'!$Y$2,0)),""),""),"")</f>
        <v/>
      </c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5"/>
        <v/>
      </c>
      <c r="AA178" s="189"/>
      <c r="AB178" s="199" t="str">
        <f t="shared" ca="1" si="14"/>
        <v/>
      </c>
      <c r="AC178" s="277"/>
      <c r="AD178" s="262"/>
      <c r="AE178" s="431"/>
      <c r="AF178" s="434"/>
      <c r="AG178" s="431"/>
      <c r="AH178" s="267"/>
    </row>
    <row r="179" spans="1:34" ht="63" customHeight="1" x14ac:dyDescent="0.25">
      <c r="A179" s="203" t="s">
        <v>1156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71" t="str">
        <f t="shared" si="16"/>
        <v/>
      </c>
      <c r="P179" s="550" t="str">
        <f>IFERROR(O179-IFERROR(IF(L179="avec arrêt",IF(MONTH(N179)&lt;=mois_stat,0,N179-EOMONTH('Stats AT BDD'!$Y$2,0)),""),""),"")</f>
        <v/>
      </c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5"/>
        <v/>
      </c>
      <c r="AA179" s="189"/>
      <c r="AB179" s="199" t="str">
        <f t="shared" ca="1" si="14"/>
        <v/>
      </c>
      <c r="AC179" s="277"/>
      <c r="AD179" s="262"/>
      <c r="AE179" s="431"/>
      <c r="AF179" s="434"/>
      <c r="AG179" s="431"/>
      <c r="AH179" s="267"/>
    </row>
    <row r="180" spans="1:34" ht="63" customHeight="1" x14ac:dyDescent="0.25">
      <c r="A180" s="203" t="s">
        <v>1157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71" t="str">
        <f t="shared" si="16"/>
        <v/>
      </c>
      <c r="P180" s="550" t="str">
        <f>IFERROR(O180-IFERROR(IF(L180="avec arrêt",IF(MONTH(N180)&lt;=mois_stat,0,N180-EOMONTH('Stats AT BDD'!$Y$2,0)),""),""),"")</f>
        <v/>
      </c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5"/>
        <v/>
      </c>
      <c r="AA180" s="189"/>
      <c r="AB180" s="199" t="str">
        <f t="shared" ca="1" si="14"/>
        <v/>
      </c>
      <c r="AC180" s="277"/>
      <c r="AD180" s="262"/>
      <c r="AE180" s="431"/>
      <c r="AF180" s="434"/>
      <c r="AG180" s="431"/>
      <c r="AH180" s="267"/>
    </row>
    <row r="181" spans="1:34" ht="63" customHeight="1" x14ac:dyDescent="0.25">
      <c r="A181" s="203" t="s">
        <v>1158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71" t="str">
        <f t="shared" si="16"/>
        <v/>
      </c>
      <c r="P181" s="550" t="str">
        <f>IFERROR(O181-IFERROR(IF(L181="avec arrêt",IF(MONTH(N181)&lt;=mois_stat,0,N181-EOMONTH('Stats AT BDD'!$Y$2,0)),""),""),"")</f>
        <v/>
      </c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5"/>
        <v/>
      </c>
      <c r="AA181" s="189"/>
      <c r="AB181" s="199" t="str">
        <f t="shared" ca="1" si="14"/>
        <v/>
      </c>
      <c r="AC181" s="277"/>
      <c r="AD181" s="262"/>
      <c r="AE181" s="431"/>
      <c r="AF181" s="434"/>
      <c r="AG181" s="431"/>
      <c r="AH181" s="267"/>
    </row>
    <row r="182" spans="1:34" ht="63" customHeight="1" x14ac:dyDescent="0.25">
      <c r="A182" s="203" t="s">
        <v>1159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71" t="str">
        <f t="shared" si="16"/>
        <v/>
      </c>
      <c r="P182" s="550" t="str">
        <f>IFERROR(O182-IFERROR(IF(L182="avec arrêt",IF(MONTH(N182)&lt;=mois_stat,0,N182-EOMONTH('Stats AT BDD'!$Y$2,0)),""),""),"")</f>
        <v/>
      </c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5"/>
        <v/>
      </c>
      <c r="AA182" s="189"/>
      <c r="AB182" s="199" t="str">
        <f t="shared" ca="1" si="14"/>
        <v/>
      </c>
      <c r="AC182" s="277"/>
      <c r="AD182" s="262"/>
      <c r="AE182" s="431"/>
      <c r="AF182" s="434"/>
      <c r="AG182" s="431"/>
      <c r="AH182" s="267"/>
    </row>
    <row r="183" spans="1:34" ht="63" customHeight="1" x14ac:dyDescent="0.25">
      <c r="A183" s="203" t="s">
        <v>1160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71" t="str">
        <f t="shared" si="16"/>
        <v/>
      </c>
      <c r="P183" s="550" t="str">
        <f>IFERROR(O183-IFERROR(IF(L183="avec arrêt",IF(MONTH(N183)&lt;=mois_stat,0,N183-EOMONTH('Stats AT BDD'!$Y$2,0)),""),""),"")</f>
        <v/>
      </c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5"/>
        <v/>
      </c>
      <c r="AA183" s="189"/>
      <c r="AB183" s="199" t="str">
        <f t="shared" ca="1" si="14"/>
        <v/>
      </c>
      <c r="AC183" s="277"/>
      <c r="AD183" s="262"/>
      <c r="AE183" s="431"/>
      <c r="AF183" s="434"/>
      <c r="AG183" s="431"/>
      <c r="AH183" s="267"/>
    </row>
    <row r="184" spans="1:34" ht="63" customHeight="1" x14ac:dyDescent="0.25">
      <c r="A184" s="203" t="s">
        <v>1161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71" t="str">
        <f t="shared" si="16"/>
        <v/>
      </c>
      <c r="P184" s="550" t="str">
        <f>IFERROR(O184-IFERROR(IF(L184="avec arrêt",IF(MONTH(N184)&lt;=mois_stat,0,N184-EOMONTH('Stats AT BDD'!$Y$2,0)),""),""),"")</f>
        <v/>
      </c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5"/>
        <v/>
      </c>
      <c r="AA184" s="189"/>
      <c r="AB184" s="199" t="str">
        <f t="shared" ca="1" si="14"/>
        <v/>
      </c>
      <c r="AC184" s="277"/>
      <c r="AD184" s="262"/>
      <c r="AE184" s="431"/>
      <c r="AF184" s="434"/>
      <c r="AG184" s="431"/>
      <c r="AH184" s="267"/>
    </row>
    <row r="185" spans="1:34" ht="63" customHeight="1" x14ac:dyDescent="0.25">
      <c r="A185" s="203" t="s">
        <v>1162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71" t="str">
        <f t="shared" si="16"/>
        <v/>
      </c>
      <c r="P185" s="550" t="str">
        <f>IFERROR(O185-IFERROR(IF(L185="avec arrêt",IF(MONTH(N185)&lt;=mois_stat,0,N185-EOMONTH('Stats AT BDD'!$Y$2,0)),""),""),"")</f>
        <v/>
      </c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5"/>
        <v/>
      </c>
      <c r="AA185" s="189"/>
      <c r="AB185" s="199" t="str">
        <f t="shared" ca="1" si="14"/>
        <v/>
      </c>
      <c r="AC185" s="277"/>
      <c r="AD185" s="262"/>
      <c r="AE185" s="431"/>
      <c r="AF185" s="434"/>
      <c r="AG185" s="431"/>
      <c r="AH185" s="267"/>
    </row>
    <row r="186" spans="1:34" ht="63" customHeight="1" x14ac:dyDescent="0.25">
      <c r="A186" s="203" t="s">
        <v>1163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71" t="str">
        <f t="shared" si="16"/>
        <v/>
      </c>
      <c r="P186" s="550" t="str">
        <f>IFERROR(O186-IFERROR(IF(L186="avec arrêt",IF(MONTH(N186)&lt;=mois_stat,0,N186-EOMONTH('Stats AT BDD'!$Y$2,0)),""),""),"")</f>
        <v/>
      </c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5"/>
        <v/>
      </c>
      <c r="AA186" s="189"/>
      <c r="AB186" s="199" t="str">
        <f t="shared" ca="1" si="14"/>
        <v/>
      </c>
      <c r="AC186" s="277"/>
      <c r="AD186" s="262"/>
      <c r="AE186" s="431"/>
      <c r="AF186" s="434"/>
      <c r="AG186" s="431"/>
      <c r="AH186" s="267"/>
    </row>
    <row r="187" spans="1:34" ht="63" customHeight="1" x14ac:dyDescent="0.25">
      <c r="A187" s="203" t="s">
        <v>1164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71" t="str">
        <f t="shared" si="16"/>
        <v/>
      </c>
      <c r="P187" s="550" t="str">
        <f>IFERROR(O187-IFERROR(IF(L187="avec arrêt",IF(MONTH(N187)&lt;=mois_stat,0,N187-EOMONTH('Stats AT BDD'!$Y$2,0)),""),""),"")</f>
        <v/>
      </c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5"/>
        <v/>
      </c>
      <c r="AA187" s="189"/>
      <c r="AB187" s="199" t="str">
        <f t="shared" ca="1" si="14"/>
        <v/>
      </c>
      <c r="AC187" s="277"/>
      <c r="AD187" s="262"/>
      <c r="AE187" s="431"/>
      <c r="AF187" s="434"/>
      <c r="AG187" s="431"/>
      <c r="AH187" s="267"/>
    </row>
    <row r="188" spans="1:34" ht="63" customHeight="1" x14ac:dyDescent="0.25">
      <c r="A188" s="203" t="s">
        <v>1165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71" t="str">
        <f t="shared" si="16"/>
        <v/>
      </c>
      <c r="P188" s="550" t="str">
        <f>IFERROR(O188-IFERROR(IF(L188="avec arrêt",IF(MONTH(N188)&lt;=mois_stat,0,N188-EOMONTH('Stats AT BDD'!$Y$2,0)),""),""),"")</f>
        <v/>
      </c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5"/>
        <v/>
      </c>
      <c r="AA188" s="189"/>
      <c r="AB188" s="199" t="str">
        <f t="shared" ca="1" si="14"/>
        <v/>
      </c>
      <c r="AC188" s="277"/>
      <c r="AD188" s="262"/>
      <c r="AE188" s="431"/>
      <c r="AF188" s="434"/>
      <c r="AG188" s="431"/>
      <c r="AH188" s="267"/>
    </row>
    <row r="189" spans="1:34" ht="63" customHeight="1" x14ac:dyDescent="0.25">
      <c r="A189" s="203" t="s">
        <v>1166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71" t="str">
        <f t="shared" si="16"/>
        <v/>
      </c>
      <c r="P189" s="550" t="str">
        <f>IFERROR(O189-IFERROR(IF(L189="avec arrêt",IF(MONTH(N189)&lt;=mois_stat,0,N189-EOMONTH('Stats AT BDD'!$Y$2,0)),""),""),"")</f>
        <v/>
      </c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5"/>
        <v/>
      </c>
      <c r="AA189" s="189"/>
      <c r="AB189" s="199" t="str">
        <f t="shared" ca="1" si="14"/>
        <v/>
      </c>
      <c r="AC189" s="277"/>
      <c r="AD189" s="262"/>
      <c r="AE189" s="431"/>
      <c r="AF189" s="434"/>
      <c r="AG189" s="431"/>
      <c r="AH189" s="267"/>
    </row>
    <row r="190" spans="1:34" ht="63" customHeight="1" x14ac:dyDescent="0.25">
      <c r="A190" s="203" t="s">
        <v>1167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71" t="str">
        <f t="shared" si="16"/>
        <v/>
      </c>
      <c r="P190" s="550" t="str">
        <f>IFERROR(O190-IFERROR(IF(L190="avec arrêt",IF(MONTH(N190)&lt;=mois_stat,0,N190-EOMONTH('Stats AT BDD'!$Y$2,0)),""),""),"")</f>
        <v/>
      </c>
      <c r="Q190" s="190"/>
      <c r="R190" s="191"/>
      <c r="S190" s="191"/>
      <c r="T190" s="192"/>
      <c r="U190" s="194"/>
      <c r="V190" s="188"/>
      <c r="W190" s="188"/>
      <c r="X190" s="266"/>
      <c r="Y190" s="198"/>
      <c r="Z190" s="195" t="str">
        <f t="shared" si="15"/>
        <v/>
      </c>
      <c r="AA190" s="189"/>
      <c r="AB190" s="199" t="str">
        <f t="shared" ca="1" si="14"/>
        <v/>
      </c>
      <c r="AC190" s="277"/>
      <c r="AD190" s="262"/>
      <c r="AE190" s="431"/>
      <c r="AF190" s="434"/>
      <c r="AG190" s="431"/>
      <c r="AH190" s="267"/>
    </row>
    <row r="191" spans="1:34" ht="63" customHeight="1" x14ac:dyDescent="0.25">
      <c r="A191" s="203" t="s">
        <v>1168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71" t="str">
        <f t="shared" si="16"/>
        <v/>
      </c>
      <c r="P191" s="550" t="str">
        <f>IFERROR(O191-IFERROR(IF(L191="avec arrêt",IF(MONTH(N191)&lt;=mois_stat,0,N191-EOMONTH('Stats AT BDD'!$Y$2,0)),""),""),"")</f>
        <v/>
      </c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5"/>
        <v/>
      </c>
      <c r="AA191" s="189"/>
      <c r="AB191" s="199" t="str">
        <f t="shared" ca="1" si="14"/>
        <v/>
      </c>
      <c r="AC191" s="277"/>
      <c r="AD191" s="262"/>
      <c r="AE191" s="431"/>
      <c r="AF191" s="434"/>
      <c r="AG191" s="431"/>
      <c r="AH191" s="267"/>
    </row>
    <row r="192" spans="1:34" ht="63" customHeight="1" x14ac:dyDescent="0.25">
      <c r="A192" s="203" t="s">
        <v>1169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71" t="str">
        <f t="shared" si="16"/>
        <v/>
      </c>
      <c r="P192" s="550" t="str">
        <f>IFERROR(O192-IFERROR(IF(L192="avec arrêt",IF(MONTH(N192)&lt;=mois_stat,0,N192-EOMONTH('Stats AT BDD'!$Y$2,0)),""),""),"")</f>
        <v/>
      </c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5"/>
        <v/>
      </c>
      <c r="AA192" s="189"/>
      <c r="AB192" s="199" t="str">
        <f t="shared" ca="1" si="14"/>
        <v/>
      </c>
      <c r="AC192" s="277"/>
      <c r="AD192" s="262"/>
      <c r="AE192" s="431"/>
      <c r="AF192" s="434"/>
      <c r="AG192" s="431"/>
      <c r="AH192" s="267"/>
    </row>
    <row r="193" spans="1:34" ht="63" customHeight="1" x14ac:dyDescent="0.25">
      <c r="A193" s="203" t="s">
        <v>1170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71" t="str">
        <f t="shared" si="16"/>
        <v/>
      </c>
      <c r="P193" s="550" t="str">
        <f>IFERROR(O193-IFERROR(IF(L193="avec arrêt",IF(MONTH(N193)&lt;=mois_stat,0,N193-EOMONTH('Stats AT BDD'!$Y$2,0)),""),""),"")</f>
        <v/>
      </c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5"/>
        <v/>
      </c>
      <c r="AA193" s="189"/>
      <c r="AB193" s="199" t="str">
        <f t="shared" ca="1" si="14"/>
        <v/>
      </c>
      <c r="AC193" s="277"/>
      <c r="AD193" s="262"/>
      <c r="AE193" s="431"/>
      <c r="AF193" s="434"/>
      <c r="AG193" s="431"/>
      <c r="AH193" s="267"/>
    </row>
    <row r="194" spans="1:34" ht="63" customHeight="1" x14ac:dyDescent="0.25">
      <c r="A194" s="203" t="s">
        <v>1171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71" t="str">
        <f t="shared" si="16"/>
        <v/>
      </c>
      <c r="P194" s="550" t="str">
        <f>IFERROR(O194-IFERROR(IF(L194="avec arrêt",IF(MONTH(N194)&lt;=mois_stat,0,N194-EOMONTH('Stats AT BDD'!$Y$2,0)),""),""),"")</f>
        <v/>
      </c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5"/>
        <v/>
      </c>
      <c r="AA194" s="189"/>
      <c r="AB194" s="199" t="str">
        <f t="shared" ca="1" si="14"/>
        <v/>
      </c>
      <c r="AC194" s="277"/>
      <c r="AD194" s="262"/>
      <c r="AE194" s="431"/>
      <c r="AF194" s="434"/>
      <c r="AG194" s="431"/>
      <c r="AH194" s="267"/>
    </row>
    <row r="195" spans="1:34" ht="63" customHeight="1" x14ac:dyDescent="0.25">
      <c r="A195" s="203" t="s">
        <v>1172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71" t="str">
        <f t="shared" si="16"/>
        <v/>
      </c>
      <c r="P195" s="550" t="str">
        <f>IFERROR(O195-IFERROR(IF(L195="avec arrêt",IF(MONTH(N195)&lt;=mois_stat,0,N195-EOMONTH('Stats AT BDD'!$Y$2,0)),""),""),"")</f>
        <v/>
      </c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5"/>
        <v/>
      </c>
      <c r="AA195" s="189"/>
      <c r="AB195" s="199" t="str">
        <f t="shared" ca="1" si="14"/>
        <v/>
      </c>
      <c r="AC195" s="277"/>
      <c r="AD195" s="262"/>
      <c r="AE195" s="431"/>
      <c r="AF195" s="434"/>
      <c r="AG195" s="431"/>
      <c r="AH195" s="267"/>
    </row>
    <row r="196" spans="1:34" ht="63" customHeight="1" x14ac:dyDescent="0.25">
      <c r="A196" s="203" t="s">
        <v>1173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71" t="str">
        <f t="shared" si="16"/>
        <v/>
      </c>
      <c r="P196" s="550" t="str">
        <f>IFERROR(O196-IFERROR(IF(L196="avec arrêt",IF(MONTH(N196)&lt;=mois_stat,0,N196-EOMONTH('Stats AT BDD'!$Y$2,0)),""),""),"")</f>
        <v/>
      </c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5"/>
        <v/>
      </c>
      <c r="AA196" s="189"/>
      <c r="AB196" s="199" t="str">
        <f t="shared" ca="1" si="14"/>
        <v/>
      </c>
      <c r="AC196" s="277"/>
      <c r="AD196" s="262"/>
      <c r="AE196" s="431"/>
      <c r="AF196" s="434"/>
      <c r="AG196" s="431"/>
      <c r="AH196" s="267"/>
    </row>
    <row r="197" spans="1:34" ht="63" customHeight="1" x14ac:dyDescent="0.25">
      <c r="A197" s="203" t="s">
        <v>1174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71" t="str">
        <f t="shared" si="16"/>
        <v/>
      </c>
      <c r="P197" s="550" t="str">
        <f>IFERROR(O197-IFERROR(IF(L197="avec arrêt",IF(MONTH(N197)&lt;=mois_stat,0,N197-EOMONTH('Stats AT BDD'!$Y$2,0)),""),""),"")</f>
        <v/>
      </c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5"/>
        <v/>
      </c>
      <c r="AA197" s="189"/>
      <c r="AB197" s="199" t="str">
        <f t="shared" ca="1" si="14"/>
        <v/>
      </c>
      <c r="AC197" s="277"/>
      <c r="AD197" s="262"/>
      <c r="AE197" s="431"/>
      <c r="AF197" s="434"/>
      <c r="AG197" s="431"/>
      <c r="AH197" s="267"/>
    </row>
    <row r="198" spans="1:34" ht="63" customHeight="1" x14ac:dyDescent="0.25">
      <c r="A198" s="203" t="s">
        <v>1175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71" t="str">
        <f t="shared" si="16"/>
        <v/>
      </c>
      <c r="P198" s="550" t="str">
        <f>IFERROR(O198-IFERROR(IF(L198="avec arrêt",IF(MONTH(N198)&lt;=mois_stat,0,N198-EOMONTH('Stats AT BDD'!$Y$2,0)),""),""),"")</f>
        <v/>
      </c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5"/>
        <v/>
      </c>
      <c r="AA198" s="189"/>
      <c r="AB198" s="199" t="str">
        <f t="shared" ca="1" si="14"/>
        <v/>
      </c>
      <c r="AC198" s="277"/>
      <c r="AD198" s="262"/>
      <c r="AE198" s="431"/>
      <c r="AF198" s="434"/>
      <c r="AG198" s="431"/>
      <c r="AH198" s="267"/>
    </row>
    <row r="199" spans="1:34" ht="63" customHeight="1" x14ac:dyDescent="0.25">
      <c r="A199" s="203" t="s">
        <v>1176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71" t="str">
        <f t="shared" si="16"/>
        <v/>
      </c>
      <c r="P199" s="550" t="str">
        <f>IFERROR(O199-IFERROR(IF(L199="avec arrêt",IF(MONTH(N199)&lt;=mois_stat,0,N199-EOMONTH('Stats AT BDD'!$Y$2,0)),""),""),"")</f>
        <v/>
      </c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5"/>
        <v/>
      </c>
      <c r="AA199" s="189"/>
      <c r="AB199" s="199" t="str">
        <f t="shared" ca="1" si="14"/>
        <v/>
      </c>
      <c r="AC199" s="277"/>
      <c r="AD199" s="262"/>
      <c r="AE199" s="431"/>
      <c r="AF199" s="434"/>
      <c r="AG199" s="431"/>
      <c r="AH199" s="267"/>
    </row>
    <row r="200" spans="1:34" ht="63" customHeight="1" x14ac:dyDescent="0.25">
      <c r="A200" s="203" t="s">
        <v>1177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71" t="str">
        <f t="shared" si="16"/>
        <v/>
      </c>
      <c r="P200" s="550" t="str">
        <f>IFERROR(O200-IFERROR(IF(L200="avec arrêt",IF(MONTH(N200)&lt;=mois_stat,0,N200-EOMONTH('Stats AT BDD'!$Y$2,0)),""),""),"")</f>
        <v/>
      </c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5"/>
        <v/>
      </c>
      <c r="AA200" s="189"/>
      <c r="AB200" s="199" t="str">
        <f t="shared" ca="1" si="14"/>
        <v/>
      </c>
      <c r="AC200" s="277"/>
      <c r="AD200" s="262"/>
      <c r="AE200" s="431"/>
      <c r="AF200" s="434"/>
      <c r="AG200" s="431"/>
      <c r="AH200" s="267"/>
    </row>
    <row r="201" spans="1:34" ht="63" customHeight="1" x14ac:dyDescent="0.25">
      <c r="A201" s="203" t="s">
        <v>1178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71" t="str">
        <f t="shared" si="16"/>
        <v/>
      </c>
      <c r="P201" s="550" t="str">
        <f>IFERROR(O201-IFERROR(IF(L201="avec arrêt",IF(MONTH(N201)&lt;=mois_stat,0,N201-EOMONTH('Stats AT BDD'!$Y$2,0)),""),""),"")</f>
        <v/>
      </c>
      <c r="Q201" s="190"/>
      <c r="R201" s="191"/>
      <c r="S201" s="191"/>
      <c r="T201" s="192"/>
      <c r="U201" s="194"/>
      <c r="V201" s="188"/>
      <c r="W201" s="188"/>
      <c r="X201" s="266"/>
      <c r="Y201" s="272"/>
      <c r="Z201" s="195" t="str">
        <f t="shared" si="15"/>
        <v/>
      </c>
      <c r="AA201" s="189"/>
      <c r="AB201" s="199" t="str">
        <f t="shared" ca="1" si="14"/>
        <v/>
      </c>
      <c r="AC201" s="277"/>
      <c r="AD201" s="262"/>
      <c r="AE201" s="431"/>
      <c r="AF201" s="434"/>
      <c r="AG201" s="431"/>
      <c r="AH201" s="267"/>
    </row>
    <row r="202" spans="1:34" ht="63" customHeight="1" x14ac:dyDescent="0.25">
      <c r="A202" s="203" t="s">
        <v>1179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71" t="str">
        <f t="shared" si="16"/>
        <v/>
      </c>
      <c r="P202" s="550" t="str">
        <f>IFERROR(O202-IFERROR(IF(L202="avec arrêt",IF(MONTH(N202)&lt;=mois_stat,0,N202-EOMONTH('Stats AT BDD'!$Y$2,0)),""),""),"")</f>
        <v/>
      </c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5"/>
        <v/>
      </c>
      <c r="AA202" s="189"/>
      <c r="AB202" s="199" t="str">
        <f t="shared" ca="1" si="14"/>
        <v/>
      </c>
      <c r="AC202" s="277"/>
      <c r="AD202" s="262"/>
      <c r="AE202" s="431"/>
      <c r="AF202" s="434"/>
      <c r="AG202" s="431"/>
      <c r="AH202" s="267"/>
    </row>
    <row r="203" spans="1:34" ht="63" customHeight="1" x14ac:dyDescent="0.25">
      <c r="A203" s="203" t="s">
        <v>1180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71" t="str">
        <f t="shared" si="16"/>
        <v/>
      </c>
      <c r="P203" s="550" t="str">
        <f>IFERROR(O203-IFERROR(IF(L203="avec arrêt",IF(MONTH(N203)&lt;=mois_stat,0,N203-EOMONTH('Stats AT BDD'!$Y$2,0)),""),""),"")</f>
        <v/>
      </c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5"/>
        <v/>
      </c>
      <c r="AA203" s="189"/>
      <c r="AB203" s="199" t="str">
        <f t="shared" ca="1" si="14"/>
        <v/>
      </c>
      <c r="AC203" s="277"/>
      <c r="AD203" s="262"/>
      <c r="AE203" s="431"/>
      <c r="AF203" s="434"/>
      <c r="AG203" s="431"/>
      <c r="AH203" s="267"/>
    </row>
    <row r="204" spans="1:34" ht="63" customHeight="1" x14ac:dyDescent="0.25">
      <c r="A204" s="203" t="s">
        <v>1181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71" t="str">
        <f t="shared" si="16"/>
        <v/>
      </c>
      <c r="P204" s="550" t="str">
        <f>IFERROR(O204-IFERROR(IF(L204="avec arrêt",IF(MONTH(N204)&lt;=mois_stat,0,N204-EOMONTH('Stats AT BDD'!$Y$2,0)),""),""),"")</f>
        <v/>
      </c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5"/>
        <v/>
      </c>
      <c r="AA204" s="189"/>
      <c r="AB204" s="199" t="str">
        <f t="shared" ca="1" si="14"/>
        <v/>
      </c>
      <c r="AC204" s="277"/>
      <c r="AD204" s="262"/>
      <c r="AE204" s="431"/>
      <c r="AF204" s="434"/>
      <c r="AG204" s="431"/>
      <c r="AH204" s="267"/>
    </row>
    <row r="205" spans="1:34" ht="63" customHeight="1" x14ac:dyDescent="0.25">
      <c r="A205" s="203" t="s">
        <v>1182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71" t="str">
        <f t="shared" si="16"/>
        <v/>
      </c>
      <c r="P205" s="550" t="str">
        <f>IFERROR(O205-IFERROR(IF(L205="avec arrêt",IF(MONTH(N205)&lt;=mois_stat,0,N205-EOMONTH('Stats AT BDD'!$Y$2,0)),""),""),"")</f>
        <v/>
      </c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5"/>
        <v/>
      </c>
      <c r="AA205" s="189"/>
      <c r="AB205" s="199" t="str">
        <f t="shared" ca="1" si="14"/>
        <v/>
      </c>
      <c r="AC205" s="277"/>
      <c r="AD205" s="262"/>
      <c r="AE205" s="431"/>
      <c r="AF205" s="434"/>
      <c r="AG205" s="431"/>
      <c r="AH205" s="267"/>
    </row>
    <row r="206" spans="1:34" ht="63" customHeight="1" x14ac:dyDescent="0.25">
      <c r="A206" s="203" t="s">
        <v>1183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71" t="str">
        <f t="shared" si="16"/>
        <v/>
      </c>
      <c r="P206" s="550" t="str">
        <f>IFERROR(O206-IFERROR(IF(L206="avec arrêt",IF(MONTH(N206)&lt;=mois_stat,0,N206-EOMONTH('Stats AT BDD'!$Y$2,0)),""),""),"")</f>
        <v/>
      </c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5"/>
        <v/>
      </c>
      <c r="AA206" s="189"/>
      <c r="AB206" s="199" t="str">
        <f t="shared" ca="1" si="14"/>
        <v/>
      </c>
      <c r="AC206" s="277"/>
      <c r="AD206" s="262"/>
      <c r="AE206" s="431"/>
      <c r="AF206" s="434"/>
      <c r="AG206" s="431"/>
      <c r="AH206" s="267"/>
    </row>
    <row r="207" spans="1:34" ht="63" customHeight="1" x14ac:dyDescent="0.25">
      <c r="A207" s="203" t="s">
        <v>1184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71" t="str">
        <f t="shared" si="16"/>
        <v/>
      </c>
      <c r="P207" s="550" t="str">
        <f>IFERROR(O207-IFERROR(IF(L207="avec arrêt",IF(MONTH(N207)&lt;=mois_stat,0,N207-EOMONTH('Stats AT BDD'!$Y$2,0)),""),""),"")</f>
        <v/>
      </c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5"/>
        <v/>
      </c>
      <c r="AA207" s="189"/>
      <c r="AB207" s="199" t="str">
        <f t="shared" ca="1" si="14"/>
        <v/>
      </c>
      <c r="AC207" s="277"/>
      <c r="AD207" s="262"/>
      <c r="AE207" s="431"/>
      <c r="AF207" s="434"/>
      <c r="AG207" s="431"/>
      <c r="AH207" s="267"/>
    </row>
    <row r="208" spans="1:34" ht="63" customHeight="1" x14ac:dyDescent="0.25">
      <c r="A208" s="203" t="s">
        <v>1185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71" t="str">
        <f t="shared" si="16"/>
        <v/>
      </c>
      <c r="P208" s="550" t="str">
        <f>IFERROR(O208-IFERROR(IF(L208="avec arrêt",IF(MONTH(N208)&lt;=mois_stat,0,N208-EOMONTH('Stats AT BDD'!$Y$2,0)),""),""),"")</f>
        <v/>
      </c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5"/>
        <v/>
      </c>
      <c r="AA208" s="189"/>
      <c r="AB208" s="199" t="str">
        <f t="shared" ca="1" si="14"/>
        <v/>
      </c>
      <c r="AC208" s="277"/>
      <c r="AD208" s="262"/>
      <c r="AE208" s="431"/>
      <c r="AF208" s="434"/>
      <c r="AG208" s="431"/>
      <c r="AH208" s="267"/>
    </row>
    <row r="209" spans="1:34" ht="63" customHeight="1" x14ac:dyDescent="0.25">
      <c r="A209" s="203" t="s">
        <v>1186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71" t="str">
        <f t="shared" si="16"/>
        <v/>
      </c>
      <c r="P209" s="550" t="str">
        <f>IFERROR(O209-IFERROR(IF(L209="avec arrêt",IF(MONTH(N209)&lt;=mois_stat,0,N209-EOMONTH('Stats AT BDD'!$Y$2,0)),""),""),"")</f>
        <v/>
      </c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5"/>
        <v/>
      </c>
      <c r="AA209" s="189"/>
      <c r="AB209" s="199" t="str">
        <f t="shared" ca="1" si="14"/>
        <v/>
      </c>
      <c r="AC209" s="277"/>
      <c r="AD209" s="262"/>
      <c r="AE209" s="431"/>
      <c r="AF209" s="434"/>
      <c r="AG209" s="431"/>
      <c r="AH209" s="267"/>
    </row>
    <row r="210" spans="1:34" ht="63" customHeight="1" x14ac:dyDescent="0.25">
      <c r="A210" s="203" t="s">
        <v>1187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71" t="str">
        <f t="shared" si="16"/>
        <v/>
      </c>
      <c r="P210" s="550" t="str">
        <f>IFERROR(O210-IFERROR(IF(L210="avec arrêt",IF(MONTH(N210)&lt;=mois_stat,0,N210-EOMONTH('Stats AT BDD'!$Y$2,0)),""),""),"")</f>
        <v/>
      </c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5"/>
        <v/>
      </c>
      <c r="AA210" s="189"/>
      <c r="AB210" s="199" t="str">
        <f t="shared" ca="1" si="14"/>
        <v/>
      </c>
      <c r="AC210" s="277"/>
      <c r="AD210" s="262"/>
      <c r="AE210" s="431"/>
      <c r="AF210" s="434"/>
      <c r="AG210" s="431"/>
      <c r="AH210" s="267"/>
    </row>
    <row r="211" spans="1:34" ht="63" customHeight="1" x14ac:dyDescent="0.25">
      <c r="A211" s="203" t="s">
        <v>1188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71" t="str">
        <f t="shared" si="16"/>
        <v/>
      </c>
      <c r="P211" s="550" t="str">
        <f>IFERROR(O211-IFERROR(IF(L211="avec arrêt",IF(MONTH(N211)&lt;=mois_stat,0,N211-EOMONTH('Stats AT BDD'!$Y$2,0)),""),""),"")</f>
        <v/>
      </c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5"/>
        <v/>
      </c>
      <c r="AA211" s="189"/>
      <c r="AB211" s="199" t="str">
        <f t="shared" ref="AB211:AB274" ca="1" si="17">IF(ISBLANK(AA211),IF(Z211&lt;TODAY(),"non",""),IF(AA211&gt;Z211,"non","oui"))</f>
        <v/>
      </c>
      <c r="AC211" s="277"/>
      <c r="AD211" s="262"/>
      <c r="AE211" s="431"/>
      <c r="AF211" s="434"/>
      <c r="AG211" s="431"/>
      <c r="AH211" s="267"/>
    </row>
    <row r="212" spans="1:34" ht="63" customHeight="1" x14ac:dyDescent="0.25">
      <c r="A212" s="203" t="s">
        <v>1189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71" t="str">
        <f t="shared" si="16"/>
        <v/>
      </c>
      <c r="P212" s="550" t="str">
        <f>IFERROR(O212-IFERROR(IF(L212="avec arrêt",IF(MONTH(N212)&lt;=mois_stat,0,N212-EOMONTH('Stats AT BDD'!$Y$2,0)),""),""),"")</f>
        <v/>
      </c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5"/>
        <v/>
      </c>
      <c r="AA212" s="189"/>
      <c r="AB212" s="199" t="str">
        <f t="shared" ca="1" si="17"/>
        <v/>
      </c>
      <c r="AC212" s="277"/>
      <c r="AD212" s="262"/>
      <c r="AE212" s="431"/>
      <c r="AF212" s="434"/>
      <c r="AG212" s="431"/>
      <c r="AH212" s="267"/>
    </row>
    <row r="213" spans="1:34" ht="63" customHeight="1" x14ac:dyDescent="0.25">
      <c r="A213" s="203" t="s">
        <v>1190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71" t="str">
        <f t="shared" si="16"/>
        <v/>
      </c>
      <c r="P213" s="550" t="str">
        <f>IFERROR(O213-IFERROR(IF(L213="avec arrêt",IF(MONTH(N213)&lt;=mois_stat,0,N213-EOMONTH('Stats AT BDD'!$Y$2,0)),""),""),"")</f>
        <v/>
      </c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5"/>
        <v/>
      </c>
      <c r="AA213" s="189"/>
      <c r="AB213" s="199" t="str">
        <f t="shared" ca="1" si="17"/>
        <v/>
      </c>
      <c r="AC213" s="277"/>
      <c r="AD213" s="262"/>
      <c r="AE213" s="431"/>
      <c r="AF213" s="434"/>
      <c r="AG213" s="431"/>
      <c r="AH213" s="267"/>
    </row>
    <row r="214" spans="1:34" ht="63" customHeight="1" x14ac:dyDescent="0.25">
      <c r="A214" s="203" t="s">
        <v>1191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71" t="str">
        <f t="shared" si="16"/>
        <v/>
      </c>
      <c r="P214" s="550" t="str">
        <f>IFERROR(O214-IFERROR(IF(L214="avec arrêt",IF(MONTH(N214)&lt;=mois_stat,0,N214-EOMONTH('Stats AT BDD'!$Y$2,0)),""),""),"")</f>
        <v/>
      </c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5"/>
        <v/>
      </c>
      <c r="AA214" s="189"/>
      <c r="AB214" s="199" t="str">
        <f t="shared" ca="1" si="17"/>
        <v/>
      </c>
      <c r="AC214" s="277"/>
      <c r="AD214" s="262"/>
      <c r="AE214" s="431"/>
      <c r="AF214" s="434"/>
      <c r="AG214" s="431"/>
      <c r="AH214" s="267"/>
    </row>
    <row r="215" spans="1:34" ht="63" customHeight="1" x14ac:dyDescent="0.25">
      <c r="A215" s="203" t="s">
        <v>1192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71" t="str">
        <f t="shared" si="16"/>
        <v/>
      </c>
      <c r="P215" s="550" t="str">
        <f>IFERROR(O215-IFERROR(IF(L215="avec arrêt",IF(MONTH(N215)&lt;=mois_stat,0,N215-EOMONTH('Stats AT BDD'!$Y$2,0)),""),""),"")</f>
        <v/>
      </c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5"/>
        <v/>
      </c>
      <c r="AA215" s="189"/>
      <c r="AB215" s="199" t="str">
        <f t="shared" ca="1" si="17"/>
        <v/>
      </c>
      <c r="AC215" s="277"/>
      <c r="AD215" s="262"/>
      <c r="AE215" s="431"/>
      <c r="AF215" s="434"/>
      <c r="AG215" s="431"/>
      <c r="AH215" s="267"/>
    </row>
    <row r="216" spans="1:34" ht="63" customHeight="1" x14ac:dyDescent="0.25">
      <c r="A216" s="203" t="s">
        <v>1193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71" t="str">
        <f t="shared" si="16"/>
        <v/>
      </c>
      <c r="P216" s="550" t="str">
        <f>IFERROR(O216-IFERROR(IF(L216="avec arrêt",IF(MONTH(N216)&lt;=mois_stat,0,N216-EOMONTH('Stats AT BDD'!$Y$2,0)),""),""),"")</f>
        <v/>
      </c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5"/>
        <v/>
      </c>
      <c r="AA216" s="189"/>
      <c r="AB216" s="199" t="str">
        <f t="shared" ca="1" si="17"/>
        <v/>
      </c>
      <c r="AC216" s="277"/>
      <c r="AD216" s="262"/>
      <c r="AE216" s="431"/>
      <c r="AF216" s="434"/>
      <c r="AG216" s="431"/>
      <c r="AH216" s="267"/>
    </row>
    <row r="217" spans="1:34" ht="63" customHeight="1" x14ac:dyDescent="0.25">
      <c r="A217" s="203" t="s">
        <v>1194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71" t="str">
        <f t="shared" si="16"/>
        <v/>
      </c>
      <c r="P217" s="550" t="str">
        <f>IFERROR(O217-IFERROR(IF(L217="avec arrêt",IF(MONTH(N217)&lt;=mois_stat,0,N217-EOMONTH('Stats AT BDD'!$Y$2,0)),""),""),"")</f>
        <v/>
      </c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5"/>
        <v/>
      </c>
      <c r="AA217" s="189"/>
      <c r="AB217" s="199" t="str">
        <f t="shared" ca="1" si="17"/>
        <v/>
      </c>
      <c r="AC217" s="277"/>
      <c r="AD217" s="262"/>
      <c r="AE217" s="431"/>
      <c r="AF217" s="434"/>
      <c r="AG217" s="431"/>
      <c r="AH217" s="267"/>
    </row>
    <row r="218" spans="1:34" ht="63" customHeight="1" x14ac:dyDescent="0.25">
      <c r="A218" s="203" t="s">
        <v>1195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71" t="str">
        <f t="shared" si="16"/>
        <v/>
      </c>
      <c r="P218" s="550" t="str">
        <f>IFERROR(O218-IFERROR(IF(L218="avec arrêt",IF(MONTH(N218)&lt;=mois_stat,0,N218-EOMONTH('Stats AT BDD'!$Y$2,0)),""),""),"")</f>
        <v/>
      </c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5"/>
        <v/>
      </c>
      <c r="AA218" s="189"/>
      <c r="AB218" s="199" t="str">
        <f t="shared" ca="1" si="17"/>
        <v/>
      </c>
      <c r="AC218" s="277"/>
      <c r="AD218" s="262"/>
      <c r="AE218" s="431"/>
      <c r="AF218" s="434"/>
      <c r="AG218" s="431"/>
      <c r="AH218" s="267"/>
    </row>
    <row r="219" spans="1:34" ht="63" customHeight="1" x14ac:dyDescent="0.25">
      <c r="A219" s="203" t="s">
        <v>1196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71" t="str">
        <f t="shared" si="16"/>
        <v/>
      </c>
      <c r="P219" s="550" t="str">
        <f>IFERROR(O219-IFERROR(IF(L219="avec arrêt",IF(MONTH(N219)&lt;=mois_stat,0,N219-EOMONTH('Stats AT BDD'!$Y$2,0)),""),""),"")</f>
        <v/>
      </c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5"/>
        <v/>
      </c>
      <c r="AA219" s="189"/>
      <c r="AB219" s="199" t="str">
        <f t="shared" ca="1" si="17"/>
        <v/>
      </c>
      <c r="AC219" s="277"/>
      <c r="AD219" s="262"/>
      <c r="AE219" s="431"/>
      <c r="AF219" s="434"/>
      <c r="AG219" s="431"/>
      <c r="AH219" s="267"/>
    </row>
    <row r="220" spans="1:34" ht="63" customHeight="1" x14ac:dyDescent="0.25">
      <c r="A220" s="203" t="s">
        <v>1197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71" t="str">
        <f t="shared" si="16"/>
        <v/>
      </c>
      <c r="P220" s="550" t="str">
        <f>IFERROR(O220-IFERROR(IF(L220="avec arrêt",IF(MONTH(N220)&lt;=mois_stat,0,N220-EOMONTH('Stats AT BDD'!$Y$2,0)),""),""),"")</f>
        <v/>
      </c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5"/>
        <v/>
      </c>
      <c r="AA220" s="189"/>
      <c r="AB220" s="199" t="str">
        <f t="shared" ca="1" si="17"/>
        <v/>
      </c>
      <c r="AC220" s="277"/>
      <c r="AD220" s="262"/>
      <c r="AE220" s="431"/>
      <c r="AF220" s="434"/>
      <c r="AG220" s="431"/>
      <c r="AH220" s="267"/>
    </row>
    <row r="221" spans="1:34" ht="63" customHeight="1" x14ac:dyDescent="0.25">
      <c r="A221" s="203" t="s">
        <v>1198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71" t="str">
        <f t="shared" si="16"/>
        <v/>
      </c>
      <c r="P221" s="550" t="str">
        <f>IFERROR(O221-IFERROR(IF(L221="avec arrêt",IF(MONTH(N221)&lt;=mois_stat,0,N221-EOMONTH('Stats AT BDD'!$Y$2,0)),""),""),"")</f>
        <v/>
      </c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5"/>
        <v/>
      </c>
      <c r="AA221" s="189"/>
      <c r="AB221" s="199" t="str">
        <f t="shared" ca="1" si="17"/>
        <v/>
      </c>
      <c r="AC221" s="277"/>
      <c r="AD221" s="262"/>
      <c r="AE221" s="431"/>
      <c r="AF221" s="434"/>
      <c r="AG221" s="431"/>
      <c r="AH221" s="267"/>
    </row>
    <row r="222" spans="1:34" ht="63" customHeight="1" x14ac:dyDescent="0.25">
      <c r="A222" s="203" t="s">
        <v>1199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71" t="str">
        <f t="shared" si="16"/>
        <v/>
      </c>
      <c r="P222" s="550" t="str">
        <f>IFERROR(O222-IFERROR(IF(L222="avec arrêt",IF(MONTH(N222)&lt;=mois_stat,0,N222-EOMONTH('Stats AT BDD'!$Y$2,0)),""),""),"")</f>
        <v/>
      </c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18">IF(ISBLANK(I222),"",I222+7)</f>
        <v/>
      </c>
      <c r="AA222" s="189"/>
      <c r="AB222" s="199" t="str">
        <f t="shared" ca="1" si="17"/>
        <v/>
      </c>
      <c r="AC222" s="277"/>
      <c r="AD222" s="262"/>
      <c r="AE222" s="431"/>
      <c r="AF222" s="434"/>
      <c r="AG222" s="431"/>
      <c r="AH222" s="267"/>
    </row>
    <row r="223" spans="1:34" ht="63" customHeight="1" x14ac:dyDescent="0.25">
      <c r="A223" s="203" t="s">
        <v>1200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71" t="str">
        <f t="shared" si="16"/>
        <v/>
      </c>
      <c r="P223" s="550" t="str">
        <f>IFERROR(O223-IFERROR(IF(L223="avec arrêt",IF(MONTH(N223)&lt;=mois_stat,0,N223-EOMONTH('Stats AT BDD'!$Y$2,0)),""),""),"")</f>
        <v/>
      </c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18"/>
        <v/>
      </c>
      <c r="AA223" s="189"/>
      <c r="AB223" s="199" t="str">
        <f t="shared" ca="1" si="17"/>
        <v/>
      </c>
      <c r="AC223" s="277"/>
      <c r="AD223" s="262"/>
      <c r="AE223" s="431"/>
      <c r="AF223" s="434"/>
      <c r="AG223" s="431"/>
      <c r="AH223" s="267"/>
    </row>
    <row r="224" spans="1:34" ht="63" customHeight="1" x14ac:dyDescent="0.25">
      <c r="A224" s="203" t="s">
        <v>1201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71" t="str">
        <f t="shared" si="16"/>
        <v/>
      </c>
      <c r="P224" s="550" t="str">
        <f>IFERROR(O224-IFERROR(IF(L224="avec arrêt",IF(MONTH(N224)&lt;=mois_stat,0,N224-EOMONTH('Stats AT BDD'!$Y$2,0)),""),""),"")</f>
        <v/>
      </c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18"/>
        <v/>
      </c>
      <c r="AA224" s="189"/>
      <c r="AB224" s="199" t="str">
        <f t="shared" ca="1" si="17"/>
        <v/>
      </c>
      <c r="AC224" s="277"/>
      <c r="AD224" s="262"/>
      <c r="AE224" s="431"/>
      <c r="AF224" s="434"/>
      <c r="AG224" s="431"/>
      <c r="AH224" s="267"/>
    </row>
    <row r="225" spans="1:34" ht="63" customHeight="1" x14ac:dyDescent="0.25">
      <c r="A225" s="203" t="s">
        <v>1202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71" t="str">
        <f t="shared" si="16"/>
        <v/>
      </c>
      <c r="P225" s="550" t="str">
        <f>IFERROR(O225-IFERROR(IF(L225="avec arrêt",IF(MONTH(N225)&lt;=mois_stat,0,N225-EOMONTH('Stats AT BDD'!$Y$2,0)),""),""),"")</f>
        <v/>
      </c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18"/>
        <v/>
      </c>
      <c r="AA225" s="189"/>
      <c r="AB225" s="199" t="str">
        <f t="shared" ca="1" si="17"/>
        <v/>
      </c>
      <c r="AC225" s="277"/>
      <c r="AD225" s="262"/>
      <c r="AE225" s="431"/>
      <c r="AF225" s="434"/>
      <c r="AG225" s="431"/>
      <c r="AH225" s="267"/>
    </row>
    <row r="226" spans="1:34" ht="63" customHeight="1" x14ac:dyDescent="0.25">
      <c r="A226" s="203" t="s">
        <v>1203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71" t="str">
        <f t="shared" si="16"/>
        <v/>
      </c>
      <c r="P226" s="550" t="str">
        <f>IFERROR(O226-IFERROR(IF(L226="avec arrêt",IF(MONTH(N226)&lt;=mois_stat,0,N226-EOMONTH('Stats AT BDD'!$Y$2,0)),""),""),"")</f>
        <v/>
      </c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18"/>
        <v/>
      </c>
      <c r="AA226" s="189"/>
      <c r="AB226" s="199" t="str">
        <f t="shared" ca="1" si="17"/>
        <v/>
      </c>
      <c r="AC226" s="277"/>
      <c r="AD226" s="262"/>
      <c r="AE226" s="431"/>
      <c r="AF226" s="434"/>
      <c r="AG226" s="431"/>
      <c r="AH226" s="267"/>
    </row>
    <row r="227" spans="1:34" ht="63" customHeight="1" x14ac:dyDescent="0.25">
      <c r="A227" s="203" t="s">
        <v>1204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71" t="str">
        <f t="shared" si="16"/>
        <v/>
      </c>
      <c r="P227" s="550" t="str">
        <f>IFERROR(O227-IFERROR(IF(L227="avec arrêt",IF(MONTH(N227)&lt;=mois_stat,0,N227-EOMONTH('Stats AT BDD'!$Y$2,0)),""),""),"")</f>
        <v/>
      </c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18"/>
        <v/>
      </c>
      <c r="AA227" s="189"/>
      <c r="AB227" s="199" t="str">
        <f t="shared" ca="1" si="17"/>
        <v/>
      </c>
      <c r="AC227" s="277"/>
      <c r="AD227" s="262"/>
      <c r="AE227" s="431"/>
      <c r="AF227" s="434"/>
      <c r="AG227" s="431"/>
      <c r="AH227" s="267"/>
    </row>
    <row r="228" spans="1:34" ht="63" customHeight="1" x14ac:dyDescent="0.25">
      <c r="A228" s="203" t="s">
        <v>1205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71" t="str">
        <f t="shared" si="16"/>
        <v/>
      </c>
      <c r="P228" s="550" t="str">
        <f>IFERROR(O228-IFERROR(IF(L228="avec arrêt",IF(MONTH(N228)&lt;=mois_stat,0,N228-EOMONTH('Stats AT BDD'!$Y$2,0)),""),""),"")</f>
        <v/>
      </c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18"/>
        <v/>
      </c>
      <c r="AA228" s="189"/>
      <c r="AB228" s="199" t="str">
        <f t="shared" ca="1" si="17"/>
        <v/>
      </c>
      <c r="AC228" s="277"/>
      <c r="AD228" s="262"/>
      <c r="AE228" s="431"/>
      <c r="AF228" s="434"/>
      <c r="AG228" s="431"/>
      <c r="AH228" s="267"/>
    </row>
    <row r="229" spans="1:34" ht="63" customHeight="1" x14ac:dyDescent="0.25">
      <c r="A229" s="203" t="s">
        <v>1206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71" t="str">
        <f t="shared" si="16"/>
        <v/>
      </c>
      <c r="P229" s="550" t="str">
        <f>IFERROR(O229-IFERROR(IF(L229="avec arrêt",IF(MONTH(N229)&lt;=mois_stat,0,N229-EOMONTH('Stats AT BDD'!$Y$2,0)),""),""),"")</f>
        <v/>
      </c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18"/>
        <v/>
      </c>
      <c r="AA229" s="189"/>
      <c r="AB229" s="199" t="str">
        <f t="shared" ca="1" si="17"/>
        <v/>
      </c>
      <c r="AC229" s="277"/>
      <c r="AD229" s="262"/>
      <c r="AE229" s="431"/>
      <c r="AF229" s="434"/>
      <c r="AG229" s="431"/>
      <c r="AH229" s="267"/>
    </row>
    <row r="230" spans="1:34" ht="63" customHeight="1" x14ac:dyDescent="0.25">
      <c r="A230" s="203" t="s">
        <v>1207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71" t="str">
        <f t="shared" si="16"/>
        <v/>
      </c>
      <c r="P230" s="550" t="str">
        <f>IFERROR(O230-IFERROR(IF(L230="avec arrêt",IF(MONTH(N230)&lt;=mois_stat,0,N230-EOMONTH('Stats AT BDD'!$Y$2,0)),""),""),"")</f>
        <v/>
      </c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18"/>
        <v/>
      </c>
      <c r="AA230" s="189"/>
      <c r="AB230" s="199" t="str">
        <f t="shared" ca="1" si="17"/>
        <v/>
      </c>
      <c r="AC230" s="277"/>
      <c r="AD230" s="262"/>
      <c r="AE230" s="431"/>
      <c r="AF230" s="434"/>
      <c r="AG230" s="431"/>
      <c r="AH230" s="267"/>
    </row>
    <row r="231" spans="1:34" ht="63" customHeight="1" x14ac:dyDescent="0.25">
      <c r="A231" s="203" t="s">
        <v>1208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71" t="str">
        <f t="shared" si="16"/>
        <v/>
      </c>
      <c r="P231" s="550" t="str">
        <f>IFERROR(O231-IFERROR(IF(L231="avec arrêt",IF(MONTH(N231)&lt;=mois_stat,0,N231-EOMONTH('Stats AT BDD'!$Y$2,0)),""),""),"")</f>
        <v/>
      </c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18"/>
        <v/>
      </c>
      <c r="AA231" s="189"/>
      <c r="AB231" s="199" t="str">
        <f t="shared" ca="1" si="17"/>
        <v/>
      </c>
      <c r="AC231" s="277"/>
      <c r="AD231" s="262"/>
      <c r="AE231" s="431"/>
      <c r="AF231" s="434"/>
      <c r="AG231" s="431"/>
      <c r="AH231" s="267"/>
    </row>
    <row r="232" spans="1:34" ht="63" customHeight="1" x14ac:dyDescent="0.25">
      <c r="A232" s="203" t="s">
        <v>1209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71" t="str">
        <f t="shared" si="16"/>
        <v/>
      </c>
      <c r="P232" s="550" t="str">
        <f>IFERROR(O232-IFERROR(IF(L232="avec arrêt",IF(MONTH(N232)&lt;=mois_stat,0,N232-EOMONTH('Stats AT BDD'!$Y$2,0)),""),""),"")</f>
        <v/>
      </c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18"/>
        <v/>
      </c>
      <c r="AA232" s="189"/>
      <c r="AB232" s="199" t="str">
        <f t="shared" ca="1" si="17"/>
        <v/>
      </c>
      <c r="AC232" s="277"/>
      <c r="AD232" s="262"/>
      <c r="AE232" s="431"/>
      <c r="AF232" s="434"/>
      <c r="AG232" s="431"/>
      <c r="AH232" s="267"/>
    </row>
    <row r="233" spans="1:34" ht="63" customHeight="1" x14ac:dyDescent="0.25">
      <c r="A233" s="203" t="s">
        <v>1210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71" t="str">
        <f t="shared" si="16"/>
        <v/>
      </c>
      <c r="P233" s="550" t="str">
        <f>IFERROR(O233-IFERROR(IF(L233="avec arrêt",IF(MONTH(N233)&lt;=mois_stat,0,N233-EOMONTH('Stats AT BDD'!$Y$2,0)),""),""),"")</f>
        <v/>
      </c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18"/>
        <v/>
      </c>
      <c r="AA233" s="189"/>
      <c r="AB233" s="199" t="str">
        <f t="shared" ca="1" si="17"/>
        <v/>
      </c>
      <c r="AC233" s="277"/>
      <c r="AD233" s="262"/>
      <c r="AE233" s="431"/>
      <c r="AF233" s="434"/>
      <c r="AG233" s="431"/>
      <c r="AH233" s="267"/>
    </row>
    <row r="234" spans="1:34" ht="63" customHeight="1" x14ac:dyDescent="0.25">
      <c r="A234" s="203" t="s">
        <v>1211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71" t="str">
        <f t="shared" ref="O234:O297" si="19">IF(L234="avec arrêt",(N234-M234)+1,"")</f>
        <v/>
      </c>
      <c r="P234" s="550" t="str">
        <f>IFERROR(O234-IFERROR(IF(L234="avec arrêt",IF(MONTH(N234)&lt;=mois_stat,0,N234-EOMONTH('Stats AT BDD'!$Y$2,0)),""),""),"")</f>
        <v/>
      </c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18"/>
        <v/>
      </c>
      <c r="AA234" s="189"/>
      <c r="AB234" s="199" t="str">
        <f t="shared" ca="1" si="17"/>
        <v/>
      </c>
      <c r="AC234" s="277"/>
      <c r="AD234" s="262"/>
      <c r="AE234" s="431"/>
      <c r="AF234" s="434"/>
      <c r="AG234" s="431"/>
      <c r="AH234" s="267"/>
    </row>
    <row r="235" spans="1:34" ht="63" customHeight="1" x14ac:dyDescent="0.25">
      <c r="A235" s="203" t="s">
        <v>1212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71" t="str">
        <f t="shared" si="19"/>
        <v/>
      </c>
      <c r="P235" s="550" t="str">
        <f>IFERROR(O235-IFERROR(IF(L235="avec arrêt",IF(MONTH(N235)&lt;=mois_stat,0,N235-EOMONTH('Stats AT BDD'!$Y$2,0)),""),""),"")</f>
        <v/>
      </c>
      <c r="Q235" s="190"/>
      <c r="R235" s="191"/>
      <c r="S235" s="191"/>
      <c r="T235" s="192"/>
      <c r="U235" s="194"/>
      <c r="V235" s="188"/>
      <c r="W235" s="188"/>
      <c r="X235" s="266"/>
      <c r="Y235" s="198"/>
      <c r="Z235" s="195" t="str">
        <f t="shared" si="18"/>
        <v/>
      </c>
      <c r="AA235" s="189"/>
      <c r="AB235" s="199" t="str">
        <f t="shared" ca="1" si="17"/>
        <v/>
      </c>
      <c r="AC235" s="277"/>
      <c r="AD235" s="262"/>
      <c r="AE235" s="431"/>
      <c r="AF235" s="434"/>
      <c r="AG235" s="431"/>
      <c r="AH235" s="267"/>
    </row>
    <row r="236" spans="1:34" ht="63" customHeight="1" x14ac:dyDescent="0.25">
      <c r="A236" s="203" t="s">
        <v>1213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71" t="str">
        <f t="shared" si="19"/>
        <v/>
      </c>
      <c r="P236" s="550" t="str">
        <f>IFERROR(O236-IFERROR(IF(L236="avec arrêt",IF(MONTH(N236)&lt;=mois_stat,0,N236-EOMONTH('Stats AT BDD'!$Y$2,0)),""),""),"")</f>
        <v/>
      </c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18"/>
        <v/>
      </c>
      <c r="AA236" s="189"/>
      <c r="AB236" s="199" t="str">
        <f t="shared" ca="1" si="17"/>
        <v/>
      </c>
      <c r="AC236" s="277"/>
      <c r="AD236" s="262"/>
      <c r="AE236" s="431"/>
      <c r="AF236" s="434"/>
      <c r="AG236" s="431"/>
      <c r="AH236" s="267"/>
    </row>
    <row r="237" spans="1:34" ht="63" customHeight="1" x14ac:dyDescent="0.25">
      <c r="A237" s="203" t="s">
        <v>1214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71" t="str">
        <f t="shared" si="19"/>
        <v/>
      </c>
      <c r="P237" s="550" t="str">
        <f>IFERROR(O237-IFERROR(IF(L237="avec arrêt",IF(MONTH(N237)&lt;=mois_stat,0,N237-EOMONTH('Stats AT BDD'!$Y$2,0)),""),""),"")</f>
        <v/>
      </c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18"/>
        <v/>
      </c>
      <c r="AA237" s="189"/>
      <c r="AB237" s="199" t="str">
        <f t="shared" ca="1" si="17"/>
        <v/>
      </c>
      <c r="AC237" s="277"/>
      <c r="AD237" s="262"/>
      <c r="AE237" s="431"/>
      <c r="AF237" s="434"/>
      <c r="AG237" s="431"/>
      <c r="AH237" s="267"/>
    </row>
    <row r="238" spans="1:34" ht="63" customHeight="1" x14ac:dyDescent="0.25">
      <c r="A238" s="203" t="s">
        <v>1215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71" t="str">
        <f t="shared" si="19"/>
        <v/>
      </c>
      <c r="P238" s="550" t="str">
        <f>IFERROR(O238-IFERROR(IF(L238="avec arrêt",IF(MONTH(N238)&lt;=mois_stat,0,N238-EOMONTH('Stats AT BDD'!$Y$2,0)),""),""),"")</f>
        <v/>
      </c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18"/>
        <v/>
      </c>
      <c r="AA238" s="189"/>
      <c r="AB238" s="199" t="str">
        <f t="shared" ca="1" si="17"/>
        <v/>
      </c>
      <c r="AC238" s="277"/>
      <c r="AD238" s="262"/>
      <c r="AE238" s="431"/>
      <c r="AF238" s="434"/>
      <c r="AG238" s="431"/>
      <c r="AH238" s="267"/>
    </row>
    <row r="239" spans="1:34" ht="63" customHeight="1" x14ac:dyDescent="0.25">
      <c r="A239" s="203" t="s">
        <v>1216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71" t="str">
        <f t="shared" si="19"/>
        <v/>
      </c>
      <c r="P239" s="550" t="str">
        <f>IFERROR(O239-IFERROR(IF(L239="avec arrêt",IF(MONTH(N239)&lt;=mois_stat,0,N239-EOMONTH('Stats AT BDD'!$Y$2,0)),""),""),"")</f>
        <v/>
      </c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18"/>
        <v/>
      </c>
      <c r="AA239" s="189"/>
      <c r="AB239" s="199" t="str">
        <f t="shared" ca="1" si="17"/>
        <v/>
      </c>
      <c r="AC239" s="277"/>
      <c r="AD239" s="262"/>
      <c r="AE239" s="431"/>
      <c r="AF239" s="434"/>
      <c r="AG239" s="431"/>
      <c r="AH239" s="267"/>
    </row>
    <row r="240" spans="1:34" ht="63" customHeight="1" x14ac:dyDescent="0.25">
      <c r="A240" s="203" t="s">
        <v>1217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71" t="str">
        <f t="shared" si="19"/>
        <v/>
      </c>
      <c r="P240" s="550" t="str">
        <f>IFERROR(O240-IFERROR(IF(L240="avec arrêt",IF(MONTH(N240)&lt;=mois_stat,0,N240-EOMONTH('Stats AT BDD'!$Y$2,0)),""),""),"")</f>
        <v/>
      </c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18"/>
        <v/>
      </c>
      <c r="AA240" s="189"/>
      <c r="AB240" s="199" t="str">
        <f t="shared" ca="1" si="17"/>
        <v/>
      </c>
      <c r="AC240" s="277"/>
      <c r="AD240" s="262"/>
      <c r="AE240" s="431"/>
      <c r="AF240" s="434"/>
      <c r="AG240" s="431"/>
      <c r="AH240" s="267"/>
    </row>
    <row r="241" spans="1:34" ht="63" customHeight="1" x14ac:dyDescent="0.25">
      <c r="A241" s="203" t="s">
        <v>1218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71" t="str">
        <f t="shared" si="19"/>
        <v/>
      </c>
      <c r="P241" s="550" t="str">
        <f>IFERROR(O241-IFERROR(IF(L241="avec arrêt",IF(MONTH(N241)&lt;=mois_stat,0,N241-EOMONTH('Stats AT BDD'!$Y$2,0)),""),""),"")</f>
        <v/>
      </c>
      <c r="Q241" s="190"/>
      <c r="R241" s="191"/>
      <c r="S241" s="191"/>
      <c r="T241" s="192"/>
      <c r="U241" s="194"/>
      <c r="V241" s="188"/>
      <c r="W241" s="188"/>
      <c r="X241" s="266"/>
      <c r="Y241" s="198"/>
      <c r="Z241" s="195" t="str">
        <f t="shared" si="18"/>
        <v/>
      </c>
      <c r="AA241" s="189"/>
      <c r="AB241" s="199" t="str">
        <f t="shared" ca="1" si="17"/>
        <v/>
      </c>
      <c r="AC241" s="277"/>
      <c r="AD241" s="262"/>
      <c r="AE241" s="431"/>
      <c r="AF241" s="434"/>
      <c r="AG241" s="431"/>
      <c r="AH241" s="267"/>
    </row>
    <row r="242" spans="1:34" ht="63" customHeight="1" x14ac:dyDescent="0.25">
      <c r="A242" s="203" t="s">
        <v>1219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71" t="str">
        <f t="shared" si="19"/>
        <v/>
      </c>
      <c r="P242" s="550" t="str">
        <f>IFERROR(O242-IFERROR(IF(L242="avec arrêt",IF(MONTH(N242)&lt;=mois_stat,0,N242-EOMONTH('Stats AT BDD'!$Y$2,0)),""),""),"")</f>
        <v/>
      </c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18"/>
        <v/>
      </c>
      <c r="AA242" s="189"/>
      <c r="AB242" s="199" t="str">
        <f t="shared" ca="1" si="17"/>
        <v/>
      </c>
      <c r="AC242" s="277"/>
      <c r="AD242" s="262"/>
      <c r="AE242" s="431"/>
      <c r="AF242" s="434"/>
      <c r="AG242" s="431"/>
      <c r="AH242" s="267"/>
    </row>
    <row r="243" spans="1:34" ht="63" customHeight="1" x14ac:dyDescent="0.25">
      <c r="A243" s="203" t="s">
        <v>1220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71" t="str">
        <f t="shared" si="19"/>
        <v/>
      </c>
      <c r="P243" s="550" t="str">
        <f>IFERROR(O243-IFERROR(IF(L243="avec arrêt",IF(MONTH(N243)&lt;=mois_stat,0,N243-EOMONTH('Stats AT BDD'!$Y$2,0)),""),""),"")</f>
        <v/>
      </c>
      <c r="Q243" s="190"/>
      <c r="R243" s="191"/>
      <c r="S243" s="191"/>
      <c r="T243" s="192"/>
      <c r="U243" s="194"/>
      <c r="V243" s="188"/>
      <c r="W243" s="188"/>
      <c r="X243" s="266"/>
      <c r="Y243" s="272"/>
      <c r="Z243" s="195" t="str">
        <f t="shared" si="18"/>
        <v/>
      </c>
      <c r="AA243" s="189"/>
      <c r="AB243" s="199" t="str">
        <f t="shared" ca="1" si="17"/>
        <v/>
      </c>
      <c r="AC243" s="277"/>
      <c r="AD243" s="262"/>
      <c r="AE243" s="431"/>
      <c r="AF243" s="434"/>
      <c r="AG243" s="431"/>
      <c r="AH243" s="267"/>
    </row>
    <row r="244" spans="1:34" ht="63" customHeight="1" x14ac:dyDescent="0.25">
      <c r="A244" s="203" t="s">
        <v>1221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71" t="str">
        <f t="shared" si="19"/>
        <v/>
      </c>
      <c r="P244" s="550" t="str">
        <f>IFERROR(O244-IFERROR(IF(L244="avec arrêt",IF(MONTH(N244)&lt;=mois_stat,0,N244-EOMONTH('Stats AT BDD'!$Y$2,0)),""),""),"")</f>
        <v/>
      </c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18"/>
        <v/>
      </c>
      <c r="AA244" s="189"/>
      <c r="AB244" s="199" t="str">
        <f t="shared" ca="1" si="17"/>
        <v/>
      </c>
      <c r="AC244" s="277"/>
      <c r="AD244" s="262"/>
      <c r="AE244" s="431"/>
      <c r="AF244" s="434"/>
      <c r="AG244" s="431"/>
      <c r="AH244" s="267"/>
    </row>
    <row r="245" spans="1:34" ht="63" customHeight="1" x14ac:dyDescent="0.25">
      <c r="A245" s="203" t="s">
        <v>1222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71" t="str">
        <f t="shared" si="19"/>
        <v/>
      </c>
      <c r="P245" s="550" t="str">
        <f>IFERROR(O245-IFERROR(IF(L245="avec arrêt",IF(MONTH(N245)&lt;=mois_stat,0,N245-EOMONTH('Stats AT BDD'!$Y$2,0)),""),""),"")</f>
        <v/>
      </c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18"/>
        <v/>
      </c>
      <c r="AA245" s="189"/>
      <c r="AB245" s="199" t="str">
        <f t="shared" ca="1" si="17"/>
        <v/>
      </c>
      <c r="AC245" s="277"/>
      <c r="AD245" s="262"/>
      <c r="AE245" s="431"/>
      <c r="AF245" s="434"/>
      <c r="AG245" s="431"/>
      <c r="AH245" s="267"/>
    </row>
    <row r="246" spans="1:34" ht="63" customHeight="1" x14ac:dyDescent="0.25">
      <c r="A246" s="203" t="s">
        <v>1223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71" t="str">
        <f t="shared" si="19"/>
        <v/>
      </c>
      <c r="P246" s="550" t="str">
        <f>IFERROR(O246-IFERROR(IF(L246="avec arrêt",IF(MONTH(N246)&lt;=mois_stat,0,N246-EOMONTH('Stats AT BDD'!$Y$2,0)),""),""),"")</f>
        <v/>
      </c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18"/>
        <v/>
      </c>
      <c r="AA246" s="189"/>
      <c r="AB246" s="199" t="str">
        <f t="shared" ca="1" si="17"/>
        <v/>
      </c>
      <c r="AC246" s="277"/>
      <c r="AD246" s="262"/>
      <c r="AE246" s="431"/>
      <c r="AF246" s="434"/>
      <c r="AG246" s="431"/>
      <c r="AH246" s="267"/>
    </row>
    <row r="247" spans="1:34" ht="63" customHeight="1" x14ac:dyDescent="0.25">
      <c r="A247" s="203" t="s">
        <v>1224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71" t="str">
        <f t="shared" si="19"/>
        <v/>
      </c>
      <c r="P247" s="550" t="str">
        <f>IFERROR(O247-IFERROR(IF(L247="avec arrêt",IF(MONTH(N247)&lt;=mois_stat,0,N247-EOMONTH('Stats AT BDD'!$Y$2,0)),""),""),"")</f>
        <v/>
      </c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18"/>
        <v/>
      </c>
      <c r="AA247" s="189"/>
      <c r="AB247" s="199" t="str">
        <f t="shared" ca="1" si="17"/>
        <v/>
      </c>
      <c r="AC247" s="277"/>
      <c r="AD247" s="262"/>
      <c r="AE247" s="431"/>
      <c r="AF247" s="434"/>
      <c r="AG247" s="431"/>
      <c r="AH247" s="267"/>
    </row>
    <row r="248" spans="1:34" ht="63" customHeight="1" x14ac:dyDescent="0.25">
      <c r="A248" s="203" t="s">
        <v>1225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71" t="str">
        <f t="shared" si="19"/>
        <v/>
      </c>
      <c r="P248" s="550" t="str">
        <f>IFERROR(O248-IFERROR(IF(L248="avec arrêt",IF(MONTH(N248)&lt;=mois_stat,0,N248-EOMONTH('Stats AT BDD'!$Y$2,0)),""),""),"")</f>
        <v/>
      </c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18"/>
        <v/>
      </c>
      <c r="AA248" s="189"/>
      <c r="AB248" s="199" t="str">
        <f t="shared" ca="1" si="17"/>
        <v/>
      </c>
      <c r="AC248" s="277"/>
      <c r="AD248" s="262"/>
      <c r="AE248" s="431"/>
      <c r="AF248" s="434"/>
      <c r="AG248" s="431"/>
      <c r="AH248" s="267"/>
    </row>
    <row r="249" spans="1:34" ht="63" customHeight="1" x14ac:dyDescent="0.25">
      <c r="A249" s="203" t="s">
        <v>1226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71" t="str">
        <f t="shared" si="19"/>
        <v/>
      </c>
      <c r="P249" s="550" t="str">
        <f>IFERROR(O249-IFERROR(IF(L249="avec arrêt",IF(MONTH(N249)&lt;=mois_stat,0,N249-EOMONTH('Stats AT BDD'!$Y$2,0)),""),""),"")</f>
        <v/>
      </c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18"/>
        <v/>
      </c>
      <c r="AA249" s="189"/>
      <c r="AB249" s="199" t="str">
        <f t="shared" ca="1" si="17"/>
        <v/>
      </c>
      <c r="AC249" s="277"/>
      <c r="AD249" s="262"/>
      <c r="AE249" s="431"/>
      <c r="AF249" s="434"/>
      <c r="AG249" s="431"/>
      <c r="AH249" s="267"/>
    </row>
    <row r="250" spans="1:34" ht="63" customHeight="1" x14ac:dyDescent="0.25">
      <c r="A250" s="203" t="s">
        <v>1227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71" t="str">
        <f t="shared" si="19"/>
        <v/>
      </c>
      <c r="P250" s="550" t="str">
        <f>IFERROR(O250-IFERROR(IF(L250="avec arrêt",IF(MONTH(N250)&lt;=mois_stat,0,N250-EOMONTH('Stats AT BDD'!$Y$2,0)),""),""),"")</f>
        <v/>
      </c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18"/>
        <v/>
      </c>
      <c r="AA250" s="189"/>
      <c r="AB250" s="199" t="str">
        <f t="shared" ca="1" si="17"/>
        <v/>
      </c>
      <c r="AC250" s="277"/>
      <c r="AD250" s="262"/>
      <c r="AE250" s="431"/>
      <c r="AF250" s="434"/>
      <c r="AG250" s="431"/>
      <c r="AH250" s="267"/>
    </row>
    <row r="251" spans="1:34" ht="63" customHeight="1" x14ac:dyDescent="0.25">
      <c r="A251" s="203" t="s">
        <v>1228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71" t="str">
        <f t="shared" si="19"/>
        <v/>
      </c>
      <c r="P251" s="550" t="str">
        <f>IFERROR(O251-IFERROR(IF(L251="avec arrêt",IF(MONTH(N251)&lt;=mois_stat,0,N251-EOMONTH('Stats AT BDD'!$Y$2,0)),""),""),"")</f>
        <v/>
      </c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18"/>
        <v/>
      </c>
      <c r="AA251" s="189"/>
      <c r="AB251" s="199" t="str">
        <f t="shared" ca="1" si="17"/>
        <v/>
      </c>
      <c r="AC251" s="277"/>
      <c r="AD251" s="262"/>
      <c r="AE251" s="431"/>
      <c r="AF251" s="434"/>
      <c r="AG251" s="431"/>
      <c r="AH251" s="267"/>
    </row>
    <row r="252" spans="1:34" ht="63" customHeight="1" x14ac:dyDescent="0.25">
      <c r="A252" s="203" t="s">
        <v>1229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71" t="str">
        <f t="shared" si="19"/>
        <v/>
      </c>
      <c r="P252" s="550" t="str">
        <f>IFERROR(O252-IFERROR(IF(L252="avec arrêt",IF(MONTH(N252)&lt;=mois_stat,0,N252-EOMONTH('Stats AT BDD'!$Y$2,0)),""),""),"")</f>
        <v/>
      </c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18"/>
        <v/>
      </c>
      <c r="AA252" s="189"/>
      <c r="AB252" s="199" t="str">
        <f t="shared" ca="1" si="17"/>
        <v/>
      </c>
      <c r="AC252" s="277"/>
      <c r="AD252" s="262"/>
      <c r="AE252" s="431"/>
      <c r="AF252" s="434"/>
      <c r="AG252" s="431"/>
      <c r="AH252" s="267"/>
    </row>
    <row r="253" spans="1:34" ht="63" customHeight="1" x14ac:dyDescent="0.25">
      <c r="A253" s="203" t="s">
        <v>1230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71" t="str">
        <f t="shared" si="19"/>
        <v/>
      </c>
      <c r="P253" s="550" t="str">
        <f>IFERROR(O253-IFERROR(IF(L253="avec arrêt",IF(MONTH(N253)&lt;=mois_stat,0,N253-EOMONTH('Stats AT BDD'!$Y$2,0)),""),""),"")</f>
        <v/>
      </c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18"/>
        <v/>
      </c>
      <c r="AA253" s="189"/>
      <c r="AB253" s="199" t="str">
        <f t="shared" ca="1" si="17"/>
        <v/>
      </c>
      <c r="AC253" s="277"/>
      <c r="AD253" s="262"/>
      <c r="AE253" s="431"/>
      <c r="AF253" s="434"/>
      <c r="AG253" s="431"/>
      <c r="AH253" s="267"/>
    </row>
    <row r="254" spans="1:34" ht="63" customHeight="1" x14ac:dyDescent="0.25">
      <c r="A254" s="203" t="s">
        <v>1231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71" t="str">
        <f t="shared" si="19"/>
        <v/>
      </c>
      <c r="P254" s="550" t="str">
        <f>IFERROR(O254-IFERROR(IF(L254="avec arrêt",IF(MONTH(N254)&lt;=mois_stat,0,N254-EOMONTH('Stats AT BDD'!$Y$2,0)),""),""),"")</f>
        <v/>
      </c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18"/>
        <v/>
      </c>
      <c r="AA254" s="189"/>
      <c r="AB254" s="199" t="str">
        <f t="shared" ca="1" si="17"/>
        <v/>
      </c>
      <c r="AC254" s="277"/>
      <c r="AD254" s="262"/>
      <c r="AE254" s="431"/>
      <c r="AF254" s="434"/>
      <c r="AG254" s="431"/>
      <c r="AH254" s="267"/>
    </row>
    <row r="255" spans="1:34" ht="63" customHeight="1" x14ac:dyDescent="0.25">
      <c r="A255" s="203" t="s">
        <v>1232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71" t="str">
        <f t="shared" si="19"/>
        <v/>
      </c>
      <c r="P255" s="550" t="str">
        <f>IFERROR(O255-IFERROR(IF(L255="avec arrêt",IF(MONTH(N255)&lt;=mois_stat,0,N255-EOMONTH('Stats AT BDD'!$Y$2,0)),""),""),"")</f>
        <v/>
      </c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18"/>
        <v/>
      </c>
      <c r="AA255" s="189"/>
      <c r="AB255" s="199" t="str">
        <f t="shared" ca="1" si="17"/>
        <v/>
      </c>
      <c r="AC255" s="277"/>
      <c r="AD255" s="262"/>
      <c r="AE255" s="431"/>
      <c r="AF255" s="434"/>
      <c r="AG255" s="431"/>
      <c r="AH255" s="267"/>
    </row>
    <row r="256" spans="1:34" ht="63" customHeight="1" x14ac:dyDescent="0.25">
      <c r="A256" s="203" t="s">
        <v>1233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71" t="str">
        <f t="shared" si="19"/>
        <v/>
      </c>
      <c r="P256" s="550" t="str">
        <f>IFERROR(O256-IFERROR(IF(L256="avec arrêt",IF(MONTH(N256)&lt;=mois_stat,0,N256-EOMONTH('Stats AT BDD'!$Y$2,0)),""),""),"")</f>
        <v/>
      </c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18"/>
        <v/>
      </c>
      <c r="AA256" s="189"/>
      <c r="AB256" s="199" t="str">
        <f t="shared" ca="1" si="17"/>
        <v/>
      </c>
      <c r="AC256" s="277"/>
      <c r="AD256" s="262"/>
      <c r="AE256" s="431"/>
      <c r="AF256" s="434"/>
      <c r="AG256" s="431"/>
      <c r="AH256" s="267"/>
    </row>
    <row r="257" spans="1:34" ht="63" customHeight="1" x14ac:dyDescent="0.25">
      <c r="A257" s="203" t="s">
        <v>1234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71" t="str">
        <f t="shared" si="19"/>
        <v/>
      </c>
      <c r="P257" s="550" t="str">
        <f>IFERROR(O257-IFERROR(IF(L257="avec arrêt",IF(MONTH(N257)&lt;=mois_stat,0,N257-EOMONTH('Stats AT BDD'!$Y$2,0)),""),""),"")</f>
        <v/>
      </c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18"/>
        <v/>
      </c>
      <c r="AA257" s="189"/>
      <c r="AB257" s="199" t="str">
        <f t="shared" ca="1" si="17"/>
        <v/>
      </c>
      <c r="AC257" s="277"/>
      <c r="AD257" s="262"/>
      <c r="AE257" s="431"/>
      <c r="AF257" s="434"/>
      <c r="AG257" s="431"/>
      <c r="AH257" s="267"/>
    </row>
    <row r="258" spans="1:34" ht="63" customHeight="1" x14ac:dyDescent="0.25">
      <c r="A258" s="203" t="s">
        <v>1235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71" t="str">
        <f t="shared" si="19"/>
        <v/>
      </c>
      <c r="P258" s="550" t="str">
        <f>IFERROR(O258-IFERROR(IF(L258="avec arrêt",IF(MONTH(N258)&lt;=mois_stat,0,N258-EOMONTH('Stats AT BDD'!$Y$2,0)),""),""),"")</f>
        <v/>
      </c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18"/>
        <v/>
      </c>
      <c r="AA258" s="189"/>
      <c r="AB258" s="199" t="str">
        <f t="shared" ca="1" si="17"/>
        <v/>
      </c>
      <c r="AC258" s="277"/>
      <c r="AD258" s="262"/>
      <c r="AE258" s="431"/>
      <c r="AF258" s="434"/>
      <c r="AG258" s="431"/>
      <c r="AH258" s="267"/>
    </row>
    <row r="259" spans="1:34" ht="63" customHeight="1" x14ac:dyDescent="0.25">
      <c r="A259" s="203" t="s">
        <v>1236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71" t="str">
        <f t="shared" si="19"/>
        <v/>
      </c>
      <c r="P259" s="550" t="str">
        <f>IFERROR(O259-IFERROR(IF(L259="avec arrêt",IF(MONTH(N259)&lt;=mois_stat,0,N259-EOMONTH('Stats AT BDD'!$Y$2,0)),""),""),"")</f>
        <v/>
      </c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18"/>
        <v/>
      </c>
      <c r="AA259" s="189"/>
      <c r="AB259" s="199" t="str">
        <f t="shared" ca="1" si="17"/>
        <v/>
      </c>
      <c r="AC259" s="277"/>
      <c r="AD259" s="262"/>
      <c r="AE259" s="431"/>
      <c r="AF259" s="434"/>
      <c r="AG259" s="431"/>
      <c r="AH259" s="267"/>
    </row>
    <row r="260" spans="1:34" ht="63" customHeight="1" x14ac:dyDescent="0.25">
      <c r="A260" s="203" t="s">
        <v>1237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71" t="str">
        <f t="shared" si="19"/>
        <v/>
      </c>
      <c r="P260" s="550" t="str">
        <f>IFERROR(O260-IFERROR(IF(L260="avec arrêt",IF(MONTH(N260)&lt;=mois_stat,0,N260-EOMONTH('Stats AT BDD'!$Y$2,0)),""),""),"")</f>
        <v/>
      </c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18"/>
        <v/>
      </c>
      <c r="AA260" s="189"/>
      <c r="AB260" s="199" t="str">
        <f t="shared" ca="1" si="17"/>
        <v/>
      </c>
      <c r="AC260" s="277"/>
      <c r="AD260" s="262"/>
      <c r="AE260" s="431"/>
      <c r="AF260" s="434"/>
      <c r="AG260" s="431"/>
      <c r="AH260" s="267"/>
    </row>
    <row r="261" spans="1:34" ht="63" customHeight="1" x14ac:dyDescent="0.25">
      <c r="A261" s="203" t="s">
        <v>1238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71" t="str">
        <f t="shared" si="19"/>
        <v/>
      </c>
      <c r="P261" s="550" t="str">
        <f>IFERROR(O261-IFERROR(IF(L261="avec arrêt",IF(MONTH(N261)&lt;=mois_stat,0,N261-EOMONTH('Stats AT BDD'!$Y$2,0)),""),""),"")</f>
        <v/>
      </c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18"/>
        <v/>
      </c>
      <c r="AA261" s="189"/>
      <c r="AB261" s="199" t="str">
        <f t="shared" ca="1" si="17"/>
        <v/>
      </c>
      <c r="AC261" s="277"/>
      <c r="AD261" s="262"/>
      <c r="AE261" s="431"/>
      <c r="AF261" s="434"/>
      <c r="AG261" s="431"/>
      <c r="AH261" s="267"/>
    </row>
    <row r="262" spans="1:34" ht="63" customHeight="1" x14ac:dyDescent="0.25">
      <c r="A262" s="203" t="s">
        <v>1239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71" t="str">
        <f t="shared" si="19"/>
        <v/>
      </c>
      <c r="P262" s="550" t="str">
        <f>IFERROR(O262-IFERROR(IF(L262="avec arrêt",IF(MONTH(N262)&lt;=mois_stat,0,N262-EOMONTH('Stats AT BDD'!$Y$2,0)),""),""),"")</f>
        <v/>
      </c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18"/>
        <v/>
      </c>
      <c r="AA262" s="189"/>
      <c r="AB262" s="199" t="str">
        <f t="shared" ca="1" si="17"/>
        <v/>
      </c>
      <c r="AC262" s="277"/>
      <c r="AD262" s="262"/>
      <c r="AE262" s="431"/>
      <c r="AF262" s="434"/>
      <c r="AG262" s="431"/>
      <c r="AH262" s="267"/>
    </row>
    <row r="263" spans="1:34" ht="63" customHeight="1" x14ac:dyDescent="0.25">
      <c r="A263" s="203" t="s">
        <v>1240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71" t="str">
        <f t="shared" si="19"/>
        <v/>
      </c>
      <c r="P263" s="550" t="str">
        <f>IFERROR(O263-IFERROR(IF(L263="avec arrêt",IF(MONTH(N263)&lt;=mois_stat,0,N263-EOMONTH('Stats AT BDD'!$Y$2,0)),""),""),"")</f>
        <v/>
      </c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18"/>
        <v/>
      </c>
      <c r="AA263" s="189"/>
      <c r="AB263" s="199" t="str">
        <f t="shared" ca="1" si="17"/>
        <v/>
      </c>
      <c r="AC263" s="277"/>
      <c r="AD263" s="262"/>
      <c r="AE263" s="431"/>
      <c r="AF263" s="434"/>
      <c r="AG263" s="431"/>
      <c r="AH263" s="267"/>
    </row>
    <row r="264" spans="1:34" ht="63" customHeight="1" x14ac:dyDescent="0.25">
      <c r="A264" s="203" t="s">
        <v>1241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71" t="str">
        <f t="shared" si="19"/>
        <v/>
      </c>
      <c r="P264" s="550" t="str">
        <f>IFERROR(O264-IFERROR(IF(L264="avec arrêt",IF(MONTH(N264)&lt;=mois_stat,0,N264-EOMONTH('Stats AT BDD'!$Y$2,0)),""),""),"")</f>
        <v/>
      </c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18"/>
        <v/>
      </c>
      <c r="AA264" s="189"/>
      <c r="AB264" s="199" t="str">
        <f t="shared" ca="1" si="17"/>
        <v/>
      </c>
      <c r="AC264" s="277"/>
      <c r="AD264" s="262"/>
      <c r="AE264" s="431"/>
      <c r="AF264" s="434"/>
      <c r="AG264" s="431"/>
      <c r="AH264" s="267"/>
    </row>
    <row r="265" spans="1:34" ht="63" customHeight="1" x14ac:dyDescent="0.25">
      <c r="A265" s="203" t="s">
        <v>1242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71" t="str">
        <f t="shared" si="19"/>
        <v/>
      </c>
      <c r="P265" s="550" t="str">
        <f>IFERROR(O265-IFERROR(IF(L265="avec arrêt",IF(MONTH(N265)&lt;=mois_stat,0,N265-EOMONTH('Stats AT BDD'!$Y$2,0)),""),""),"")</f>
        <v/>
      </c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18"/>
        <v/>
      </c>
      <c r="AA265" s="189"/>
      <c r="AB265" s="199" t="str">
        <f t="shared" ca="1" si="17"/>
        <v/>
      </c>
      <c r="AC265" s="277"/>
      <c r="AD265" s="262"/>
      <c r="AE265" s="431"/>
      <c r="AF265" s="434"/>
      <c r="AG265" s="431"/>
      <c r="AH265" s="267"/>
    </row>
    <row r="266" spans="1:34" ht="63" customHeight="1" x14ac:dyDescent="0.25">
      <c r="A266" s="203" t="s">
        <v>1243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71" t="str">
        <f t="shared" si="19"/>
        <v/>
      </c>
      <c r="P266" s="550" t="str">
        <f>IFERROR(O266-IFERROR(IF(L266="avec arrêt",IF(MONTH(N266)&lt;=mois_stat,0,N266-EOMONTH('Stats AT BDD'!$Y$2,0)),""),""),"")</f>
        <v/>
      </c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18"/>
        <v/>
      </c>
      <c r="AA266" s="189"/>
      <c r="AB266" s="199" t="str">
        <f t="shared" ca="1" si="17"/>
        <v/>
      </c>
      <c r="AC266" s="277"/>
      <c r="AD266" s="262"/>
      <c r="AE266" s="431"/>
      <c r="AF266" s="434"/>
      <c r="AG266" s="431"/>
      <c r="AH266" s="267"/>
    </row>
    <row r="267" spans="1:34" ht="63" customHeight="1" x14ac:dyDescent="0.25">
      <c r="A267" s="203" t="s">
        <v>1244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71" t="str">
        <f t="shared" si="19"/>
        <v/>
      </c>
      <c r="P267" s="550" t="str">
        <f>IFERROR(O267-IFERROR(IF(L267="avec arrêt",IF(MONTH(N267)&lt;=mois_stat,0,N267-EOMONTH('Stats AT BDD'!$Y$2,0)),""),""),"")</f>
        <v/>
      </c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18"/>
        <v/>
      </c>
      <c r="AA267" s="189"/>
      <c r="AB267" s="199" t="str">
        <f t="shared" ca="1" si="17"/>
        <v/>
      </c>
      <c r="AC267" s="277"/>
      <c r="AD267" s="262"/>
      <c r="AE267" s="431"/>
      <c r="AF267" s="434"/>
      <c r="AG267" s="431"/>
      <c r="AH267" s="267"/>
    </row>
    <row r="268" spans="1:34" ht="63" customHeight="1" x14ac:dyDescent="0.25">
      <c r="A268" s="203" t="s">
        <v>1245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71" t="str">
        <f t="shared" si="19"/>
        <v/>
      </c>
      <c r="P268" s="550" t="str">
        <f>IFERROR(O268-IFERROR(IF(L268="avec arrêt",IF(MONTH(N268)&lt;=mois_stat,0,N268-EOMONTH('Stats AT BDD'!$Y$2,0)),""),""),"")</f>
        <v/>
      </c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18"/>
        <v/>
      </c>
      <c r="AA268" s="189"/>
      <c r="AB268" s="199" t="str">
        <f t="shared" ca="1" si="17"/>
        <v/>
      </c>
      <c r="AC268" s="277"/>
      <c r="AD268" s="262"/>
      <c r="AE268" s="431"/>
      <c r="AF268" s="434"/>
      <c r="AG268" s="431"/>
      <c r="AH268" s="267"/>
    </row>
    <row r="269" spans="1:34" ht="63" customHeight="1" x14ac:dyDescent="0.25">
      <c r="A269" s="203" t="s">
        <v>1246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71" t="str">
        <f t="shared" si="19"/>
        <v/>
      </c>
      <c r="P269" s="550" t="str">
        <f>IFERROR(O269-IFERROR(IF(L269="avec arrêt",IF(MONTH(N269)&lt;=mois_stat,0,N269-EOMONTH('Stats AT BDD'!$Y$2,0)),""),""),"")</f>
        <v/>
      </c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18"/>
        <v/>
      </c>
      <c r="AA269" s="189"/>
      <c r="AB269" s="199" t="str">
        <f t="shared" ca="1" si="17"/>
        <v/>
      </c>
      <c r="AC269" s="277"/>
      <c r="AD269" s="262"/>
      <c r="AE269" s="431"/>
      <c r="AF269" s="434"/>
      <c r="AG269" s="431"/>
      <c r="AH269" s="267"/>
    </row>
    <row r="270" spans="1:34" ht="63" customHeight="1" x14ac:dyDescent="0.25">
      <c r="A270" s="203" t="s">
        <v>1247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71" t="str">
        <f t="shared" si="19"/>
        <v/>
      </c>
      <c r="P270" s="550" t="str">
        <f>IFERROR(O270-IFERROR(IF(L270="avec arrêt",IF(MONTH(N270)&lt;=mois_stat,0,N270-EOMONTH('Stats AT BDD'!$Y$2,0)),""),""),"")</f>
        <v/>
      </c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18"/>
        <v/>
      </c>
      <c r="AA270" s="189"/>
      <c r="AB270" s="199" t="str">
        <f t="shared" ca="1" si="17"/>
        <v/>
      </c>
      <c r="AC270" s="277"/>
      <c r="AD270" s="262"/>
      <c r="AE270" s="431"/>
      <c r="AF270" s="434"/>
      <c r="AG270" s="431"/>
      <c r="AH270" s="267"/>
    </row>
    <row r="271" spans="1:34" ht="63" customHeight="1" x14ac:dyDescent="0.25">
      <c r="A271" s="203" t="s">
        <v>1248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71" t="str">
        <f t="shared" si="19"/>
        <v/>
      </c>
      <c r="P271" s="550" t="str">
        <f>IFERROR(O271-IFERROR(IF(L271="avec arrêt",IF(MONTH(N271)&lt;=mois_stat,0,N271-EOMONTH('Stats AT BDD'!$Y$2,0)),""),""),"")</f>
        <v/>
      </c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18"/>
        <v/>
      </c>
      <c r="AA271" s="189"/>
      <c r="AB271" s="199" t="str">
        <f t="shared" ca="1" si="17"/>
        <v/>
      </c>
      <c r="AC271" s="277"/>
      <c r="AD271" s="262"/>
      <c r="AE271" s="431"/>
      <c r="AF271" s="434"/>
      <c r="AG271" s="431"/>
      <c r="AH271" s="267"/>
    </row>
    <row r="272" spans="1:34" ht="63" customHeight="1" x14ac:dyDescent="0.25">
      <c r="A272" s="203" t="s">
        <v>1249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71" t="str">
        <f t="shared" si="19"/>
        <v/>
      </c>
      <c r="P272" s="550" t="str">
        <f>IFERROR(O272-IFERROR(IF(L272="avec arrêt",IF(MONTH(N272)&lt;=mois_stat,0,N272-EOMONTH('Stats AT BDD'!$Y$2,0)),""),""),"")</f>
        <v/>
      </c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18"/>
        <v/>
      </c>
      <c r="AA272" s="189"/>
      <c r="AB272" s="199" t="str">
        <f t="shared" ca="1" si="17"/>
        <v/>
      </c>
      <c r="AC272" s="277"/>
      <c r="AD272" s="262"/>
      <c r="AE272" s="431"/>
      <c r="AF272" s="434"/>
      <c r="AG272" s="431"/>
      <c r="AH272" s="267"/>
    </row>
    <row r="273" spans="1:34" ht="63" customHeight="1" x14ac:dyDescent="0.25">
      <c r="A273" s="203" t="s">
        <v>1250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71" t="str">
        <f t="shared" si="19"/>
        <v/>
      </c>
      <c r="P273" s="550" t="str">
        <f>IFERROR(O273-IFERROR(IF(L273="avec arrêt",IF(MONTH(N273)&lt;=mois_stat,0,N273-EOMONTH('Stats AT BDD'!$Y$2,0)),""),""),"")</f>
        <v/>
      </c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18"/>
        <v/>
      </c>
      <c r="AA273" s="189"/>
      <c r="AB273" s="199" t="str">
        <f t="shared" ca="1" si="17"/>
        <v/>
      </c>
      <c r="AC273" s="277"/>
      <c r="AD273" s="262"/>
      <c r="AE273" s="431"/>
      <c r="AF273" s="434"/>
      <c r="AG273" s="431"/>
      <c r="AH273" s="267"/>
    </row>
    <row r="274" spans="1:34" ht="63" customHeight="1" x14ac:dyDescent="0.25">
      <c r="A274" s="203" t="s">
        <v>1251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71" t="str">
        <f t="shared" si="19"/>
        <v/>
      </c>
      <c r="P274" s="550" t="str">
        <f>IFERROR(O274-IFERROR(IF(L274="avec arrêt",IF(MONTH(N274)&lt;=mois_stat,0,N274-EOMONTH('Stats AT BDD'!$Y$2,0)),""),""),"")</f>
        <v/>
      </c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18"/>
        <v/>
      </c>
      <c r="AA274" s="189"/>
      <c r="AB274" s="199" t="str">
        <f t="shared" ca="1" si="17"/>
        <v/>
      </c>
      <c r="AC274" s="277"/>
      <c r="AD274" s="262"/>
      <c r="AE274" s="431"/>
      <c r="AF274" s="434"/>
      <c r="AG274" s="431"/>
      <c r="AH274" s="267"/>
    </row>
    <row r="275" spans="1:34" ht="63" customHeight="1" x14ac:dyDescent="0.25">
      <c r="A275" s="203" t="s">
        <v>1252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71" t="str">
        <f t="shared" si="19"/>
        <v/>
      </c>
      <c r="P275" s="550" t="str">
        <f>IFERROR(O275-IFERROR(IF(L275="avec arrêt",IF(MONTH(N275)&lt;=mois_stat,0,N275-EOMONTH('Stats AT BDD'!$Y$2,0)),""),""),"")</f>
        <v/>
      </c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18"/>
        <v/>
      </c>
      <c r="AA275" s="189"/>
      <c r="AB275" s="199" t="str">
        <f t="shared" ref="AB275:AB297" ca="1" si="20">IF(ISBLANK(AA275),IF(Z275&lt;TODAY(),"non",""),IF(AA275&gt;Z275,"non","oui"))</f>
        <v/>
      </c>
      <c r="AC275" s="277"/>
      <c r="AD275" s="262"/>
      <c r="AE275" s="431"/>
      <c r="AF275" s="434"/>
      <c r="AG275" s="431"/>
      <c r="AH275" s="267"/>
    </row>
    <row r="276" spans="1:34" ht="63" customHeight="1" x14ac:dyDescent="0.25">
      <c r="A276" s="203" t="s">
        <v>1253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71" t="str">
        <f t="shared" si="19"/>
        <v/>
      </c>
      <c r="P276" s="550" t="str">
        <f>IFERROR(O276-IFERROR(IF(L276="avec arrêt",IF(MONTH(N276)&lt;=mois_stat,0,N276-EOMONTH('Stats AT BDD'!$Y$2,0)),""),""),"")</f>
        <v/>
      </c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18"/>
        <v/>
      </c>
      <c r="AA276" s="189"/>
      <c r="AB276" s="199" t="str">
        <f t="shared" ca="1" si="20"/>
        <v/>
      </c>
      <c r="AC276" s="277"/>
      <c r="AD276" s="262"/>
      <c r="AE276" s="431"/>
      <c r="AF276" s="434"/>
      <c r="AG276" s="431"/>
      <c r="AH276" s="267"/>
    </row>
    <row r="277" spans="1:34" ht="63" customHeight="1" x14ac:dyDescent="0.25">
      <c r="A277" s="203" t="s">
        <v>1254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71" t="str">
        <f t="shared" si="19"/>
        <v/>
      </c>
      <c r="P277" s="550" t="str">
        <f>IFERROR(O277-IFERROR(IF(L277="avec arrêt",IF(MONTH(N277)&lt;=mois_stat,0,N277-EOMONTH('Stats AT BDD'!$Y$2,0)),""),""),"")</f>
        <v/>
      </c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18"/>
        <v/>
      </c>
      <c r="AA277" s="189"/>
      <c r="AB277" s="199" t="str">
        <f t="shared" ca="1" si="20"/>
        <v/>
      </c>
      <c r="AC277" s="277"/>
      <c r="AD277" s="262"/>
      <c r="AE277" s="431"/>
      <c r="AF277" s="434"/>
      <c r="AG277" s="431"/>
      <c r="AH277" s="267"/>
    </row>
    <row r="278" spans="1:34" ht="63" customHeight="1" x14ac:dyDescent="0.25">
      <c r="A278" s="203" t="s">
        <v>1255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71" t="str">
        <f t="shared" si="19"/>
        <v/>
      </c>
      <c r="P278" s="550" t="str">
        <f>IFERROR(O278-IFERROR(IF(L278="avec arrêt",IF(MONTH(N278)&lt;=mois_stat,0,N278-EOMONTH('Stats AT BDD'!$Y$2,0)),""),""),"")</f>
        <v/>
      </c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18"/>
        <v/>
      </c>
      <c r="AA278" s="189"/>
      <c r="AB278" s="199" t="str">
        <f t="shared" ca="1" si="20"/>
        <v/>
      </c>
      <c r="AC278" s="277"/>
      <c r="AD278" s="262"/>
      <c r="AE278" s="431"/>
      <c r="AF278" s="434"/>
      <c r="AG278" s="431"/>
      <c r="AH278" s="267"/>
    </row>
    <row r="279" spans="1:34" ht="63" customHeight="1" x14ac:dyDescent="0.25">
      <c r="A279" s="203" t="s">
        <v>1256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71" t="str">
        <f t="shared" si="19"/>
        <v/>
      </c>
      <c r="P279" s="550" t="str">
        <f>IFERROR(O279-IFERROR(IF(L279="avec arrêt",IF(MONTH(N279)&lt;=mois_stat,0,N279-EOMONTH('Stats AT BDD'!$Y$2,0)),""),""),"")</f>
        <v/>
      </c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18"/>
        <v/>
      </c>
      <c r="AA279" s="189"/>
      <c r="AB279" s="199" t="str">
        <f t="shared" ca="1" si="20"/>
        <v/>
      </c>
      <c r="AC279" s="277"/>
      <c r="AD279" s="262"/>
      <c r="AE279" s="431"/>
      <c r="AF279" s="434"/>
      <c r="AG279" s="431"/>
      <c r="AH279" s="267"/>
    </row>
    <row r="280" spans="1:34" ht="63" customHeight="1" x14ac:dyDescent="0.25">
      <c r="A280" s="203" t="s">
        <v>1257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71" t="str">
        <f t="shared" si="19"/>
        <v/>
      </c>
      <c r="P280" s="550" t="str">
        <f>IFERROR(O280-IFERROR(IF(L280="avec arrêt",IF(MONTH(N280)&lt;=mois_stat,0,N280-EOMONTH('Stats AT BDD'!$Y$2,0)),""),""),"")</f>
        <v/>
      </c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18"/>
        <v/>
      </c>
      <c r="AA280" s="189"/>
      <c r="AB280" s="199" t="str">
        <f t="shared" ca="1" si="20"/>
        <v/>
      </c>
      <c r="AC280" s="277"/>
      <c r="AD280" s="262"/>
      <c r="AE280" s="431"/>
      <c r="AF280" s="434"/>
      <c r="AG280" s="431"/>
      <c r="AH280" s="267"/>
    </row>
    <row r="281" spans="1:34" ht="63" customHeight="1" x14ac:dyDescent="0.25">
      <c r="A281" s="203" t="s">
        <v>1258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71" t="str">
        <f t="shared" si="19"/>
        <v/>
      </c>
      <c r="P281" s="550" t="str">
        <f>IFERROR(O281-IFERROR(IF(L281="avec arrêt",IF(MONTH(N281)&lt;=mois_stat,0,N281-EOMONTH('Stats AT BDD'!$Y$2,0)),""),""),"")</f>
        <v/>
      </c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18"/>
        <v/>
      </c>
      <c r="AA281" s="189"/>
      <c r="AB281" s="199" t="str">
        <f t="shared" ca="1" si="20"/>
        <v/>
      </c>
      <c r="AC281" s="277"/>
      <c r="AD281" s="262"/>
      <c r="AE281" s="431"/>
      <c r="AF281" s="434"/>
      <c r="AG281" s="431"/>
      <c r="AH281" s="267"/>
    </row>
    <row r="282" spans="1:34" ht="63" customHeight="1" x14ac:dyDescent="0.25">
      <c r="A282" s="203" t="s">
        <v>1259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71" t="str">
        <f t="shared" si="19"/>
        <v/>
      </c>
      <c r="P282" s="550" t="str">
        <f>IFERROR(O282-IFERROR(IF(L282="avec arrêt",IF(MONTH(N282)&lt;=mois_stat,0,N282-EOMONTH('Stats AT BDD'!$Y$2,0)),""),""),"")</f>
        <v/>
      </c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18"/>
        <v/>
      </c>
      <c r="AA282" s="189"/>
      <c r="AB282" s="199" t="str">
        <f t="shared" ca="1" si="20"/>
        <v/>
      </c>
      <c r="AC282" s="277"/>
      <c r="AD282" s="262"/>
      <c r="AE282" s="431"/>
      <c r="AF282" s="434"/>
      <c r="AG282" s="431"/>
      <c r="AH282" s="267"/>
    </row>
    <row r="283" spans="1:34" ht="63" customHeight="1" x14ac:dyDescent="0.25">
      <c r="A283" s="203" t="s">
        <v>1260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71" t="str">
        <f t="shared" si="19"/>
        <v/>
      </c>
      <c r="P283" s="550" t="str">
        <f>IFERROR(O283-IFERROR(IF(L283="avec arrêt",IF(MONTH(N283)&lt;=mois_stat,0,N283-EOMONTH('Stats AT BDD'!$Y$2,0)),""),""),"")</f>
        <v/>
      </c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18"/>
        <v/>
      </c>
      <c r="AA283" s="189"/>
      <c r="AB283" s="199" t="str">
        <f t="shared" ca="1" si="20"/>
        <v/>
      </c>
      <c r="AC283" s="277"/>
      <c r="AD283" s="262"/>
      <c r="AE283" s="431"/>
      <c r="AF283" s="434"/>
      <c r="AG283" s="431"/>
      <c r="AH283" s="267"/>
    </row>
    <row r="284" spans="1:34" ht="63" customHeight="1" x14ac:dyDescent="0.25">
      <c r="A284" s="203" t="s">
        <v>1261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71" t="str">
        <f t="shared" si="19"/>
        <v/>
      </c>
      <c r="P284" s="550" t="str">
        <f>IFERROR(O284-IFERROR(IF(L284="avec arrêt",IF(MONTH(N284)&lt;=mois_stat,0,N284-EOMONTH('Stats AT BDD'!$Y$2,0)),""),""),"")</f>
        <v/>
      </c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18"/>
        <v/>
      </c>
      <c r="AA284" s="189"/>
      <c r="AB284" s="199" t="str">
        <f t="shared" ca="1" si="20"/>
        <v/>
      </c>
      <c r="AC284" s="277"/>
      <c r="AD284" s="262"/>
      <c r="AE284" s="431"/>
      <c r="AF284" s="434"/>
      <c r="AG284" s="431"/>
      <c r="AH284" s="267"/>
    </row>
    <row r="285" spans="1:34" ht="63" customHeight="1" x14ac:dyDescent="0.25">
      <c r="A285" s="203" t="s">
        <v>1262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71" t="str">
        <f t="shared" si="19"/>
        <v/>
      </c>
      <c r="P285" s="550" t="str">
        <f>IFERROR(O285-IFERROR(IF(L285="avec arrêt",IF(MONTH(N285)&lt;=mois_stat,0,N285-EOMONTH('Stats AT BDD'!$Y$2,0)),""),""),"")</f>
        <v/>
      </c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18"/>
        <v/>
      </c>
      <c r="AA285" s="189"/>
      <c r="AB285" s="199" t="str">
        <f t="shared" ca="1" si="20"/>
        <v/>
      </c>
      <c r="AC285" s="277"/>
      <c r="AD285" s="262"/>
      <c r="AE285" s="431"/>
      <c r="AF285" s="434"/>
      <c r="AG285" s="431"/>
      <c r="AH285" s="267"/>
    </row>
    <row r="286" spans="1:34" ht="63" customHeight="1" x14ac:dyDescent="0.25">
      <c r="A286" s="203" t="s">
        <v>1263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71" t="str">
        <f t="shared" si="19"/>
        <v/>
      </c>
      <c r="P286" s="550" t="str">
        <f>IFERROR(O286-IFERROR(IF(L286="avec arrêt",IF(MONTH(N286)&lt;=mois_stat,0,N286-EOMONTH('Stats AT BDD'!$Y$2,0)),""),""),"")</f>
        <v/>
      </c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1">IF(ISBLANK(I286),"",I286+7)</f>
        <v/>
      </c>
      <c r="AA286" s="189"/>
      <c r="AB286" s="199" t="str">
        <f t="shared" ca="1" si="20"/>
        <v/>
      </c>
      <c r="AC286" s="277"/>
      <c r="AD286" s="262"/>
      <c r="AE286" s="431"/>
      <c r="AF286" s="434"/>
      <c r="AG286" s="431"/>
      <c r="AH286" s="267"/>
    </row>
    <row r="287" spans="1:34" ht="63" customHeight="1" x14ac:dyDescent="0.25">
      <c r="A287" s="203" t="s">
        <v>1264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71" t="str">
        <f t="shared" si="19"/>
        <v/>
      </c>
      <c r="P287" s="550" t="str">
        <f>IFERROR(O287-IFERROR(IF(L287="avec arrêt",IF(MONTH(N287)&lt;=mois_stat,0,N287-EOMONTH('Stats AT BDD'!$Y$2,0)),""),""),"")</f>
        <v/>
      </c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1"/>
        <v/>
      </c>
      <c r="AA287" s="189"/>
      <c r="AB287" s="199" t="str">
        <f t="shared" ca="1" si="20"/>
        <v/>
      </c>
      <c r="AC287" s="277"/>
      <c r="AD287" s="262"/>
      <c r="AE287" s="431"/>
      <c r="AF287" s="434"/>
      <c r="AG287" s="431"/>
      <c r="AH287" s="267"/>
    </row>
    <row r="288" spans="1:34" ht="51" customHeight="1" x14ac:dyDescent="0.25">
      <c r="A288" s="203" t="s">
        <v>1265</v>
      </c>
      <c r="B288" s="259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71" t="str">
        <f t="shared" si="19"/>
        <v/>
      </c>
      <c r="P288" s="550" t="str">
        <f>IFERROR(O288-IFERROR(IF(L288="avec arrêt",IF(MONTH(N288)&lt;=mois_stat,0,N288-EOMONTH('Stats AT BDD'!$Y$2,0)),""),""),"")</f>
        <v/>
      </c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1"/>
        <v/>
      </c>
      <c r="AA288" s="189"/>
      <c r="AB288" s="199" t="str">
        <f t="shared" ca="1" si="20"/>
        <v/>
      </c>
      <c r="AC288" s="277"/>
      <c r="AD288" s="262"/>
      <c r="AE288" s="431"/>
      <c r="AF288" s="434"/>
      <c r="AG288" s="431"/>
      <c r="AH288" s="267"/>
    </row>
    <row r="289" spans="1:34" ht="51" customHeight="1" x14ac:dyDescent="0.25">
      <c r="A289" s="203" t="s">
        <v>1266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71" t="str">
        <f t="shared" si="19"/>
        <v/>
      </c>
      <c r="P289" s="550" t="str">
        <f>IFERROR(O289-IFERROR(IF(L289="avec arrêt",IF(MONTH(N289)&lt;=mois_stat,0,N289-EOMONTH('Stats AT BDD'!$Y$2,0)),""),""),"")</f>
        <v/>
      </c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1"/>
        <v/>
      </c>
      <c r="AA289" s="189"/>
      <c r="AB289" s="199" t="str">
        <f t="shared" ca="1" si="20"/>
        <v/>
      </c>
      <c r="AC289" s="277"/>
      <c r="AD289" s="262"/>
      <c r="AE289" s="431"/>
      <c r="AF289" s="434"/>
      <c r="AG289" s="431"/>
      <c r="AH289" s="267"/>
    </row>
    <row r="290" spans="1:34" ht="67.5" customHeight="1" x14ac:dyDescent="0.25">
      <c r="A290" s="203" t="s">
        <v>1267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71" t="str">
        <f t="shared" si="19"/>
        <v/>
      </c>
      <c r="P290" s="550" t="str">
        <f>IFERROR(O290-IFERROR(IF(L290="avec arrêt",IF(MONTH(N290)&lt;=mois_stat,0,N290-EOMONTH('Stats AT BDD'!$Y$2,0)),""),""),"")</f>
        <v/>
      </c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1"/>
        <v/>
      </c>
      <c r="AA290" s="189"/>
      <c r="AB290" s="199" t="str">
        <f t="shared" ca="1" si="20"/>
        <v/>
      </c>
      <c r="AC290" s="277"/>
      <c r="AD290" s="262"/>
      <c r="AE290" s="431"/>
      <c r="AF290" s="434"/>
      <c r="AG290" s="431"/>
      <c r="AH290" s="267"/>
    </row>
    <row r="291" spans="1:34" ht="66" customHeight="1" x14ac:dyDescent="0.25">
      <c r="A291" s="203" t="s">
        <v>1268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71" t="str">
        <f t="shared" si="19"/>
        <v/>
      </c>
      <c r="P291" s="550" t="str">
        <f>IFERROR(O291-IFERROR(IF(L291="avec arrêt",IF(MONTH(N291)&lt;=mois_stat,0,N291-EOMONTH('Stats AT BDD'!$Y$2,0)),""),""),"")</f>
        <v/>
      </c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1"/>
        <v/>
      </c>
      <c r="AA291" s="189"/>
      <c r="AB291" s="199" t="str">
        <f t="shared" ca="1" si="20"/>
        <v/>
      </c>
      <c r="AC291" s="277"/>
      <c r="AD291" s="262"/>
      <c r="AE291" s="431"/>
      <c r="AF291" s="434"/>
      <c r="AG291" s="431"/>
      <c r="AH291" s="267"/>
    </row>
    <row r="292" spans="1:34" ht="66" customHeight="1" x14ac:dyDescent="0.25">
      <c r="A292" s="203" t="s">
        <v>1269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71" t="str">
        <f t="shared" si="19"/>
        <v/>
      </c>
      <c r="P292" s="550" t="str">
        <f>IFERROR(O292-IFERROR(IF(L292="avec arrêt",IF(MONTH(N292)&lt;=mois_stat,0,N292-EOMONTH('Stats AT BDD'!$Y$2,0)),""),""),"")</f>
        <v/>
      </c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1"/>
        <v/>
      </c>
      <c r="AA292" s="189"/>
      <c r="AB292" s="199" t="str">
        <f t="shared" ca="1" si="20"/>
        <v/>
      </c>
      <c r="AC292" s="277"/>
      <c r="AD292" s="262"/>
      <c r="AE292" s="431"/>
      <c r="AF292" s="434"/>
      <c r="AG292" s="431"/>
      <c r="AH292" s="267"/>
    </row>
    <row r="293" spans="1:34" ht="75" customHeight="1" x14ac:dyDescent="0.25">
      <c r="A293" s="203" t="s">
        <v>1270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71" t="str">
        <f t="shared" si="19"/>
        <v/>
      </c>
      <c r="P293" s="550" t="str">
        <f>IFERROR(O293-IFERROR(IF(L293="avec arrêt",IF(MONTH(N293)&lt;=mois_stat,0,N293-EOMONTH('Stats AT BDD'!$Y$2,0)),""),""),"")</f>
        <v/>
      </c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1"/>
        <v/>
      </c>
      <c r="AA293" s="189"/>
      <c r="AB293" s="199" t="str">
        <f t="shared" ca="1" si="20"/>
        <v/>
      </c>
      <c r="AC293" s="277"/>
      <c r="AD293" s="262"/>
      <c r="AE293" s="431"/>
      <c r="AF293" s="434"/>
      <c r="AG293" s="431"/>
      <c r="AH293" s="267"/>
    </row>
    <row r="294" spans="1:34" ht="75" customHeight="1" x14ac:dyDescent="0.25">
      <c r="A294" s="203" t="s">
        <v>1271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71" t="str">
        <f t="shared" si="19"/>
        <v/>
      </c>
      <c r="P294" s="550" t="str">
        <f>IFERROR(O294-IFERROR(IF(L294="avec arrêt",IF(MONTH(N294)&lt;=mois_stat,0,N294-EOMONTH('Stats AT BDD'!$Y$2,0)),""),""),"")</f>
        <v/>
      </c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1"/>
        <v/>
      </c>
      <c r="AA294" s="189"/>
      <c r="AB294" s="199" t="str">
        <f t="shared" ca="1" si="20"/>
        <v/>
      </c>
      <c r="AC294" s="277"/>
      <c r="AD294" s="262"/>
      <c r="AE294" s="431"/>
      <c r="AF294" s="434"/>
      <c r="AG294" s="431"/>
      <c r="AH294" s="267"/>
    </row>
    <row r="295" spans="1:34" ht="75" customHeight="1" x14ac:dyDescent="0.25">
      <c r="A295" s="203" t="s">
        <v>1272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71" t="str">
        <f t="shared" si="19"/>
        <v/>
      </c>
      <c r="P295" s="550" t="str">
        <f>IFERROR(O295-IFERROR(IF(L295="avec arrêt",IF(MONTH(N295)&lt;=mois_stat,0,N295-EOMONTH('Stats AT BDD'!$Y$2,0)),""),""),"")</f>
        <v/>
      </c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1"/>
        <v/>
      </c>
      <c r="AA295" s="189"/>
      <c r="AB295" s="199" t="str">
        <f t="shared" ca="1" si="20"/>
        <v/>
      </c>
      <c r="AC295" s="277"/>
      <c r="AD295" s="262"/>
      <c r="AE295" s="431"/>
      <c r="AF295" s="434"/>
      <c r="AG295" s="431"/>
      <c r="AH295" s="267"/>
    </row>
    <row r="296" spans="1:34" ht="75" customHeight="1" x14ac:dyDescent="0.25">
      <c r="A296" s="203" t="s">
        <v>1273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71" t="str">
        <f t="shared" si="19"/>
        <v/>
      </c>
      <c r="P296" s="550" t="str">
        <f>IFERROR(O296-IFERROR(IF(L296="avec arrêt",IF(MONTH(N296)&lt;=mois_stat,0,N296-EOMONTH('Stats AT BDD'!$Y$2,0)),""),""),"")</f>
        <v/>
      </c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1"/>
        <v/>
      </c>
      <c r="AA296" s="189"/>
      <c r="AB296" s="199" t="str">
        <f t="shared" ca="1" si="20"/>
        <v/>
      </c>
      <c r="AC296" s="277"/>
      <c r="AD296" s="262"/>
      <c r="AE296" s="431"/>
      <c r="AF296" s="434"/>
      <c r="AG296" s="431"/>
      <c r="AH296" s="267"/>
    </row>
    <row r="297" spans="1:34" ht="71.25" customHeight="1" x14ac:dyDescent="0.25">
      <c r="A297" s="203" t="s">
        <v>1274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71" t="str">
        <f t="shared" si="19"/>
        <v/>
      </c>
      <c r="P297" s="550" t="str">
        <f>IFERROR(O297-IFERROR(IF(L297="avec arrêt",IF(MONTH(N297)&lt;=mois_stat,0,N297-EOMONTH('Stats AT BDD'!$Y$2,0)),""),""),"")</f>
        <v/>
      </c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1"/>
        <v/>
      </c>
      <c r="AA297" s="189"/>
      <c r="AB297" s="199" t="str">
        <f t="shared" ca="1" si="20"/>
        <v/>
      </c>
      <c r="AC297" s="277"/>
      <c r="AD297" s="262"/>
      <c r="AE297" s="431"/>
      <c r="AF297" s="434"/>
      <c r="AG297" s="431"/>
      <c r="AH297" s="267"/>
    </row>
  </sheetData>
  <autoFilter ref="A6:AH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64" priority="55" stopIfTrue="1" operator="equal">
      <formula>"avec arrêt"</formula>
    </cfRule>
  </conditionalFormatting>
  <conditionalFormatting sqref="M7:M297">
    <cfRule type="expression" dxfId="63" priority="73" stopIfTrue="1">
      <formula>L7="avec arrêt"</formula>
    </cfRule>
    <cfRule type="expression" dxfId="62" priority="74" stopIfTrue="1">
      <formula>L7="décès"</formula>
    </cfRule>
  </conditionalFormatting>
  <conditionalFormatting sqref="N7:N297">
    <cfRule type="expression" dxfId="61" priority="75" stopIfTrue="1">
      <formula>L7="avec arrêt"</formula>
    </cfRule>
    <cfRule type="expression" dxfId="60" priority="76" stopIfTrue="1">
      <formula>L7="décès"</formula>
    </cfRule>
  </conditionalFormatting>
  <conditionalFormatting sqref="O7:P297">
    <cfRule type="cellIs" dxfId="59" priority="77" stopIfTrue="1" operator="notEqual">
      <formula>""</formula>
    </cfRule>
    <cfRule type="expression" dxfId="58" priority="78" stopIfTrue="1">
      <formula>L7="sans arrêt"</formula>
    </cfRule>
    <cfRule type="expression" dxfId="57" priority="79" stopIfTrue="1">
      <formula>L7="décès"</formula>
    </cfRule>
  </conditionalFormatting>
  <conditionalFormatting sqref="O7:P297">
    <cfRule type="cellIs" dxfId="56" priority="49" operator="equal">
      <formula>0</formula>
    </cfRule>
  </conditionalFormatting>
  <conditionalFormatting sqref="F7:F297">
    <cfRule type="containsText" dxfId="55" priority="33" operator="containsText" text="TRAIN">
      <formula>NOT(ISERROR(SEARCH("TRAIN",F7)))</formula>
    </cfRule>
    <cfRule type="containsText" dxfId="54" priority="41" operator="containsText" text="TER EST">
      <formula>NOT(ISERROR(SEARCH("TER EST",F7)))</formula>
    </cfRule>
    <cfRule type="containsText" dxfId="53" priority="42" operator="containsText" text="TER OUEST">
      <formula>NOT(ISERROR(SEARCH("TER OUEST",F7)))</formula>
    </cfRule>
  </conditionalFormatting>
  <conditionalFormatting sqref="F7:F297">
    <cfRule type="containsText" dxfId="52" priority="40" operator="containsText" text="SIEGE">
      <formula>NOT(ISERROR(SEARCH("SIEGE",F7)))</formula>
    </cfRule>
  </conditionalFormatting>
  <conditionalFormatting sqref="M7:M297">
    <cfRule type="expression" dxfId="51" priority="39">
      <formula>L7="sans arrêt"</formula>
    </cfRule>
  </conditionalFormatting>
  <conditionalFormatting sqref="N7:N297">
    <cfRule type="expression" dxfId="50" priority="37">
      <formula>L7="sans arrêt"</formula>
    </cfRule>
    <cfRule type="expression" dxfId="49" priority="38">
      <formula>M7="sans arrêt"</formula>
    </cfRule>
  </conditionalFormatting>
  <conditionalFormatting sqref="F7:F79">
    <cfRule type="containsText" dxfId="48" priority="32" operator="containsText" text="EMI">
      <formula>NOT(ISERROR(SEARCH("EMI",F7)))</formula>
    </cfRule>
  </conditionalFormatting>
  <conditionalFormatting sqref="AG7:AH64 AB7:AD64">
    <cfRule type="containsText" dxfId="47" priority="47" operator="containsText" text="non">
      <formula>NOT(ISERROR(SEARCH("non",AB7)))</formula>
    </cfRule>
    <cfRule type="containsText" dxfId="46" priority="48" operator="containsText" text="oui">
      <formula>NOT(ISERROR(SEARCH("oui",AB7)))</formula>
    </cfRule>
    <cfRule type="containsBlanks" dxfId="45" priority="80">
      <formula>LEN(TRIM(AB7))=0</formula>
    </cfRule>
  </conditionalFormatting>
  <dataValidations count="10">
    <dataValidation type="list" allowBlank="1" showInputMessage="1" showErrorMessage="1" sqref="G72:H297 AE74:AE297 AD72:AD297 AF72:AG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AG66:AG71 AF7:AF71 AH7:AH75 G7:H71">
      <formula1>$G$2:$G$4</formula1>
    </dataValidation>
    <dataValidation type="list" allowBlank="1" showInputMessage="1" showErrorMessage="1" sqref="F8:F297">
      <formula1>UO_ESV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0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déroulantes'!$A$3:$A$44</xm:f>
          </x14:formula1>
          <xm:sqref>E7</xm:sqref>
        </x14:dataValidation>
        <x14:dataValidation type="list" allowBlank="1" showInputMessage="1" showErrorMessage="1">
          <x14:formula1>
            <xm:f>'Listes déroulantes'!$A$2:$A$24</xm:f>
          </x14:formula1>
          <xm:sqref>E8:E297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0"/>
  <sheetViews>
    <sheetView zoomScale="85" zoomScaleNormal="85" workbookViewId="0">
      <pane ySplit="1" topLeftCell="A35" activePane="bottomLeft" state="frozen"/>
      <selection pane="bottomLeft" activeCell="B44" sqref="B44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8" customWidth="1"/>
  </cols>
  <sheetData>
    <row r="1" spans="1:27" s="96" customFormat="1" ht="33.75" customHeight="1" thickBot="1" x14ac:dyDescent="0.3">
      <c r="A1" s="182" t="s">
        <v>547</v>
      </c>
      <c r="B1" s="183" t="s">
        <v>16</v>
      </c>
      <c r="C1" s="598" t="s">
        <v>548</v>
      </c>
      <c r="D1" s="599"/>
      <c r="E1" s="184" t="s">
        <v>549</v>
      </c>
      <c r="F1" s="99" t="s">
        <v>560</v>
      </c>
      <c r="G1" s="100" t="s">
        <v>561</v>
      </c>
      <c r="H1" s="98" t="s">
        <v>585</v>
      </c>
      <c r="I1" s="98" t="s">
        <v>550</v>
      </c>
      <c r="J1" s="102" t="s">
        <v>551</v>
      </c>
      <c r="K1" s="101" t="s">
        <v>552</v>
      </c>
      <c r="L1" s="127" t="s">
        <v>586</v>
      </c>
      <c r="M1" s="101" t="s">
        <v>793</v>
      </c>
      <c r="N1" s="101" t="s">
        <v>794</v>
      </c>
    </row>
    <row r="2" spans="1:27" ht="26.25" customHeight="1" thickBot="1" x14ac:dyDescent="0.3">
      <c r="A2" s="283" t="s">
        <v>820</v>
      </c>
      <c r="B2" s="541" t="s">
        <v>1278</v>
      </c>
      <c r="C2" s="279"/>
      <c r="D2" s="280"/>
      <c r="E2" s="301" t="s">
        <v>1343</v>
      </c>
      <c r="F2" s="379"/>
      <c r="G2" s="444"/>
      <c r="H2" s="299"/>
      <c r="I2" s="390"/>
      <c r="J2" s="282"/>
      <c r="K2" s="282"/>
      <c r="L2" s="291" t="s">
        <v>587</v>
      </c>
      <c r="N2" s="291"/>
    </row>
    <row r="3" spans="1:27" ht="26.25" customHeight="1" thickBot="1" x14ac:dyDescent="0.3">
      <c r="A3" s="283" t="s">
        <v>819</v>
      </c>
      <c r="B3" s="541" t="s">
        <v>1278</v>
      </c>
      <c r="C3" s="279"/>
      <c r="D3" s="280"/>
      <c r="E3" s="301" t="s">
        <v>1344</v>
      </c>
      <c r="F3" s="379"/>
      <c r="G3" s="444"/>
      <c r="H3" s="299"/>
      <c r="I3" s="390"/>
      <c r="J3" s="282"/>
      <c r="K3" s="282"/>
      <c r="L3" s="291" t="s">
        <v>587</v>
      </c>
      <c r="N3" s="291"/>
      <c r="AA3" t="s">
        <v>587</v>
      </c>
    </row>
    <row r="4" spans="1:27" ht="26.25" customHeight="1" x14ac:dyDescent="0.25">
      <c r="A4" s="283" t="s">
        <v>736</v>
      </c>
      <c r="B4" s="541" t="s">
        <v>1278</v>
      </c>
      <c r="C4" s="279">
        <v>587022</v>
      </c>
      <c r="D4" s="280">
        <v>603745203</v>
      </c>
      <c r="E4" s="447" t="s">
        <v>1322</v>
      </c>
      <c r="F4" s="327"/>
      <c r="G4" s="327"/>
      <c r="H4" s="293"/>
      <c r="I4" s="293"/>
      <c r="J4" s="292"/>
      <c r="K4" s="291"/>
      <c r="L4" s="291" t="s">
        <v>588</v>
      </c>
      <c r="M4" s="291"/>
      <c r="N4" s="291"/>
    </row>
    <row r="5" spans="1:27" ht="26.25" customHeight="1" x14ac:dyDescent="0.25">
      <c r="A5" s="543" t="s">
        <v>806</v>
      </c>
      <c r="B5" s="542" t="s">
        <v>1278</v>
      </c>
      <c r="C5" s="279" t="s">
        <v>787</v>
      </c>
      <c r="D5" s="280" t="s">
        <v>786</v>
      </c>
      <c r="E5" s="287" t="s">
        <v>544</v>
      </c>
      <c r="F5" s="290"/>
      <c r="G5" s="291"/>
      <c r="H5" s="292"/>
      <c r="I5" s="291"/>
      <c r="J5" s="315"/>
      <c r="K5" s="291"/>
      <c r="L5" s="291" t="s">
        <v>588</v>
      </c>
      <c r="M5" s="291"/>
      <c r="N5" s="291"/>
    </row>
    <row r="6" spans="1:27" s="278" customFormat="1" ht="26.25" customHeight="1" x14ac:dyDescent="0.25">
      <c r="A6" s="543" t="s">
        <v>806</v>
      </c>
      <c r="B6" s="542" t="s">
        <v>1278</v>
      </c>
      <c r="C6" s="279" t="s">
        <v>787</v>
      </c>
      <c r="D6" s="280" t="s">
        <v>786</v>
      </c>
      <c r="E6" s="288" t="s">
        <v>545</v>
      </c>
      <c r="F6" s="290"/>
      <c r="G6" s="291"/>
      <c r="H6" s="292"/>
      <c r="I6" s="291"/>
      <c r="J6" s="315"/>
      <c r="K6" s="291"/>
      <c r="L6" s="291" t="s">
        <v>588</v>
      </c>
      <c r="M6" s="291"/>
      <c r="N6" s="291"/>
    </row>
    <row r="7" spans="1:27" ht="26.25" customHeight="1" x14ac:dyDescent="0.25">
      <c r="A7" s="289" t="s">
        <v>736</v>
      </c>
      <c r="B7" s="542" t="s">
        <v>1278</v>
      </c>
      <c r="C7" s="279">
        <v>586852</v>
      </c>
      <c r="D7" s="280" t="s">
        <v>734</v>
      </c>
      <c r="E7" s="285" t="s">
        <v>742</v>
      </c>
      <c r="F7" s="290"/>
      <c r="G7" s="291"/>
      <c r="H7" s="291"/>
      <c r="I7" s="291"/>
      <c r="J7" s="292"/>
      <c r="K7" s="291"/>
      <c r="L7" s="291" t="s">
        <v>588</v>
      </c>
      <c r="M7" s="291"/>
      <c r="N7" s="291"/>
    </row>
    <row r="8" spans="1:27" ht="26.25" customHeight="1" x14ac:dyDescent="0.25">
      <c r="A8" s="543" t="s">
        <v>806</v>
      </c>
      <c r="B8" s="542" t="s">
        <v>1278</v>
      </c>
      <c r="C8" s="279">
        <v>588611</v>
      </c>
      <c r="D8" s="280">
        <v>622896285</v>
      </c>
      <c r="E8" s="287" t="s">
        <v>559</v>
      </c>
      <c r="F8" s="290"/>
      <c r="G8" s="290"/>
      <c r="H8" s="290"/>
      <c r="I8" s="290"/>
      <c r="J8" s="292"/>
      <c r="K8" s="291"/>
      <c r="L8" s="291" t="s">
        <v>587</v>
      </c>
      <c r="M8" s="291"/>
      <c r="N8" s="291"/>
    </row>
    <row r="9" spans="1:27" ht="26.25" customHeight="1" x14ac:dyDescent="0.25">
      <c r="A9" s="543" t="s">
        <v>806</v>
      </c>
      <c r="B9" s="542" t="s">
        <v>1278</v>
      </c>
      <c r="C9" s="279">
        <v>588611</v>
      </c>
      <c r="D9" s="280">
        <v>622896285</v>
      </c>
      <c r="E9" s="288" t="s">
        <v>558</v>
      </c>
      <c r="F9" s="290"/>
      <c r="G9" s="291"/>
      <c r="H9" s="291"/>
      <c r="I9" s="291"/>
      <c r="J9" s="292"/>
      <c r="K9" s="291"/>
      <c r="L9" s="291" t="s">
        <v>587</v>
      </c>
      <c r="M9" s="291"/>
      <c r="N9" s="291"/>
    </row>
    <row r="10" spans="1:27" s="278" customFormat="1" ht="26.25" customHeight="1" x14ac:dyDescent="0.25">
      <c r="A10" s="543" t="s">
        <v>969</v>
      </c>
      <c r="B10" s="542" t="s">
        <v>1278</v>
      </c>
      <c r="C10" s="279"/>
      <c r="D10" s="280"/>
      <c r="E10" s="288" t="s">
        <v>976</v>
      </c>
      <c r="F10" s="290"/>
      <c r="G10" s="291"/>
      <c r="H10" s="291"/>
      <c r="I10" s="291"/>
      <c r="J10" s="292"/>
      <c r="K10" s="291"/>
      <c r="L10" s="291" t="s">
        <v>588</v>
      </c>
      <c r="M10" s="291"/>
      <c r="N10" s="291"/>
    </row>
    <row r="11" spans="1:27" s="202" customFormat="1" ht="26.25" customHeight="1" x14ac:dyDescent="0.25">
      <c r="A11" s="289" t="s">
        <v>264</v>
      </c>
      <c r="B11" s="542" t="s">
        <v>1278</v>
      </c>
      <c r="C11" s="279">
        <v>586873</v>
      </c>
      <c r="D11" s="280" t="s">
        <v>590</v>
      </c>
      <c r="E11" s="285" t="s">
        <v>863</v>
      </c>
      <c r="F11" s="327"/>
      <c r="G11" s="293"/>
      <c r="H11" s="293"/>
      <c r="I11" s="293"/>
      <c r="J11" s="292"/>
      <c r="K11" s="291"/>
      <c r="L11" s="291" t="s">
        <v>588</v>
      </c>
      <c r="M11" s="291"/>
      <c r="N11" s="291"/>
    </row>
    <row r="12" spans="1:27" ht="26.25" customHeight="1" x14ac:dyDescent="0.25">
      <c r="A12" s="289" t="s">
        <v>589</v>
      </c>
      <c r="B12" s="542" t="s">
        <v>1278</v>
      </c>
      <c r="C12" s="279">
        <v>586873</v>
      </c>
      <c r="D12" s="280" t="s">
        <v>590</v>
      </c>
      <c r="E12" s="285" t="s">
        <v>921</v>
      </c>
      <c r="F12" s="327"/>
      <c r="G12" s="293"/>
      <c r="H12" s="293"/>
      <c r="I12" s="293"/>
      <c r="J12" s="292"/>
      <c r="K12" s="291"/>
      <c r="L12" s="291" t="s">
        <v>588</v>
      </c>
      <c r="M12" s="291"/>
      <c r="N12" s="291"/>
    </row>
    <row r="13" spans="1:27" ht="26.25" customHeight="1" x14ac:dyDescent="0.25">
      <c r="A13" s="376" t="s">
        <v>1</v>
      </c>
      <c r="B13" s="542" t="s">
        <v>1278</v>
      </c>
      <c r="C13" s="279">
        <v>586852</v>
      </c>
      <c r="D13" s="280">
        <v>623540627</v>
      </c>
      <c r="E13" s="287" t="s">
        <v>584</v>
      </c>
      <c r="F13" s="290"/>
      <c r="G13" s="291"/>
      <c r="H13" s="291"/>
      <c r="I13" s="291"/>
      <c r="J13" s="292"/>
      <c r="K13" s="291"/>
      <c r="L13" s="291" t="s">
        <v>588</v>
      </c>
      <c r="M13" s="291"/>
      <c r="N13" s="291"/>
    </row>
    <row r="14" spans="1:27" ht="26.25" customHeight="1" x14ac:dyDescent="0.25">
      <c r="A14" s="376" t="s">
        <v>855</v>
      </c>
      <c r="B14" s="542" t="s">
        <v>1278</v>
      </c>
      <c r="C14" s="279">
        <v>586501</v>
      </c>
      <c r="D14" s="300" t="s">
        <v>737</v>
      </c>
      <c r="E14" s="287" t="s">
        <v>1345</v>
      </c>
      <c r="F14" s="290"/>
      <c r="G14" s="291"/>
      <c r="H14" s="291"/>
      <c r="I14" s="291"/>
      <c r="J14" s="292"/>
      <c r="K14" s="291"/>
      <c r="L14" s="291" t="s">
        <v>588</v>
      </c>
      <c r="M14" s="291"/>
      <c r="N14" s="291"/>
    </row>
    <row r="15" spans="1:27" ht="26.25" customHeight="1" x14ac:dyDescent="0.25">
      <c r="A15" s="543" t="s">
        <v>739</v>
      </c>
      <c r="B15" s="542" t="s">
        <v>1278</v>
      </c>
      <c r="C15" s="279">
        <v>585540</v>
      </c>
      <c r="D15" s="280">
        <v>611391969</v>
      </c>
      <c r="E15" s="284" t="s">
        <v>1317</v>
      </c>
      <c r="F15" s="290"/>
      <c r="G15" s="291"/>
      <c r="H15" s="291"/>
      <c r="I15" s="291"/>
      <c r="J15" s="292"/>
      <c r="K15" s="291"/>
      <c r="L15" s="291" t="s">
        <v>588</v>
      </c>
      <c r="M15" s="291"/>
      <c r="N15" s="291"/>
    </row>
    <row r="16" spans="1:27" ht="26.25" customHeight="1" x14ac:dyDescent="0.25">
      <c r="A16" s="544" t="s">
        <v>855</v>
      </c>
      <c r="B16" s="542" t="s">
        <v>1278</v>
      </c>
      <c r="C16" s="279">
        <v>587401</v>
      </c>
      <c r="D16" s="280">
        <v>489247401</v>
      </c>
      <c r="E16" s="287" t="s">
        <v>1346</v>
      </c>
      <c r="F16" s="290"/>
      <c r="G16" s="291"/>
      <c r="H16" s="291"/>
      <c r="I16" s="291"/>
      <c r="J16" s="292"/>
      <c r="K16" s="291"/>
      <c r="L16" s="291" t="s">
        <v>587</v>
      </c>
      <c r="M16" s="291"/>
      <c r="N16" s="291"/>
    </row>
    <row r="17" spans="1:14" ht="26.25" customHeight="1" x14ac:dyDescent="0.25">
      <c r="A17" s="544" t="s">
        <v>855</v>
      </c>
      <c r="B17" s="542" t="s">
        <v>1278</v>
      </c>
      <c r="C17" s="279">
        <v>587401</v>
      </c>
      <c r="D17" s="280">
        <v>489247401</v>
      </c>
      <c r="E17" s="287" t="s">
        <v>1347</v>
      </c>
      <c r="F17" s="290"/>
      <c r="G17" s="291"/>
      <c r="H17" s="291"/>
      <c r="I17" s="291"/>
      <c r="J17" s="292"/>
      <c r="K17" s="291"/>
      <c r="L17" s="291" t="s">
        <v>587</v>
      </c>
      <c r="M17" s="291"/>
      <c r="N17" s="291"/>
    </row>
    <row r="18" spans="1:14" ht="26.25" customHeight="1" x14ac:dyDescent="0.25">
      <c r="A18" s="545" t="s">
        <v>922</v>
      </c>
      <c r="B18" s="542" t="s">
        <v>1278</v>
      </c>
      <c r="C18" s="279">
        <v>587401</v>
      </c>
      <c r="D18" s="280">
        <v>489247401</v>
      </c>
      <c r="E18" s="287" t="s">
        <v>1350</v>
      </c>
      <c r="F18" s="290"/>
      <c r="G18" s="291"/>
      <c r="H18" s="291"/>
      <c r="I18" s="291"/>
      <c r="J18" s="292"/>
      <c r="K18" s="291"/>
      <c r="L18" s="291" t="s">
        <v>587</v>
      </c>
      <c r="M18" s="291"/>
      <c r="N18" s="291"/>
    </row>
    <row r="19" spans="1:14" ht="26.25" customHeight="1" x14ac:dyDescent="0.25">
      <c r="A19" s="543" t="s">
        <v>855</v>
      </c>
      <c r="B19" s="542" t="s">
        <v>1278</v>
      </c>
      <c r="C19" s="279">
        <v>587401</v>
      </c>
      <c r="D19" s="280">
        <v>489247401</v>
      </c>
      <c r="E19" s="287" t="s">
        <v>1348</v>
      </c>
      <c r="F19" s="290"/>
      <c r="G19" s="291"/>
      <c r="H19" s="291"/>
      <c r="I19" s="291"/>
      <c r="J19" s="292"/>
      <c r="K19" s="291"/>
      <c r="L19" s="291" t="s">
        <v>587</v>
      </c>
      <c r="M19" s="291"/>
      <c r="N19" s="291"/>
    </row>
    <row r="20" spans="1:14" ht="26.25" customHeight="1" x14ac:dyDescent="0.25">
      <c r="A20" s="545" t="s">
        <v>855</v>
      </c>
      <c r="B20" s="542" t="s">
        <v>1278</v>
      </c>
      <c r="C20" s="279">
        <v>587401</v>
      </c>
      <c r="D20" s="280">
        <v>489247401</v>
      </c>
      <c r="E20" s="287" t="s">
        <v>1349</v>
      </c>
      <c r="F20" s="290"/>
      <c r="G20" s="291"/>
      <c r="H20" s="291"/>
      <c r="I20" s="291"/>
      <c r="J20" s="292"/>
      <c r="K20" s="291"/>
      <c r="L20" s="291" t="s">
        <v>587</v>
      </c>
      <c r="M20" s="291"/>
      <c r="N20" s="291"/>
    </row>
    <row r="21" spans="1:14" ht="26.25" customHeight="1" x14ac:dyDescent="0.25">
      <c r="A21" s="545" t="s">
        <v>922</v>
      </c>
      <c r="B21" s="542" t="s">
        <v>1278</v>
      </c>
      <c r="C21" s="279">
        <v>588611</v>
      </c>
      <c r="D21" s="280">
        <v>622896285</v>
      </c>
      <c r="E21" s="287" t="s">
        <v>1351</v>
      </c>
      <c r="F21" s="290"/>
      <c r="G21" s="291"/>
      <c r="H21" s="291"/>
      <c r="I21" s="291"/>
      <c r="J21" s="292"/>
      <c r="K21" s="291"/>
      <c r="L21" s="291" t="s">
        <v>587</v>
      </c>
      <c r="M21" s="291"/>
      <c r="N21" s="291"/>
    </row>
    <row r="22" spans="1:14" s="278" customFormat="1" ht="26.25" customHeight="1" x14ac:dyDescent="0.25">
      <c r="A22" s="545" t="str">
        <f t="shared" ref="A22:D22" si="0">A21</f>
        <v>MORETTI</v>
      </c>
      <c r="B22" s="542" t="str">
        <f t="shared" si="0"/>
        <v>UO Relation client</v>
      </c>
      <c r="C22" s="279">
        <f t="shared" si="0"/>
        <v>588611</v>
      </c>
      <c r="D22" s="280">
        <f t="shared" si="0"/>
        <v>622896285</v>
      </c>
      <c r="E22" s="287" t="s">
        <v>1352</v>
      </c>
      <c r="F22" s="290"/>
      <c r="G22" s="291"/>
      <c r="H22" s="291"/>
      <c r="I22" s="291"/>
      <c r="J22" s="292"/>
      <c r="K22" s="291"/>
      <c r="L22" s="291" t="str">
        <f>$L$11</f>
        <v>Filière 27</v>
      </c>
      <c r="M22" s="291"/>
      <c r="N22" s="291"/>
    </row>
    <row r="23" spans="1:14" ht="26.25" customHeight="1" x14ac:dyDescent="0.25">
      <c r="A23" s="323" t="s">
        <v>923</v>
      </c>
      <c r="B23" s="542" t="s">
        <v>1278</v>
      </c>
      <c r="C23" s="279">
        <v>586701</v>
      </c>
      <c r="D23" s="280">
        <v>601000761</v>
      </c>
      <c r="E23" s="286" t="s">
        <v>1353</v>
      </c>
      <c r="F23" s="290"/>
      <c r="G23" s="291"/>
      <c r="H23" s="291"/>
      <c r="I23" s="291"/>
      <c r="J23" s="292"/>
      <c r="K23" s="291"/>
      <c r="L23" s="291" t="s">
        <v>587</v>
      </c>
      <c r="M23" s="291"/>
      <c r="N23" s="291"/>
    </row>
    <row r="24" spans="1:14" ht="27" customHeight="1" x14ac:dyDescent="0.25">
      <c r="A24" s="323" t="s">
        <v>923</v>
      </c>
      <c r="B24" s="542" t="s">
        <v>1278</v>
      </c>
      <c r="C24" s="294">
        <v>586701</v>
      </c>
      <c r="D24" s="295">
        <v>601000761</v>
      </c>
      <c r="E24" s="443" t="s">
        <v>1354</v>
      </c>
      <c r="F24" s="290"/>
      <c r="G24" s="291"/>
      <c r="H24" s="297"/>
      <c r="I24" s="297"/>
      <c r="J24" s="298"/>
      <c r="K24" s="297"/>
      <c r="L24" s="297" t="s">
        <v>587</v>
      </c>
      <c r="M24" s="297"/>
      <c r="N24" s="297"/>
    </row>
    <row r="25" spans="1:14" ht="27" customHeight="1" x14ac:dyDescent="0.25">
      <c r="A25" s="323" t="s">
        <v>923</v>
      </c>
      <c r="B25" s="542" t="s">
        <v>1278</v>
      </c>
      <c r="C25" s="279">
        <v>586701</v>
      </c>
      <c r="D25" s="280">
        <v>601000761</v>
      </c>
      <c r="E25" s="287" t="s">
        <v>1355</v>
      </c>
      <c r="F25" s="290"/>
      <c r="G25" s="291"/>
      <c r="H25" s="291"/>
      <c r="I25" s="291"/>
      <c r="J25" s="292"/>
      <c r="K25" s="291"/>
      <c r="L25" s="291" t="s">
        <v>587</v>
      </c>
      <c r="M25" s="282"/>
      <c r="N25" s="282"/>
    </row>
    <row r="26" spans="1:14" ht="27" customHeight="1" x14ac:dyDescent="0.25">
      <c r="A26" s="289" t="s">
        <v>923</v>
      </c>
      <c r="B26" s="542" t="s">
        <v>1278</v>
      </c>
      <c r="C26" s="279">
        <v>586701</v>
      </c>
      <c r="D26" s="280">
        <v>601000761</v>
      </c>
      <c r="E26" s="287" t="s">
        <v>1356</v>
      </c>
      <c r="F26" s="290"/>
      <c r="G26" s="291"/>
      <c r="H26" s="291"/>
      <c r="I26" s="291"/>
      <c r="J26" s="292"/>
      <c r="K26" s="291"/>
      <c r="L26" s="291" t="s">
        <v>587</v>
      </c>
      <c r="M26" s="282"/>
      <c r="N26" s="282"/>
    </row>
    <row r="27" spans="1:14" ht="27" customHeight="1" x14ac:dyDescent="0.25">
      <c r="A27" s="289" t="s">
        <v>923</v>
      </c>
      <c r="B27" s="542" t="s">
        <v>1278</v>
      </c>
      <c r="C27" s="294">
        <v>586701</v>
      </c>
      <c r="D27" s="295">
        <v>601000761</v>
      </c>
      <c r="E27" s="296" t="s">
        <v>1357</v>
      </c>
      <c r="F27" s="290"/>
      <c r="G27" s="291"/>
      <c r="H27" s="297"/>
      <c r="I27" s="297"/>
      <c r="J27" s="298"/>
      <c r="K27" s="297"/>
      <c r="L27" s="297" t="s">
        <v>587</v>
      </c>
      <c r="M27" s="326"/>
      <c r="N27" s="326"/>
    </row>
    <row r="28" spans="1:14" s="278" customFormat="1" ht="27" customHeight="1" x14ac:dyDescent="0.25">
      <c r="A28" s="289" t="s">
        <v>923</v>
      </c>
      <c r="B28" s="542" t="s">
        <v>1278</v>
      </c>
      <c r="C28" s="446">
        <v>586701</v>
      </c>
      <c r="D28" s="326" t="s">
        <v>591</v>
      </c>
      <c r="E28" s="324" t="s">
        <v>1358</v>
      </c>
      <c r="F28" s="290"/>
      <c r="G28" s="325"/>
      <c r="H28" s="326"/>
      <c r="I28" s="326"/>
      <c r="J28" s="326"/>
      <c r="K28" s="326"/>
      <c r="L28" s="297" t="s">
        <v>587</v>
      </c>
      <c r="M28" s="326"/>
      <c r="N28" s="326"/>
    </row>
    <row r="29" spans="1:14" s="278" customFormat="1" ht="27" customHeight="1" x14ac:dyDescent="0.25">
      <c r="A29" s="281" t="s">
        <v>264</v>
      </c>
      <c r="B29" s="542" t="s">
        <v>1278</v>
      </c>
      <c r="C29" s="294">
        <v>587468</v>
      </c>
      <c r="D29" s="295">
        <v>634411097</v>
      </c>
      <c r="E29" s="324" t="s">
        <v>864</v>
      </c>
      <c r="F29" s="290"/>
      <c r="G29" s="325"/>
      <c r="H29" s="465"/>
      <c r="I29" s="326"/>
      <c r="J29" s="326"/>
      <c r="K29" s="326"/>
      <c r="L29" s="297" t="s">
        <v>587</v>
      </c>
      <c r="M29" s="326"/>
      <c r="N29" s="326"/>
    </row>
    <row r="30" spans="1:14" s="278" customFormat="1" ht="27" customHeight="1" x14ac:dyDescent="0.25">
      <c r="A30" s="281" t="s">
        <v>264</v>
      </c>
      <c r="B30" s="542" t="s">
        <v>1278</v>
      </c>
      <c r="C30" s="294">
        <v>587468</v>
      </c>
      <c r="D30" s="295">
        <v>634411097</v>
      </c>
      <c r="E30" s="324" t="s">
        <v>865</v>
      </c>
      <c r="F30" s="290"/>
      <c r="G30" s="325"/>
      <c r="H30" s="465"/>
      <c r="I30" s="326"/>
      <c r="J30" s="326"/>
      <c r="K30" s="326"/>
      <c r="L30" s="297" t="s">
        <v>587</v>
      </c>
      <c r="M30" s="326"/>
      <c r="N30" s="326"/>
    </row>
    <row r="31" spans="1:14" s="278" customFormat="1" ht="27" customHeight="1" x14ac:dyDescent="0.25">
      <c r="A31" s="281" t="s">
        <v>264</v>
      </c>
      <c r="B31" s="542" t="s">
        <v>1278</v>
      </c>
      <c r="C31" s="294">
        <v>587468</v>
      </c>
      <c r="D31" s="295">
        <v>634411097</v>
      </c>
      <c r="E31" s="324" t="s">
        <v>866</v>
      </c>
      <c r="F31" s="290"/>
      <c r="G31" s="325"/>
      <c r="H31" s="326"/>
      <c r="I31" s="326"/>
      <c r="J31" s="326"/>
      <c r="K31" s="326"/>
      <c r="L31" s="297" t="s">
        <v>587</v>
      </c>
      <c r="M31" s="326"/>
      <c r="N31" s="326"/>
    </row>
    <row r="32" spans="1:14" s="278" customFormat="1" ht="27" customHeight="1" x14ac:dyDescent="0.25">
      <c r="A32" s="546" t="s">
        <v>1</v>
      </c>
      <c r="B32" s="542" t="s">
        <v>1278</v>
      </c>
      <c r="C32" s="294">
        <v>587468</v>
      </c>
      <c r="D32" s="295">
        <v>634411097</v>
      </c>
      <c r="E32" s="324" t="s">
        <v>867</v>
      </c>
      <c r="F32" s="290"/>
      <c r="G32" s="325"/>
      <c r="H32" s="326"/>
      <c r="I32" s="326"/>
      <c r="J32" s="326"/>
      <c r="K32" s="326"/>
      <c r="L32" s="297" t="s">
        <v>587</v>
      </c>
      <c r="M32" s="326"/>
      <c r="N32" s="326"/>
    </row>
    <row r="33" spans="1:14" ht="27" customHeight="1" x14ac:dyDescent="0.25">
      <c r="A33" s="376" t="s">
        <v>1</v>
      </c>
      <c r="B33" s="542" t="s">
        <v>1278</v>
      </c>
      <c r="C33" s="279">
        <v>587468</v>
      </c>
      <c r="D33" s="280">
        <v>634411097</v>
      </c>
      <c r="E33" s="301" t="s">
        <v>868</v>
      </c>
      <c r="F33" s="290"/>
      <c r="G33" s="299"/>
      <c r="H33" s="282"/>
      <c r="I33" s="282"/>
      <c r="J33" s="282"/>
      <c r="K33" s="282"/>
      <c r="L33" s="291" t="s">
        <v>587</v>
      </c>
      <c r="M33" s="282"/>
      <c r="N33" s="282"/>
    </row>
    <row r="34" spans="1:14" s="278" customFormat="1" ht="27" customHeight="1" x14ac:dyDescent="0.25">
      <c r="A34" s="376" t="s">
        <v>264</v>
      </c>
      <c r="B34" s="542" t="s">
        <v>1278</v>
      </c>
      <c r="C34" s="279">
        <v>587468</v>
      </c>
      <c r="D34" s="280">
        <v>634411097</v>
      </c>
      <c r="E34" s="301" t="s">
        <v>869</v>
      </c>
      <c r="F34" s="290"/>
      <c r="G34" s="445"/>
      <c r="H34" s="390"/>
      <c r="I34" s="282"/>
      <c r="J34" s="282"/>
      <c r="K34" s="282"/>
      <c r="L34" s="297" t="s">
        <v>587</v>
      </c>
      <c r="M34" s="282"/>
      <c r="N34" s="282"/>
    </row>
    <row r="35" spans="1:14" s="278" customFormat="1" ht="27" customHeight="1" x14ac:dyDescent="0.25">
      <c r="A35" s="289" t="s">
        <v>855</v>
      </c>
      <c r="B35" s="542" t="s">
        <v>1278</v>
      </c>
      <c r="C35" s="279">
        <v>587468</v>
      </c>
      <c r="D35" s="280">
        <v>634411097</v>
      </c>
      <c r="E35" s="301" t="s">
        <v>870</v>
      </c>
      <c r="F35" s="290"/>
      <c r="G35" s="445"/>
      <c r="H35" s="282"/>
      <c r="I35" s="282"/>
      <c r="J35" s="282"/>
      <c r="K35" s="282"/>
      <c r="L35" s="297" t="s">
        <v>587</v>
      </c>
      <c r="M35" s="282"/>
      <c r="N35" s="282"/>
    </row>
    <row r="36" spans="1:14" ht="27" customHeight="1" x14ac:dyDescent="0.25">
      <c r="A36" s="376" t="s">
        <v>818</v>
      </c>
      <c r="B36" s="547" t="s">
        <v>1278</v>
      </c>
      <c r="C36" s="377">
        <v>587304</v>
      </c>
      <c r="D36" s="377" t="s">
        <v>879</v>
      </c>
      <c r="E36" s="287" t="s">
        <v>878</v>
      </c>
      <c r="F36" s="379"/>
      <c r="G36" s="379"/>
      <c r="H36" s="390"/>
      <c r="I36" s="282"/>
      <c r="J36" s="282"/>
      <c r="K36" s="282"/>
      <c r="L36" s="297" t="s">
        <v>587</v>
      </c>
      <c r="M36" s="282"/>
      <c r="N36" s="282"/>
    </row>
    <row r="37" spans="1:14" ht="27" customHeight="1" x14ac:dyDescent="0.25">
      <c r="A37" s="376" t="s">
        <v>814</v>
      </c>
      <c r="B37" s="547" t="s">
        <v>1278</v>
      </c>
      <c r="C37" s="377">
        <v>587121</v>
      </c>
      <c r="D37" s="377" t="s">
        <v>880</v>
      </c>
      <c r="E37" s="287" t="s">
        <v>878</v>
      </c>
      <c r="F37" s="379"/>
      <c r="G37" s="379"/>
      <c r="H37" s="390"/>
      <c r="I37" s="282"/>
      <c r="J37" s="282"/>
      <c r="K37" s="282"/>
      <c r="L37" s="297" t="s">
        <v>587</v>
      </c>
      <c r="M37" s="282"/>
      <c r="N37" s="282"/>
    </row>
    <row r="38" spans="1:14" ht="27" customHeight="1" x14ac:dyDescent="0.25">
      <c r="A38" s="376" t="s">
        <v>846</v>
      </c>
      <c r="B38" s="547" t="s">
        <v>1278</v>
      </c>
      <c r="C38" s="282"/>
      <c r="D38" s="377" t="s">
        <v>881</v>
      </c>
      <c r="E38" s="287" t="s">
        <v>878</v>
      </c>
      <c r="F38" s="379"/>
      <c r="G38" s="379"/>
      <c r="H38" s="390"/>
      <c r="I38" s="282"/>
      <c r="J38" s="282"/>
      <c r="K38" s="282"/>
      <c r="L38" s="297" t="s">
        <v>587</v>
      </c>
      <c r="M38" s="282"/>
      <c r="N38" s="282"/>
    </row>
    <row r="39" spans="1:14" ht="27" customHeight="1" x14ac:dyDescent="0.25">
      <c r="A39" s="376" t="s">
        <v>817</v>
      </c>
      <c r="B39" s="547" t="s">
        <v>1278</v>
      </c>
      <c r="C39" s="377">
        <v>587032</v>
      </c>
      <c r="D39" s="377" t="s">
        <v>882</v>
      </c>
      <c r="E39" s="287" t="s">
        <v>878</v>
      </c>
      <c r="F39" s="379"/>
      <c r="G39" s="379"/>
      <c r="H39" s="390"/>
      <c r="I39" s="282"/>
      <c r="J39" s="282"/>
      <c r="K39" s="282"/>
      <c r="L39" s="297" t="s">
        <v>587</v>
      </c>
      <c r="M39" s="282"/>
      <c r="N39" s="282"/>
    </row>
    <row r="40" spans="1:14" ht="27" customHeight="1" x14ac:dyDescent="0.25">
      <c r="A40" s="376" t="s">
        <v>816</v>
      </c>
      <c r="B40" s="547" t="s">
        <v>1278</v>
      </c>
      <c r="C40" s="282"/>
      <c r="D40" s="282"/>
      <c r="E40" s="287" t="s">
        <v>878</v>
      </c>
      <c r="F40" s="379"/>
      <c r="G40" s="379"/>
      <c r="H40" s="390"/>
      <c r="I40" s="282"/>
      <c r="J40" s="282"/>
      <c r="K40" s="282"/>
      <c r="L40" s="297" t="s">
        <v>587</v>
      </c>
      <c r="M40" s="282"/>
      <c r="N40" s="282"/>
    </row>
    <row r="41" spans="1:14" ht="27" customHeight="1" x14ac:dyDescent="0.25">
      <c r="A41" s="376" t="s">
        <v>877</v>
      </c>
      <c r="B41" s="547" t="s">
        <v>1278</v>
      </c>
      <c r="C41" s="377">
        <v>587121</v>
      </c>
      <c r="D41" s="377" t="s">
        <v>883</v>
      </c>
      <c r="E41" s="287" t="s">
        <v>878</v>
      </c>
      <c r="F41" s="379"/>
      <c r="G41" s="379"/>
      <c r="H41" s="390"/>
      <c r="I41" s="282"/>
      <c r="J41" s="282"/>
      <c r="K41" s="282"/>
      <c r="L41" s="297" t="s">
        <v>587</v>
      </c>
      <c r="M41" s="282"/>
      <c r="N41" s="282"/>
    </row>
    <row r="42" spans="1:14" ht="27" customHeight="1" x14ac:dyDescent="0.25">
      <c r="A42" s="376" t="s">
        <v>1298</v>
      </c>
      <c r="B42" s="548" t="s">
        <v>1278</v>
      </c>
      <c r="C42" s="504"/>
      <c r="D42" s="504"/>
      <c r="E42" s="287" t="s">
        <v>543</v>
      </c>
      <c r="F42" s="328"/>
      <c r="G42" s="282"/>
      <c r="H42" s="282"/>
      <c r="I42" s="282"/>
      <c r="J42" s="282"/>
      <c r="K42" s="282"/>
      <c r="L42" s="282"/>
      <c r="M42" s="282"/>
      <c r="N42" s="282"/>
    </row>
    <row r="43" spans="1:14" ht="27" customHeight="1" x14ac:dyDescent="0.25">
      <c r="A43" s="376" t="s">
        <v>1298</v>
      </c>
      <c r="B43" s="548" t="s">
        <v>1278</v>
      </c>
      <c r="C43" s="504"/>
      <c r="D43" s="504"/>
      <c r="E43" s="287" t="s">
        <v>870</v>
      </c>
      <c r="F43" s="328"/>
      <c r="G43" s="282"/>
      <c r="H43" s="282"/>
      <c r="I43" s="282"/>
      <c r="J43" s="282"/>
      <c r="K43" s="282"/>
      <c r="L43" s="282"/>
      <c r="M43" s="282"/>
      <c r="N43" s="282"/>
    </row>
    <row r="44" spans="1:14" ht="27" customHeight="1" x14ac:dyDescent="0.25">
      <c r="A44" s="376" t="s">
        <v>917</v>
      </c>
      <c r="B44" s="549" t="s">
        <v>1278</v>
      </c>
      <c r="C44" s="282"/>
      <c r="D44" s="282"/>
      <c r="E44" s="287" t="s">
        <v>1330</v>
      </c>
      <c r="F44" s="328"/>
      <c r="G44" s="282"/>
      <c r="H44" s="282"/>
      <c r="I44" s="282"/>
      <c r="J44" s="282"/>
      <c r="K44" s="282"/>
      <c r="L44" s="282"/>
      <c r="M44" s="282"/>
      <c r="N44" s="282"/>
    </row>
    <row r="45" spans="1:14" ht="27" customHeight="1" x14ac:dyDescent="0.25">
      <c r="A45" s="107"/>
      <c r="B45" s="282"/>
      <c r="C45" s="282"/>
      <c r="D45" s="282"/>
      <c r="E45" s="329"/>
      <c r="F45" s="328"/>
      <c r="G45" s="282"/>
      <c r="H45" s="282"/>
      <c r="I45" s="282"/>
      <c r="J45" s="282"/>
      <c r="K45" s="282"/>
      <c r="L45" s="282"/>
      <c r="M45" s="282"/>
      <c r="N45" s="282"/>
    </row>
    <row r="46" spans="1:14" ht="27" customHeight="1" x14ac:dyDescent="0.25">
      <c r="A46" s="107"/>
      <c r="B46" s="282"/>
      <c r="C46" s="282"/>
      <c r="D46" s="282"/>
      <c r="E46" s="329"/>
      <c r="F46" s="328"/>
      <c r="G46" s="282"/>
      <c r="H46" s="282"/>
      <c r="I46" s="282"/>
      <c r="J46" s="282"/>
      <c r="K46" s="282"/>
      <c r="L46" s="282"/>
      <c r="M46" s="282"/>
      <c r="N46" s="282"/>
    </row>
    <row r="47" spans="1:14" ht="27" customHeight="1" x14ac:dyDescent="0.25">
      <c r="A47" s="107"/>
      <c r="B47" s="282"/>
      <c r="C47" s="282"/>
      <c r="D47" s="282"/>
      <c r="E47" s="329"/>
      <c r="F47" s="328"/>
      <c r="G47" s="282"/>
      <c r="H47" s="282"/>
      <c r="I47" s="282"/>
      <c r="J47" s="282"/>
      <c r="K47" s="282"/>
      <c r="L47" s="282"/>
      <c r="M47" s="282"/>
      <c r="N47" s="282"/>
    </row>
    <row r="48" spans="1:14" ht="27" customHeight="1" x14ac:dyDescent="0.25">
      <c r="A48" s="107"/>
      <c r="B48" s="282"/>
      <c r="C48" s="282"/>
      <c r="D48" s="282"/>
      <c r="E48" s="329"/>
      <c r="F48" s="328"/>
      <c r="G48" s="282"/>
      <c r="H48" s="282"/>
      <c r="I48" s="282"/>
      <c r="J48" s="282"/>
      <c r="K48" s="282"/>
      <c r="L48" s="282"/>
      <c r="M48" s="282"/>
      <c r="N48" s="282"/>
    </row>
    <row r="49" spans="1:14" ht="27" customHeight="1" x14ac:dyDescent="0.25">
      <c r="A49" s="107"/>
      <c r="B49" s="282"/>
      <c r="C49" s="282"/>
      <c r="D49" s="282"/>
      <c r="E49" s="329"/>
      <c r="F49" s="328"/>
      <c r="G49" s="282"/>
      <c r="H49" s="282"/>
      <c r="I49" s="282"/>
      <c r="J49" s="282"/>
      <c r="K49" s="282"/>
      <c r="L49" s="282"/>
      <c r="M49" s="282"/>
      <c r="N49" s="282"/>
    </row>
    <row r="50" spans="1:14" ht="27" customHeight="1" thickBot="1" x14ac:dyDescent="0.3">
      <c r="A50" s="330"/>
      <c r="B50" s="331"/>
      <c r="C50" s="331"/>
      <c r="D50" s="331"/>
      <c r="E50" s="332"/>
      <c r="F50" s="328"/>
      <c r="G50" s="282"/>
      <c r="H50" s="282"/>
      <c r="I50" s="282"/>
      <c r="J50" s="282"/>
      <c r="K50" s="282"/>
      <c r="L50" s="282"/>
      <c r="M50" s="282"/>
      <c r="N50" s="282"/>
    </row>
  </sheetData>
  <autoFilter ref="A1:L41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35">
    <cfRule type="cellIs" dxfId="43" priority="16" stopIfTrue="1" operator="equal">
      <formula>"TER OUEST"</formula>
    </cfRule>
    <cfRule type="cellIs" dxfId="42" priority="17" stopIfTrue="1" operator="equal">
      <formula>"TER EST"</formula>
    </cfRule>
    <cfRule type="cellIs" dxfId="41" priority="18" stopIfTrue="1" operator="equal">
      <formula>"SIEGE"</formula>
    </cfRule>
  </conditionalFormatting>
  <conditionalFormatting sqref="L2:L41">
    <cfRule type="cellIs" dxfId="40" priority="14" operator="equal">
      <formula>"Filière 27"</formula>
    </cfRule>
    <cfRule type="cellIs" dxfId="39" priority="15" operator="equal">
      <formula>"Filière 26"</formula>
    </cfRule>
  </conditionalFormatting>
  <dataValidations count="2">
    <dataValidation type="list" allowBlank="1" showInputMessage="1" showErrorMessage="1" sqref="L2:L41">
      <formula1>$AA$3:$AA$3</formula1>
    </dataValidation>
    <dataValidation type="list" allowBlank="1" showInputMessage="1" showErrorMessage="1" sqref="B2:B46">
      <formula1>UO_ESV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57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604" t="s">
        <v>279</v>
      </c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81" t="s">
        <v>291</v>
      </c>
    </row>
    <row r="3" spans="1:20" ht="45" customHeight="1" thickBot="1" x14ac:dyDescent="0.3">
      <c r="C3" s="115" t="s">
        <v>872</v>
      </c>
      <c r="M3" s="71"/>
    </row>
    <row r="4" spans="1:20" ht="39" customHeight="1" x14ac:dyDescent="0.25">
      <c r="A4" s="66">
        <v>1</v>
      </c>
      <c r="B4" s="600" t="s">
        <v>927</v>
      </c>
      <c r="C4" s="601"/>
      <c r="D4" s="66" t="s">
        <v>280</v>
      </c>
      <c r="E4" s="66" t="s">
        <v>281</v>
      </c>
      <c r="F4" s="66" t="s">
        <v>282</v>
      </c>
      <c r="G4" s="66" t="s">
        <v>283</v>
      </c>
      <c r="H4" s="66" t="s">
        <v>282</v>
      </c>
      <c r="I4" s="66" t="s">
        <v>280</v>
      </c>
      <c r="J4" s="66" t="s">
        <v>280</v>
      </c>
      <c r="K4" s="66" t="s">
        <v>283</v>
      </c>
      <c r="L4" s="66" t="s">
        <v>284</v>
      </c>
      <c r="M4" s="66" t="s">
        <v>285</v>
      </c>
      <c r="N4" s="66" t="s">
        <v>286</v>
      </c>
      <c r="O4" s="66" t="s">
        <v>287</v>
      </c>
      <c r="P4" s="458"/>
      <c r="Q4" s="112" t="s">
        <v>563</v>
      </c>
      <c r="R4" s="113" t="s">
        <v>564</v>
      </c>
      <c r="S4" s="114" t="s">
        <v>546</v>
      </c>
    </row>
    <row r="5" spans="1:20" ht="99" customHeight="1" x14ac:dyDescent="0.25">
      <c r="B5" s="68" t="s">
        <v>288</v>
      </c>
      <c r="C5" s="448" t="s">
        <v>931</v>
      </c>
      <c r="D5" s="608" t="s">
        <v>963</v>
      </c>
      <c r="E5" s="609"/>
      <c r="F5" s="609"/>
      <c r="G5" s="609"/>
      <c r="H5" s="609"/>
      <c r="I5" s="609"/>
      <c r="J5" s="609"/>
      <c r="K5" s="610"/>
      <c r="L5" s="381"/>
      <c r="M5" s="381"/>
      <c r="N5" s="381"/>
      <c r="O5" s="381"/>
      <c r="P5" s="456" t="s">
        <v>277</v>
      </c>
      <c r="Q5" s="207" t="s">
        <v>961</v>
      </c>
      <c r="R5" s="207" t="s">
        <v>932</v>
      </c>
      <c r="S5" s="207" t="s">
        <v>962</v>
      </c>
    </row>
    <row r="6" spans="1:20" ht="117.75" customHeight="1" x14ac:dyDescent="0.25">
      <c r="B6" s="68" t="s">
        <v>289</v>
      </c>
      <c r="C6" s="372" t="s">
        <v>933</v>
      </c>
      <c r="D6" s="380"/>
      <c r="E6" s="380"/>
      <c r="F6" s="380"/>
      <c r="G6" s="380"/>
      <c r="H6" s="381"/>
      <c r="I6" s="381"/>
      <c r="J6" s="381"/>
      <c r="K6" s="381"/>
      <c r="L6" s="381"/>
      <c r="M6" s="382"/>
      <c r="N6" s="381"/>
      <c r="O6" s="381"/>
      <c r="P6" s="456" t="s">
        <v>275</v>
      </c>
      <c r="Q6" s="207"/>
      <c r="R6" s="207"/>
      <c r="S6" s="207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59"/>
      <c r="Q7" s="110"/>
      <c r="R7" s="110"/>
      <c r="S7" s="110"/>
    </row>
    <row r="8" spans="1:20" ht="42" customHeight="1" x14ac:dyDescent="0.25">
      <c r="A8" s="66">
        <v>2</v>
      </c>
      <c r="B8" s="600" t="s">
        <v>928</v>
      </c>
      <c r="C8" s="601"/>
      <c r="D8" s="66" t="s">
        <v>280</v>
      </c>
      <c r="E8" s="66" t="s">
        <v>281</v>
      </c>
      <c r="F8" s="66" t="s">
        <v>282</v>
      </c>
      <c r="G8" s="66" t="s">
        <v>283</v>
      </c>
      <c r="H8" s="66" t="s">
        <v>282</v>
      </c>
      <c r="I8" s="66" t="s">
        <v>280</v>
      </c>
      <c r="J8" s="66" t="s">
        <v>280</v>
      </c>
      <c r="K8" s="66" t="s">
        <v>283</v>
      </c>
      <c r="L8" s="66" t="s">
        <v>284</v>
      </c>
      <c r="M8" s="66" t="s">
        <v>285</v>
      </c>
      <c r="N8" s="66" t="s">
        <v>286</v>
      </c>
      <c r="O8" s="66" t="s">
        <v>287</v>
      </c>
      <c r="P8" s="458"/>
      <c r="Q8" s="108" t="s">
        <v>563</v>
      </c>
      <c r="R8" s="109" t="s">
        <v>564</v>
      </c>
      <c r="S8" s="114" t="s">
        <v>546</v>
      </c>
    </row>
    <row r="9" spans="1:20" ht="87.75" customHeight="1" x14ac:dyDescent="0.25">
      <c r="B9" s="68" t="s">
        <v>288</v>
      </c>
      <c r="C9" s="205" t="s">
        <v>934</v>
      </c>
      <c r="D9" s="614" t="s">
        <v>974</v>
      </c>
      <c r="E9" s="615"/>
      <c r="F9" s="615"/>
      <c r="G9" s="615"/>
      <c r="H9" s="615"/>
      <c r="I9" s="615"/>
      <c r="J9" s="615"/>
      <c r="K9" s="615"/>
      <c r="L9" s="616"/>
      <c r="M9" s="617"/>
      <c r="N9" s="383"/>
      <c r="O9" s="383"/>
      <c r="P9" s="456">
        <v>0.8</v>
      </c>
      <c r="Q9" s="208" t="s">
        <v>935</v>
      </c>
      <c r="R9" s="208" t="s">
        <v>874</v>
      </c>
      <c r="S9" s="208"/>
    </row>
    <row r="10" spans="1:20" ht="104.25" customHeight="1" x14ac:dyDescent="0.25">
      <c r="B10" s="68" t="s">
        <v>289</v>
      </c>
      <c r="C10" s="205" t="s">
        <v>936</v>
      </c>
      <c r="D10" s="449"/>
      <c r="E10" s="450"/>
      <c r="F10" s="450"/>
      <c r="G10" s="450"/>
      <c r="H10" s="384"/>
      <c r="I10" s="384"/>
      <c r="J10" s="384"/>
      <c r="K10" s="384"/>
      <c r="L10" s="384"/>
      <c r="M10" s="385"/>
      <c r="N10" s="385"/>
      <c r="O10" s="392"/>
      <c r="P10" s="456">
        <v>0.2</v>
      </c>
      <c r="Q10" s="208" t="s">
        <v>938</v>
      </c>
      <c r="R10" s="375" t="s">
        <v>876</v>
      </c>
      <c r="S10" s="208"/>
    </row>
    <row r="11" spans="1:20" ht="84" customHeight="1" x14ac:dyDescent="0.25">
      <c r="B11" s="68" t="s">
        <v>290</v>
      </c>
      <c r="C11" s="205" t="s">
        <v>937</v>
      </c>
      <c r="D11" s="611" t="s">
        <v>975</v>
      </c>
      <c r="E11" s="612"/>
      <c r="F11" s="612"/>
      <c r="G11" s="612"/>
      <c r="H11" s="612"/>
      <c r="I11" s="612"/>
      <c r="J11" s="612"/>
      <c r="K11" s="613"/>
      <c r="L11" s="384"/>
      <c r="M11" s="392"/>
      <c r="N11" s="392"/>
      <c r="O11" s="392"/>
      <c r="P11" s="456" t="s">
        <v>277</v>
      </c>
      <c r="Q11" s="208"/>
      <c r="R11" s="375"/>
      <c r="S11" s="208"/>
    </row>
    <row r="12" spans="1:20" ht="63.75" customHeight="1" x14ac:dyDescent="0.25">
      <c r="B12" s="451" t="s">
        <v>4</v>
      </c>
      <c r="C12" s="205" t="s">
        <v>939</v>
      </c>
      <c r="D12" s="619" t="s">
        <v>978</v>
      </c>
      <c r="E12" s="620"/>
      <c r="F12" s="620"/>
      <c r="G12" s="620"/>
      <c r="H12" s="620"/>
      <c r="I12" s="620"/>
      <c r="J12" s="620"/>
      <c r="K12" s="620"/>
      <c r="L12" s="620"/>
      <c r="M12" s="620"/>
      <c r="N12" s="621"/>
      <c r="O12" s="392"/>
      <c r="P12" s="456">
        <v>0.8</v>
      </c>
      <c r="Q12" s="208"/>
      <c r="R12" s="375" t="s">
        <v>876</v>
      </c>
      <c r="S12" s="208"/>
    </row>
    <row r="13" spans="1:20" ht="84.75" customHeight="1" x14ac:dyDescent="0.25">
      <c r="B13" s="451" t="s">
        <v>5</v>
      </c>
      <c r="C13" s="205" t="s">
        <v>940</v>
      </c>
      <c r="D13" s="392"/>
      <c r="E13" s="392"/>
      <c r="F13" s="392"/>
      <c r="G13" s="392"/>
      <c r="H13" s="392"/>
      <c r="I13" s="392"/>
      <c r="J13" s="392"/>
      <c r="K13" s="392"/>
      <c r="L13" s="392"/>
      <c r="M13" s="392"/>
      <c r="N13" s="392"/>
      <c r="O13" s="392"/>
      <c r="P13" s="456" t="s">
        <v>275</v>
      </c>
      <c r="Q13" s="208"/>
      <c r="R13" s="375"/>
      <c r="S13" s="208"/>
    </row>
    <row r="14" spans="1:20" ht="102" customHeight="1" x14ac:dyDescent="0.25">
      <c r="B14" s="452" t="s">
        <v>941</v>
      </c>
      <c r="C14" s="205" t="s">
        <v>943</v>
      </c>
      <c r="D14" s="605" t="s">
        <v>965</v>
      </c>
      <c r="E14" s="606"/>
      <c r="F14" s="606"/>
      <c r="G14" s="607"/>
      <c r="H14" s="384"/>
      <c r="I14" s="384"/>
      <c r="J14" s="384"/>
      <c r="K14" s="384"/>
      <c r="L14" s="384"/>
      <c r="M14" s="385"/>
      <c r="N14" s="385"/>
      <c r="O14" s="392"/>
      <c r="P14" s="456">
        <v>0.5</v>
      </c>
      <c r="Q14" s="208" t="s">
        <v>947</v>
      </c>
      <c r="R14" s="375" t="s">
        <v>946</v>
      </c>
      <c r="S14" s="208" t="s">
        <v>977</v>
      </c>
    </row>
    <row r="15" spans="1:20" ht="90" customHeight="1" x14ac:dyDescent="0.25">
      <c r="B15" s="452" t="s">
        <v>942</v>
      </c>
      <c r="C15" s="205" t="s">
        <v>944</v>
      </c>
      <c r="D15" s="611" t="s">
        <v>982</v>
      </c>
      <c r="E15" s="612"/>
      <c r="F15" s="612"/>
      <c r="G15" s="612"/>
      <c r="H15" s="612"/>
      <c r="I15" s="612"/>
      <c r="J15" s="612"/>
      <c r="K15" s="612"/>
      <c r="L15" s="622"/>
      <c r="M15" s="623"/>
      <c r="N15" s="466"/>
      <c r="O15" s="392"/>
      <c r="P15" s="456">
        <v>0.8</v>
      </c>
      <c r="Q15" s="208" t="s">
        <v>945</v>
      </c>
      <c r="R15" s="208" t="s">
        <v>873</v>
      </c>
      <c r="S15" s="208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60"/>
      <c r="T16" s="91"/>
    </row>
    <row r="17" spans="1:19" ht="51.75" customHeight="1" x14ac:dyDescent="0.25">
      <c r="A17" s="66">
        <v>3</v>
      </c>
      <c r="B17" s="600" t="s">
        <v>929</v>
      </c>
      <c r="C17" s="601"/>
      <c r="D17" s="66" t="s">
        <v>280</v>
      </c>
      <c r="E17" s="66" t="s">
        <v>281</v>
      </c>
      <c r="F17" s="66" t="s">
        <v>282</v>
      </c>
      <c r="G17" s="66" t="s">
        <v>283</v>
      </c>
      <c r="H17" s="66" t="s">
        <v>282</v>
      </c>
      <c r="I17" s="66" t="s">
        <v>280</v>
      </c>
      <c r="J17" s="66" t="s">
        <v>280</v>
      </c>
      <c r="K17" s="66" t="s">
        <v>283</v>
      </c>
      <c r="L17" s="66" t="s">
        <v>284</v>
      </c>
      <c r="M17" s="66" t="s">
        <v>285</v>
      </c>
      <c r="N17" s="66" t="s">
        <v>286</v>
      </c>
      <c r="O17" s="66" t="s">
        <v>287</v>
      </c>
      <c r="P17" s="461"/>
      <c r="Q17" s="108" t="s">
        <v>563</v>
      </c>
      <c r="R17" s="109" t="s">
        <v>564</v>
      </c>
      <c r="S17" s="114" t="s">
        <v>546</v>
      </c>
    </row>
    <row r="18" spans="1:19" ht="68.25" customHeight="1" x14ac:dyDescent="0.25">
      <c r="B18" s="68" t="s">
        <v>288</v>
      </c>
      <c r="C18" s="205" t="s">
        <v>949</v>
      </c>
      <c r="D18" s="625"/>
      <c r="E18" s="626"/>
      <c r="F18" s="626"/>
      <c r="G18" s="626"/>
      <c r="H18" s="626"/>
      <c r="I18" s="626"/>
      <c r="J18" s="626"/>
      <c r="K18" s="627"/>
      <c r="L18" s="206"/>
      <c r="M18" s="206"/>
      <c r="N18" s="206"/>
      <c r="O18" s="206"/>
      <c r="P18" s="456" t="s">
        <v>277</v>
      </c>
      <c r="Q18" s="208" t="s">
        <v>562</v>
      </c>
      <c r="R18" s="208" t="s">
        <v>951</v>
      </c>
      <c r="S18" s="208"/>
    </row>
    <row r="19" spans="1:19" ht="59.25" customHeight="1" x14ac:dyDescent="0.25">
      <c r="B19" s="68" t="s">
        <v>289</v>
      </c>
      <c r="C19" s="205" t="s">
        <v>950</v>
      </c>
      <c r="D19" s="391"/>
      <c r="E19" s="391"/>
      <c r="F19" s="391"/>
      <c r="G19" s="391"/>
      <c r="H19" s="373"/>
      <c r="I19" s="373"/>
      <c r="J19" s="373"/>
      <c r="K19" s="618" t="s">
        <v>980</v>
      </c>
      <c r="L19" s="616"/>
      <c r="M19" s="617"/>
      <c r="N19" s="373"/>
      <c r="O19" s="374"/>
      <c r="P19" s="456">
        <v>0.2</v>
      </c>
      <c r="Q19" s="208" t="s">
        <v>562</v>
      </c>
      <c r="R19" s="208" t="s">
        <v>951</v>
      </c>
      <c r="S19" s="208"/>
    </row>
    <row r="20" spans="1:19" ht="57" customHeight="1" x14ac:dyDescent="0.25">
      <c r="B20" s="68" t="s">
        <v>290</v>
      </c>
      <c r="C20" s="205" t="s">
        <v>948</v>
      </c>
      <c r="D20" s="373" t="s">
        <v>953</v>
      </c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456">
        <v>0.2</v>
      </c>
      <c r="Q20" s="208" t="s">
        <v>562</v>
      </c>
      <c r="R20" s="208" t="s">
        <v>952</v>
      </c>
      <c r="S20" s="208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59"/>
      <c r="Q21" s="111"/>
      <c r="R21" s="110"/>
      <c r="S21" s="110"/>
    </row>
    <row r="22" spans="1:19" ht="48.75" customHeight="1" x14ac:dyDescent="0.25">
      <c r="A22" s="66">
        <v>4</v>
      </c>
      <c r="B22" s="600" t="s">
        <v>930</v>
      </c>
      <c r="C22" s="601"/>
      <c r="D22" s="66" t="s">
        <v>280</v>
      </c>
      <c r="E22" s="66" t="s">
        <v>281</v>
      </c>
      <c r="F22" s="66" t="s">
        <v>282</v>
      </c>
      <c r="G22" s="66" t="s">
        <v>283</v>
      </c>
      <c r="H22" s="66" t="s">
        <v>282</v>
      </c>
      <c r="I22" s="66" t="s">
        <v>280</v>
      </c>
      <c r="J22" s="66" t="s">
        <v>280</v>
      </c>
      <c r="K22" s="66" t="s">
        <v>283</v>
      </c>
      <c r="L22" s="66" t="s">
        <v>284</v>
      </c>
      <c r="M22" s="66" t="s">
        <v>285</v>
      </c>
      <c r="N22" s="66" t="s">
        <v>286</v>
      </c>
      <c r="O22" s="66" t="s">
        <v>287</v>
      </c>
      <c r="P22" s="461"/>
      <c r="Q22" s="108" t="s">
        <v>563</v>
      </c>
      <c r="R22" s="109" t="s">
        <v>564</v>
      </c>
      <c r="S22" s="114" t="s">
        <v>546</v>
      </c>
    </row>
    <row r="23" spans="1:19" ht="93.75" customHeight="1" x14ac:dyDescent="0.25">
      <c r="B23" s="68" t="s">
        <v>288</v>
      </c>
      <c r="C23" s="205" t="s">
        <v>954</v>
      </c>
      <c r="D23" s="628" t="s">
        <v>983</v>
      </c>
      <c r="E23" s="629"/>
      <c r="F23" s="629"/>
      <c r="G23" s="629"/>
      <c r="H23" s="629"/>
      <c r="I23" s="629"/>
      <c r="J23" s="629"/>
      <c r="K23" s="629"/>
      <c r="L23" s="616"/>
      <c r="M23" s="617"/>
      <c r="N23" s="386"/>
      <c r="O23" s="383"/>
      <c r="P23" s="456">
        <v>0.8</v>
      </c>
      <c r="Q23" s="208" t="s">
        <v>979</v>
      </c>
      <c r="R23" s="208" t="s">
        <v>955</v>
      </c>
      <c r="S23" s="208"/>
    </row>
    <row r="24" spans="1:19" ht="54.75" customHeight="1" x14ac:dyDescent="0.25">
      <c r="B24" s="68" t="s">
        <v>289</v>
      </c>
      <c r="C24" s="205" t="s">
        <v>956</v>
      </c>
      <c r="D24" s="614" t="s">
        <v>981</v>
      </c>
      <c r="E24" s="624"/>
      <c r="F24" s="624"/>
      <c r="G24" s="624"/>
      <c r="H24" s="616"/>
      <c r="I24" s="616"/>
      <c r="J24" s="616"/>
      <c r="K24" s="616"/>
      <c r="L24" s="616"/>
      <c r="M24" s="617"/>
      <c r="N24" s="383"/>
      <c r="O24" s="383"/>
      <c r="P24" s="456">
        <v>0.2</v>
      </c>
      <c r="Q24" s="208" t="s">
        <v>875</v>
      </c>
      <c r="R24" s="375" t="s">
        <v>957</v>
      </c>
      <c r="S24" s="208"/>
    </row>
    <row r="25" spans="1:19" ht="63.75" customHeight="1" x14ac:dyDescent="0.25">
      <c r="B25" s="68" t="s">
        <v>290</v>
      </c>
      <c r="C25" s="453" t="s">
        <v>958</v>
      </c>
      <c r="D25" s="313"/>
      <c r="E25" s="314"/>
      <c r="F25" s="314"/>
      <c r="G25" s="314"/>
      <c r="H25" s="314"/>
      <c r="I25" s="314"/>
      <c r="J25" s="314"/>
      <c r="K25" s="314"/>
      <c r="L25" s="314"/>
      <c r="M25" s="314"/>
      <c r="N25" s="314"/>
      <c r="O25" s="314"/>
      <c r="P25" s="456" t="s">
        <v>275</v>
      </c>
      <c r="Q25" s="208" t="s">
        <v>960</v>
      </c>
      <c r="R25" s="208" t="s">
        <v>959</v>
      </c>
      <c r="S25" s="208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59"/>
      <c r="Q26" s="111"/>
      <c r="R26" s="110"/>
      <c r="S26" s="110"/>
    </row>
    <row r="27" spans="1:19" ht="60.75" customHeight="1" x14ac:dyDescent="0.25">
      <c r="A27" s="66">
        <v>5</v>
      </c>
      <c r="B27" s="600"/>
      <c r="C27" s="601"/>
      <c r="D27" s="66" t="s">
        <v>280</v>
      </c>
      <c r="E27" s="66" t="s">
        <v>281</v>
      </c>
      <c r="F27" s="66" t="s">
        <v>282</v>
      </c>
      <c r="G27" s="66" t="s">
        <v>283</v>
      </c>
      <c r="H27" s="66" t="s">
        <v>282</v>
      </c>
      <c r="I27" s="66" t="s">
        <v>280</v>
      </c>
      <c r="J27" s="66" t="s">
        <v>280</v>
      </c>
      <c r="K27" s="66" t="s">
        <v>283</v>
      </c>
      <c r="L27" s="66" t="s">
        <v>284</v>
      </c>
      <c r="M27" s="66" t="s">
        <v>285</v>
      </c>
      <c r="N27" s="66" t="s">
        <v>286</v>
      </c>
      <c r="O27" s="66" t="s">
        <v>287</v>
      </c>
      <c r="P27" s="458"/>
      <c r="Q27" s="108" t="s">
        <v>563</v>
      </c>
      <c r="R27" s="109" t="s">
        <v>564</v>
      </c>
      <c r="S27" s="114" t="s">
        <v>546</v>
      </c>
    </row>
    <row r="29" spans="1:19" ht="26.1" customHeight="1" x14ac:dyDescent="0.25">
      <c r="G29" s="71"/>
      <c r="M29" s="602">
        <f>O29/15</f>
        <v>0.2</v>
      </c>
      <c r="N29" s="603"/>
      <c r="O29" s="69">
        <f>COUNTIF($P$5:$P$27, P29)</f>
        <v>3</v>
      </c>
      <c r="P29" s="462" t="s">
        <v>277</v>
      </c>
    </row>
    <row r="30" spans="1:19" ht="26.1" customHeight="1" x14ac:dyDescent="0.25">
      <c r="M30" s="602">
        <f>O30/15</f>
        <v>0.26666666666666666</v>
      </c>
      <c r="N30" s="603"/>
      <c r="O30" s="69">
        <f>COUNTIF($P$5:$P$27, P30)</f>
        <v>4</v>
      </c>
      <c r="P30" s="462">
        <v>0.2</v>
      </c>
    </row>
    <row r="31" spans="1:19" ht="26.1" customHeight="1" x14ac:dyDescent="0.25">
      <c r="M31" s="602">
        <f t="shared" ref="M31:M32" si="0">O31/15</f>
        <v>6.6666666666666666E-2</v>
      </c>
      <c r="N31" s="603"/>
      <c r="O31" s="69">
        <f t="shared" ref="O31:O32" si="1">COUNTIF($P$5:$P$27, P31)</f>
        <v>1</v>
      </c>
      <c r="P31" s="462">
        <v>0.5</v>
      </c>
    </row>
    <row r="32" spans="1:19" ht="26.1" customHeight="1" x14ac:dyDescent="0.25">
      <c r="M32" s="602">
        <f t="shared" si="0"/>
        <v>0.26666666666666666</v>
      </c>
      <c r="N32" s="603"/>
      <c r="O32" s="69">
        <f t="shared" si="1"/>
        <v>4</v>
      </c>
      <c r="P32" s="462">
        <v>0.8</v>
      </c>
    </row>
    <row r="33" spans="7:16" ht="26.1" customHeight="1" x14ac:dyDescent="0.25">
      <c r="G33" s="72"/>
      <c r="H33" s="72"/>
      <c r="M33" s="602">
        <f>O33/15</f>
        <v>0.2</v>
      </c>
      <c r="N33" s="603"/>
      <c r="O33" s="69">
        <f>COUNTIF($P$5:$P$27, P33)</f>
        <v>3</v>
      </c>
      <c r="P33" s="463" t="s">
        <v>275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38" priority="17" stopIfTrue="1" operator="equal">
      <formula>"TERMINEE"</formula>
    </cfRule>
    <cfRule type="cellIs" dxfId="37" priority="18" stopIfTrue="1" operator="equal">
      <formula>"NON COMMENCEE"</formula>
    </cfRule>
  </conditionalFormatting>
  <conditionalFormatting sqref="P23">
    <cfRule type="cellIs" dxfId="36" priority="13" stopIfTrue="1" operator="equal">
      <formula>"TERMINEE"</formula>
    </cfRule>
    <cfRule type="cellIs" dxfId="35" priority="14" stopIfTrue="1" operator="equal">
      <formula>"NON COMMENCEE"</formula>
    </cfRule>
  </conditionalFormatting>
  <conditionalFormatting sqref="P11">
    <cfRule type="cellIs" dxfId="34" priority="5" stopIfTrue="1" operator="equal">
      <formula>"TERMINEE"</formula>
    </cfRule>
    <cfRule type="cellIs" dxfId="33" priority="6" stopIfTrue="1" operator="equal">
      <formula>"NON COMMENCEE"</formula>
    </cfRule>
  </conditionalFormatting>
  <conditionalFormatting sqref="P13">
    <cfRule type="cellIs" dxfId="32" priority="3" stopIfTrue="1" operator="equal">
      <formula>"TERMINEE"</formula>
    </cfRule>
    <cfRule type="cellIs" dxfId="31" priority="4" stopIfTrue="1" operator="equal">
      <formula>"NON COMMENCEE"</formula>
    </cfRule>
  </conditionalFormatting>
  <conditionalFormatting sqref="P5:P6 P9:P15 P18:P20 P23:P25 P29:P33">
    <cfRule type="cellIs" dxfId="30" priority="45" stopIfTrue="1" operator="equal">
      <formula>"TERMINEE"</formula>
    </cfRule>
    <cfRule type="cellIs" dxfId="29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632" t="s">
        <v>593</v>
      </c>
      <c r="B2" s="632"/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  <c r="O2" s="632"/>
      <c r="P2" s="632"/>
      <c r="Q2" s="130"/>
      <c r="R2" s="81" t="s">
        <v>291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633" t="s">
        <v>725</v>
      </c>
      <c r="F3" s="634"/>
      <c r="G3" s="138"/>
      <c r="H3" s="173"/>
      <c r="I3" s="633" t="s">
        <v>726</v>
      </c>
      <c r="J3" s="634"/>
      <c r="K3" s="138"/>
      <c r="L3" s="174"/>
      <c r="M3" s="633" t="s">
        <v>727</v>
      </c>
      <c r="N3" s="634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631" t="s">
        <v>724</v>
      </c>
      <c r="C5" s="631"/>
      <c r="D5" s="139" t="s">
        <v>280</v>
      </c>
      <c r="E5" s="139" t="s">
        <v>281</v>
      </c>
      <c r="F5" s="139" t="s">
        <v>282</v>
      </c>
      <c r="G5" s="139" t="s">
        <v>283</v>
      </c>
      <c r="H5" s="139" t="s">
        <v>282</v>
      </c>
      <c r="I5" s="139" t="s">
        <v>280</v>
      </c>
      <c r="J5" s="139" t="s">
        <v>280</v>
      </c>
      <c r="K5" s="139" t="s">
        <v>283</v>
      </c>
      <c r="L5" s="139" t="s">
        <v>284</v>
      </c>
      <c r="M5" s="139" t="s">
        <v>285</v>
      </c>
      <c r="N5" s="139" t="s">
        <v>286</v>
      </c>
      <c r="O5" s="139" t="s">
        <v>287</v>
      </c>
      <c r="P5" s="140" t="s">
        <v>243</v>
      </c>
      <c r="Q5" s="141" t="s">
        <v>601</v>
      </c>
      <c r="R5" s="142" t="s">
        <v>594</v>
      </c>
      <c r="S5" s="143" t="s">
        <v>551</v>
      </c>
      <c r="T5" s="144" t="s">
        <v>728</v>
      </c>
      <c r="U5" s="144" t="s">
        <v>729</v>
      </c>
    </row>
    <row r="6" spans="1:21" ht="78.75" customHeight="1" x14ac:dyDescent="0.25">
      <c r="A6" s="67"/>
      <c r="B6" s="146"/>
      <c r="C6" s="147" t="s">
        <v>592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277</v>
      </c>
      <c r="Q6" s="152" t="s">
        <v>602</v>
      </c>
      <c r="R6" s="153" t="s">
        <v>595</v>
      </c>
      <c r="S6" s="153" t="s">
        <v>596</v>
      </c>
      <c r="T6" s="170" t="s">
        <v>735</v>
      </c>
      <c r="U6" s="346" t="s">
        <v>842</v>
      </c>
    </row>
    <row r="7" spans="1:21" ht="64.5" customHeight="1" x14ac:dyDescent="0.25">
      <c r="A7" s="67"/>
      <c r="B7" s="146"/>
      <c r="C7" s="147" t="s">
        <v>597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277</v>
      </c>
      <c r="Q7" s="152" t="s">
        <v>603</v>
      </c>
      <c r="R7" s="153" t="s">
        <v>598</v>
      </c>
      <c r="S7" s="153"/>
      <c r="T7" s="170" t="s">
        <v>599</v>
      </c>
      <c r="U7" s="346" t="s">
        <v>841</v>
      </c>
    </row>
    <row r="8" spans="1:21" ht="91.5" customHeight="1" x14ac:dyDescent="0.25">
      <c r="A8" s="67"/>
      <c r="B8" s="156"/>
      <c r="C8" s="152" t="s">
        <v>600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277</v>
      </c>
      <c r="Q8" s="152" t="s">
        <v>604</v>
      </c>
      <c r="R8" s="153" t="s">
        <v>605</v>
      </c>
      <c r="S8" s="153" t="s">
        <v>606</v>
      </c>
      <c r="T8" s="170" t="s">
        <v>607</v>
      </c>
      <c r="U8" s="97"/>
    </row>
    <row r="9" spans="1:21" ht="89.25" customHeight="1" x14ac:dyDescent="0.25">
      <c r="A9" s="67"/>
      <c r="B9" s="160"/>
      <c r="C9" s="152" t="s">
        <v>608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277</v>
      </c>
      <c r="Q9" s="152" t="s">
        <v>609</v>
      </c>
      <c r="R9" s="153" t="s">
        <v>610</v>
      </c>
      <c r="S9" s="153" t="s">
        <v>889</v>
      </c>
      <c r="T9" s="170" t="s">
        <v>611</v>
      </c>
      <c r="U9" s="346" t="s">
        <v>890</v>
      </c>
    </row>
    <row r="10" spans="1:21" ht="72.75" customHeight="1" x14ac:dyDescent="0.25">
      <c r="A10" s="67"/>
      <c r="B10" s="162"/>
      <c r="C10" s="152" t="s">
        <v>612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277</v>
      </c>
      <c r="Q10" s="152" t="s">
        <v>613</v>
      </c>
      <c r="R10" s="153" t="s">
        <v>614</v>
      </c>
      <c r="S10" s="153"/>
      <c r="T10" s="170" t="s">
        <v>615</v>
      </c>
      <c r="U10" s="97"/>
    </row>
    <row r="11" spans="1:21" ht="72.75" customHeight="1" x14ac:dyDescent="0.25">
      <c r="A11" s="67"/>
      <c r="B11" s="162"/>
      <c r="C11" s="152" t="s">
        <v>616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277</v>
      </c>
      <c r="Q11" s="152" t="s">
        <v>617</v>
      </c>
      <c r="R11" s="153" t="s">
        <v>618</v>
      </c>
      <c r="S11" s="153" t="s">
        <v>619</v>
      </c>
      <c r="T11" s="170" t="s">
        <v>620</v>
      </c>
      <c r="U11" s="346" t="s">
        <v>838</v>
      </c>
    </row>
    <row r="12" spans="1:21" ht="72.75" customHeight="1" x14ac:dyDescent="0.25">
      <c r="A12" s="67"/>
      <c r="B12" s="163"/>
      <c r="C12" s="152" t="s">
        <v>621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277</v>
      </c>
      <c r="Q12" s="152" t="s">
        <v>622</v>
      </c>
      <c r="R12" s="153" t="s">
        <v>623</v>
      </c>
      <c r="S12" s="153"/>
      <c r="T12" s="170" t="s">
        <v>624</v>
      </c>
      <c r="U12" s="224" t="s">
        <v>839</v>
      </c>
    </row>
    <row r="13" spans="1:21" ht="72.75" customHeight="1" x14ac:dyDescent="0.25">
      <c r="A13" s="67"/>
      <c r="B13" s="160"/>
      <c r="C13" s="152" t="s">
        <v>625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276</v>
      </c>
      <c r="Q13" s="152" t="s">
        <v>626</v>
      </c>
      <c r="R13" s="153" t="s">
        <v>628</v>
      </c>
      <c r="S13" s="153" t="s">
        <v>627</v>
      </c>
      <c r="T13" s="170" t="s">
        <v>629</v>
      </c>
      <c r="U13" s="97"/>
    </row>
    <row r="14" spans="1:21" ht="72.75" customHeight="1" x14ac:dyDescent="0.25">
      <c r="A14" s="67"/>
      <c r="B14" s="162"/>
      <c r="C14" s="152" t="s">
        <v>630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277</v>
      </c>
      <c r="Q14" s="152" t="s">
        <v>631</v>
      </c>
      <c r="R14" s="153" t="s">
        <v>632</v>
      </c>
      <c r="S14" s="153" t="s">
        <v>633</v>
      </c>
      <c r="T14" s="170" t="s">
        <v>634</v>
      </c>
      <c r="U14" s="97"/>
    </row>
    <row r="15" spans="1:21" ht="72.75" customHeight="1" x14ac:dyDescent="0.25">
      <c r="A15" s="67"/>
      <c r="B15" s="160"/>
      <c r="C15" s="152" t="s">
        <v>635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277</v>
      </c>
      <c r="Q15" s="152" t="s">
        <v>636</v>
      </c>
      <c r="R15" s="153" t="s">
        <v>637</v>
      </c>
      <c r="S15" s="153" t="s">
        <v>633</v>
      </c>
      <c r="T15" s="170" t="s">
        <v>638</v>
      </c>
      <c r="U15" s="97"/>
    </row>
    <row r="16" spans="1:21" ht="72.75" customHeight="1" x14ac:dyDescent="0.25">
      <c r="A16" s="67"/>
      <c r="B16" s="162"/>
      <c r="C16" s="152" t="s">
        <v>639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277</v>
      </c>
      <c r="Q16" s="152" t="s">
        <v>640</v>
      </c>
      <c r="R16" s="153" t="s">
        <v>641</v>
      </c>
      <c r="S16" s="153" t="s">
        <v>633</v>
      </c>
      <c r="T16" s="170"/>
      <c r="U16" s="97"/>
    </row>
    <row r="17" spans="1:21" ht="72.75" customHeight="1" x14ac:dyDescent="0.25">
      <c r="A17" s="67"/>
      <c r="B17" s="160"/>
      <c r="C17" s="152" t="s">
        <v>642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277</v>
      </c>
      <c r="Q17" s="152" t="s">
        <v>643</v>
      </c>
      <c r="R17" s="153" t="s">
        <v>644</v>
      </c>
      <c r="S17" s="153" t="s">
        <v>645</v>
      </c>
      <c r="T17" s="170" t="s">
        <v>646</v>
      </c>
      <c r="U17" s="97"/>
    </row>
    <row r="18" spans="1:21" ht="72.75" customHeight="1" x14ac:dyDescent="0.25">
      <c r="A18" s="67"/>
      <c r="B18" s="162"/>
      <c r="C18" s="152" t="s">
        <v>647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275</v>
      </c>
      <c r="Q18" s="152" t="s">
        <v>648</v>
      </c>
      <c r="R18" s="153" t="s">
        <v>649</v>
      </c>
      <c r="S18" s="153" t="s">
        <v>581</v>
      </c>
      <c r="T18" s="170" t="s">
        <v>650</v>
      </c>
      <c r="U18" s="97"/>
    </row>
    <row r="19" spans="1:21" ht="72.75" customHeight="1" x14ac:dyDescent="0.25">
      <c r="A19" s="67"/>
      <c r="B19" s="162"/>
      <c r="C19" s="152" t="s">
        <v>651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276</v>
      </c>
      <c r="Q19" s="152" t="s">
        <v>652</v>
      </c>
      <c r="R19" s="153" t="s">
        <v>653</v>
      </c>
      <c r="S19" s="153" t="s">
        <v>654</v>
      </c>
      <c r="T19" s="170"/>
      <c r="U19" s="97"/>
    </row>
    <row r="20" spans="1:21" ht="72.75" customHeight="1" x14ac:dyDescent="0.25">
      <c r="A20" s="67"/>
      <c r="B20" s="162"/>
      <c r="C20" s="152" t="s">
        <v>655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275</v>
      </c>
      <c r="Q20" s="152" t="s">
        <v>657</v>
      </c>
      <c r="R20" s="153" t="s">
        <v>656</v>
      </c>
      <c r="S20" s="153" t="s">
        <v>658</v>
      </c>
      <c r="T20" s="170" t="s">
        <v>659</v>
      </c>
      <c r="U20" s="97"/>
    </row>
    <row r="21" spans="1:21" ht="72.75" customHeight="1" x14ac:dyDescent="0.25">
      <c r="A21" s="67"/>
      <c r="B21" s="162"/>
      <c r="C21" s="152" t="s">
        <v>660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277</v>
      </c>
      <c r="Q21" s="152" t="s">
        <v>661</v>
      </c>
      <c r="R21" s="153" t="s">
        <v>656</v>
      </c>
      <c r="S21" s="153" t="s">
        <v>658</v>
      </c>
      <c r="T21" s="170"/>
      <c r="U21" s="97"/>
    </row>
    <row r="22" spans="1:21" ht="72.75" customHeight="1" x14ac:dyDescent="0.25">
      <c r="A22" s="67"/>
      <c r="B22" s="163"/>
      <c r="C22" s="152" t="s">
        <v>662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277</v>
      </c>
      <c r="Q22" s="152" t="s">
        <v>663</v>
      </c>
      <c r="R22" s="153" t="s">
        <v>656</v>
      </c>
      <c r="S22" s="153" t="s">
        <v>658</v>
      </c>
      <c r="T22" s="170" t="s">
        <v>664</v>
      </c>
      <c r="U22" s="97"/>
    </row>
    <row r="23" spans="1:21" ht="72.75" customHeight="1" x14ac:dyDescent="0.25">
      <c r="A23" s="67"/>
      <c r="B23" s="162"/>
      <c r="C23" s="152" t="s">
        <v>665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276</v>
      </c>
      <c r="Q23" s="152" t="s">
        <v>666</v>
      </c>
      <c r="R23" s="153" t="s">
        <v>667</v>
      </c>
      <c r="S23" s="153" t="s">
        <v>606</v>
      </c>
      <c r="T23" s="170" t="s">
        <v>668</v>
      </c>
      <c r="U23" s="97"/>
    </row>
    <row r="24" spans="1:21" ht="72.75" customHeight="1" x14ac:dyDescent="0.25">
      <c r="A24" s="67"/>
      <c r="B24" s="162"/>
      <c r="C24" s="152" t="s">
        <v>669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277</v>
      </c>
      <c r="Q24" s="152" t="s">
        <v>670</v>
      </c>
      <c r="R24" s="153" t="s">
        <v>671</v>
      </c>
      <c r="S24" s="153" t="s">
        <v>606</v>
      </c>
      <c r="T24" s="170" t="s">
        <v>672</v>
      </c>
      <c r="U24" s="97"/>
    </row>
    <row r="25" spans="1:21" ht="72.75" customHeight="1" x14ac:dyDescent="0.25">
      <c r="A25" s="67"/>
      <c r="B25" s="160"/>
      <c r="C25" s="152" t="s">
        <v>673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277</v>
      </c>
      <c r="Q25" s="152" t="s">
        <v>674</v>
      </c>
      <c r="R25" s="153" t="s">
        <v>675</v>
      </c>
      <c r="S25" s="153" t="s">
        <v>676</v>
      </c>
      <c r="T25" s="170" t="s">
        <v>677</v>
      </c>
      <c r="U25" s="97"/>
    </row>
    <row r="26" spans="1:21" ht="72.75" customHeight="1" x14ac:dyDescent="0.25">
      <c r="A26" s="67"/>
      <c r="B26" s="162"/>
      <c r="C26" s="152" t="s">
        <v>678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277</v>
      </c>
      <c r="Q26" s="152" t="s">
        <v>679</v>
      </c>
      <c r="R26" s="153" t="s">
        <v>680</v>
      </c>
      <c r="S26" s="153" t="s">
        <v>676</v>
      </c>
      <c r="T26" s="170" t="s">
        <v>681</v>
      </c>
      <c r="U26" s="97"/>
    </row>
    <row r="27" spans="1:21" ht="117.75" customHeight="1" thickBot="1" x14ac:dyDescent="0.3">
      <c r="A27" s="67"/>
      <c r="B27" s="160"/>
      <c r="C27" s="152" t="s">
        <v>682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276</v>
      </c>
      <c r="Q27" s="152" t="s">
        <v>683</v>
      </c>
      <c r="R27" s="153" t="s">
        <v>684</v>
      </c>
      <c r="S27" s="153" t="s">
        <v>685</v>
      </c>
      <c r="T27" s="170" t="s">
        <v>686</v>
      </c>
      <c r="U27" s="346" t="s">
        <v>891</v>
      </c>
    </row>
    <row r="28" spans="1:21" ht="48.75" customHeight="1" x14ac:dyDescent="0.25">
      <c r="A28" s="66"/>
      <c r="B28" s="631" t="s">
        <v>687</v>
      </c>
      <c r="C28" s="631"/>
      <c r="D28" s="139" t="s">
        <v>280</v>
      </c>
      <c r="E28" s="139" t="s">
        <v>281</v>
      </c>
      <c r="F28" s="139" t="s">
        <v>282</v>
      </c>
      <c r="G28" s="139" t="s">
        <v>283</v>
      </c>
      <c r="H28" s="139" t="s">
        <v>282</v>
      </c>
      <c r="I28" s="139" t="s">
        <v>280</v>
      </c>
      <c r="J28" s="139" t="s">
        <v>280</v>
      </c>
      <c r="K28" s="139" t="s">
        <v>283</v>
      </c>
      <c r="L28" s="139" t="s">
        <v>284</v>
      </c>
      <c r="M28" s="139" t="s">
        <v>285</v>
      </c>
      <c r="N28" s="139" t="s">
        <v>286</v>
      </c>
      <c r="O28" s="139" t="s">
        <v>287</v>
      </c>
      <c r="P28" s="140" t="s">
        <v>243</v>
      </c>
      <c r="Q28" s="141" t="s">
        <v>601</v>
      </c>
      <c r="R28" s="142" t="s">
        <v>594</v>
      </c>
      <c r="S28" s="143" t="s">
        <v>551</v>
      </c>
      <c r="T28" s="171" t="s">
        <v>728</v>
      </c>
      <c r="U28" s="171" t="s">
        <v>729</v>
      </c>
    </row>
    <row r="29" spans="1:21" ht="90" customHeight="1" x14ac:dyDescent="0.25">
      <c r="A29" s="67"/>
      <c r="B29" s="160"/>
      <c r="C29" s="152" t="s">
        <v>688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277</v>
      </c>
      <c r="Q29" s="152" t="s">
        <v>689</v>
      </c>
      <c r="R29" s="153" t="s">
        <v>690</v>
      </c>
      <c r="S29" s="153" t="s">
        <v>691</v>
      </c>
      <c r="T29" s="170"/>
      <c r="U29" s="97"/>
    </row>
    <row r="30" spans="1:21" ht="90" customHeight="1" x14ac:dyDescent="0.25">
      <c r="A30" s="67"/>
      <c r="B30" s="160"/>
      <c r="C30" s="152" t="s">
        <v>692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277</v>
      </c>
      <c r="Q30" s="152" t="s">
        <v>693</v>
      </c>
      <c r="R30" s="153" t="s">
        <v>694</v>
      </c>
      <c r="S30" s="153" t="s">
        <v>695</v>
      </c>
      <c r="T30" s="170"/>
      <c r="U30" s="97"/>
    </row>
    <row r="31" spans="1:21" ht="90" customHeight="1" x14ac:dyDescent="0.25">
      <c r="A31" s="67"/>
      <c r="B31" s="160"/>
      <c r="C31" s="152" t="s">
        <v>696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277</v>
      </c>
      <c r="Q31" s="152" t="s">
        <v>697</v>
      </c>
      <c r="R31" s="153" t="s">
        <v>698</v>
      </c>
      <c r="S31" s="153" t="s">
        <v>699</v>
      </c>
      <c r="T31" s="170" t="s">
        <v>700</v>
      </c>
      <c r="U31" s="346" t="s">
        <v>892</v>
      </c>
    </row>
    <row r="32" spans="1:21" ht="90" customHeight="1" x14ac:dyDescent="0.25">
      <c r="A32" s="67"/>
      <c r="B32" s="160"/>
      <c r="C32" s="152" t="s">
        <v>701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277</v>
      </c>
      <c r="Q32" s="152" t="s">
        <v>702</v>
      </c>
      <c r="R32" s="153" t="s">
        <v>703</v>
      </c>
      <c r="S32" s="153" t="s">
        <v>704</v>
      </c>
      <c r="T32" s="170" t="s">
        <v>705</v>
      </c>
      <c r="U32" s="346" t="s">
        <v>840</v>
      </c>
    </row>
    <row r="33" spans="1:21" ht="90" customHeight="1" x14ac:dyDescent="0.25">
      <c r="A33" s="67"/>
      <c r="B33" s="162"/>
      <c r="C33" s="152" t="s">
        <v>706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277</v>
      </c>
      <c r="Q33" s="152" t="s">
        <v>707</v>
      </c>
      <c r="R33" s="153" t="s">
        <v>708</v>
      </c>
      <c r="S33" s="153" t="s">
        <v>709</v>
      </c>
      <c r="T33" s="170"/>
      <c r="U33" s="97"/>
    </row>
    <row r="34" spans="1:21" ht="90" customHeight="1" x14ac:dyDescent="0.25">
      <c r="A34" s="67"/>
      <c r="B34" s="162"/>
      <c r="C34" s="152" t="s">
        <v>710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277</v>
      </c>
      <c r="Q34" s="152" t="s">
        <v>711</v>
      </c>
      <c r="R34" s="153" t="s">
        <v>712</v>
      </c>
      <c r="S34" s="153" t="s">
        <v>709</v>
      </c>
      <c r="T34" s="170"/>
      <c r="U34" s="97"/>
    </row>
    <row r="35" spans="1:21" ht="90" customHeight="1" x14ac:dyDescent="0.25">
      <c r="A35" s="67"/>
      <c r="B35" s="162"/>
      <c r="C35" s="152" t="s">
        <v>713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277</v>
      </c>
      <c r="Q35" s="152" t="s">
        <v>714</v>
      </c>
      <c r="R35" s="153" t="s">
        <v>715</v>
      </c>
      <c r="S35" s="153" t="s">
        <v>716</v>
      </c>
      <c r="T35" s="170"/>
      <c r="U35" s="97"/>
    </row>
    <row r="36" spans="1:21" ht="90" customHeight="1" x14ac:dyDescent="0.25">
      <c r="A36" s="67"/>
      <c r="B36" s="162"/>
      <c r="C36" s="152" t="s">
        <v>717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277</v>
      </c>
      <c r="Q36" s="152" t="s">
        <v>718</v>
      </c>
      <c r="R36" s="153" t="s">
        <v>719</v>
      </c>
      <c r="S36" s="153" t="s">
        <v>709</v>
      </c>
      <c r="T36" s="170"/>
      <c r="U36" s="97" t="s">
        <v>893</v>
      </c>
    </row>
    <row r="37" spans="1:21" ht="90" customHeight="1" x14ac:dyDescent="0.25">
      <c r="A37" s="67"/>
      <c r="B37" s="162"/>
      <c r="C37" s="152" t="s">
        <v>720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276</v>
      </c>
      <c r="Q37" s="152" t="s">
        <v>721</v>
      </c>
      <c r="R37" s="153" t="s">
        <v>722</v>
      </c>
      <c r="S37" s="153" t="s">
        <v>723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30">
        <f>O39/23</f>
        <v>0.39130434782608697</v>
      </c>
      <c r="N39" s="630"/>
      <c r="O39" s="69">
        <v>9</v>
      </c>
      <c r="P39" s="69" t="s">
        <v>277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30">
        <f>O40/23</f>
        <v>0.52173913043478259</v>
      </c>
      <c r="N40" s="630"/>
      <c r="O40" s="69">
        <v>12</v>
      </c>
      <c r="P40" s="69" t="s">
        <v>276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30">
        <f>O41/23</f>
        <v>8.6956521739130432E-2</v>
      </c>
      <c r="N41" s="630"/>
      <c r="O41" s="69">
        <f>COUNTIF($P$6:$P$28, P41)</f>
        <v>2</v>
      </c>
      <c r="P41" s="87" t="s">
        <v>275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8" priority="5" stopIfTrue="1" operator="equal">
      <formula>"TERMINEE"</formula>
    </cfRule>
    <cfRule type="cellIs" dxfId="27" priority="6" stopIfTrue="1" operator="equal">
      <formula>"NON COMMENCEE"</formula>
    </cfRule>
  </conditionalFormatting>
  <conditionalFormatting sqref="P1:Q1 P4:Q4 P39:Q41 P5">
    <cfRule type="cellIs" dxfId="26" priority="13" stopIfTrue="1" operator="equal">
      <formula>"TERMINEE"</formula>
    </cfRule>
    <cfRule type="cellIs" dxfId="25" priority="14" stopIfTrue="1" operator="equal">
      <formula>"NON COMMENCEE"</formula>
    </cfRule>
  </conditionalFormatting>
  <conditionalFormatting sqref="P28">
    <cfRule type="cellIs" dxfId="24" priority="7" stopIfTrue="1" operator="equal">
      <formula>"TERMINEE"</formula>
    </cfRule>
    <cfRule type="cellIs" dxfId="23" priority="8" stopIfTrue="1" operator="equal">
      <formula>"NON COMMENCEE"</formula>
    </cfRule>
  </conditionalFormatting>
  <conditionalFormatting sqref="P29:Q36 P38:Q38">
    <cfRule type="cellIs" dxfId="22" priority="3" stopIfTrue="1" operator="equal">
      <formula>"TERMINEE"</formula>
    </cfRule>
    <cfRule type="cellIs" dxfId="21" priority="4" stopIfTrue="1" operator="equal">
      <formula>"NON COMMENCEE"</formula>
    </cfRule>
  </conditionalFormatting>
  <conditionalFormatting sqref="P37:Q37">
    <cfRule type="cellIs" dxfId="20" priority="1" stopIfTrue="1" operator="equal">
      <formula>"TERMINEE"</formula>
    </cfRule>
    <cfRule type="cellIs" dxfId="19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D338"/>
  <sheetViews>
    <sheetView topLeftCell="C1" zoomScale="90" zoomScaleNormal="90" workbookViewId="0">
      <selection activeCell="K25" sqref="K25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30" width="45.5703125" style="15" customWidth="1"/>
    <col min="31" max="16384" width="11.42578125" style="15"/>
  </cols>
  <sheetData>
    <row r="1" spans="1:30" x14ac:dyDescent="0.2">
      <c r="A1" s="335" t="s">
        <v>1276</v>
      </c>
      <c r="B1" s="336" t="s">
        <v>16</v>
      </c>
      <c r="C1" s="15" t="s">
        <v>16</v>
      </c>
      <c r="E1" s="15" t="s">
        <v>83</v>
      </c>
      <c r="F1" s="15" t="s">
        <v>152</v>
      </c>
      <c r="G1" s="15" t="s">
        <v>85</v>
      </c>
      <c r="H1" s="15" t="s">
        <v>87</v>
      </c>
      <c r="I1" s="15" t="s">
        <v>153</v>
      </c>
      <c r="J1" s="15" t="s">
        <v>25</v>
      </c>
      <c r="K1" s="15" t="s">
        <v>20</v>
      </c>
      <c r="L1" s="15" t="s">
        <v>101</v>
      </c>
      <c r="M1" s="15" t="s">
        <v>102</v>
      </c>
      <c r="N1" s="15" t="s">
        <v>103</v>
      </c>
      <c r="O1" s="15" t="s">
        <v>104</v>
      </c>
      <c r="P1" s="15" t="s">
        <v>105</v>
      </c>
      <c r="Q1" s="15" t="s">
        <v>106</v>
      </c>
      <c r="R1" s="15" t="s">
        <v>107</v>
      </c>
      <c r="S1" s="15" t="s">
        <v>108</v>
      </c>
      <c r="T1" s="15" t="s">
        <v>303</v>
      </c>
      <c r="U1" s="15" t="s">
        <v>308</v>
      </c>
      <c r="V1" s="15" t="s">
        <v>321</v>
      </c>
      <c r="W1" s="15" t="s">
        <v>340</v>
      </c>
      <c r="X1" s="15" t="s">
        <v>344</v>
      </c>
      <c r="Y1" s="15" t="s">
        <v>347</v>
      </c>
      <c r="Z1" s="15" t="s">
        <v>353</v>
      </c>
      <c r="AA1" s="15" t="s">
        <v>374</v>
      </c>
      <c r="AB1" s="15" t="s">
        <v>384</v>
      </c>
      <c r="AC1" s="15" t="s">
        <v>400</v>
      </c>
      <c r="AD1" s="491" t="s">
        <v>1384</v>
      </c>
    </row>
    <row r="2" spans="1:30" x14ac:dyDescent="0.2">
      <c r="A2" s="22" t="s">
        <v>1277</v>
      </c>
      <c r="B2" s="19" t="s">
        <v>1278</v>
      </c>
      <c r="C2" s="19" t="s">
        <v>1278</v>
      </c>
      <c r="D2" s="322"/>
      <c r="E2" s="15" t="s">
        <v>27</v>
      </c>
      <c r="F2" s="15" t="s">
        <v>28</v>
      </c>
      <c r="G2" s="15" t="s">
        <v>33</v>
      </c>
      <c r="H2" s="15" t="s">
        <v>44</v>
      </c>
      <c r="I2" s="15" t="s">
        <v>109</v>
      </c>
      <c r="J2" s="15" t="s">
        <v>90</v>
      </c>
      <c r="K2" s="16" t="s">
        <v>42</v>
      </c>
      <c r="L2" s="15" t="s">
        <v>48</v>
      </c>
      <c r="M2" s="15" t="s">
        <v>52</v>
      </c>
      <c r="N2" s="15" t="s">
        <v>512</v>
      </c>
      <c r="O2" s="15" t="s">
        <v>182</v>
      </c>
      <c r="P2" s="15" t="s">
        <v>195</v>
      </c>
      <c r="Q2" s="15" t="s">
        <v>205</v>
      </c>
      <c r="R2" s="15" t="s">
        <v>221</v>
      </c>
      <c r="S2" s="15" t="s">
        <v>292</v>
      </c>
      <c r="T2" s="15" t="s">
        <v>305</v>
      </c>
      <c r="U2" s="15" t="s">
        <v>309</v>
      </c>
      <c r="V2" s="15" t="s">
        <v>322</v>
      </c>
      <c r="W2" s="15" t="s">
        <v>341</v>
      </c>
      <c r="X2" s="15" t="s">
        <v>345</v>
      </c>
      <c r="Y2" s="15" t="s">
        <v>352</v>
      </c>
      <c r="Z2" s="15" t="s">
        <v>354</v>
      </c>
      <c r="AA2" s="15" t="s">
        <v>375</v>
      </c>
      <c r="AB2" s="15" t="s">
        <v>385</v>
      </c>
      <c r="AC2" s="15" t="s">
        <v>401</v>
      </c>
      <c r="AD2" s="491" t="s">
        <v>1383</v>
      </c>
    </row>
    <row r="3" spans="1:30" x14ac:dyDescent="0.2">
      <c r="A3" s="22" t="s">
        <v>1279</v>
      </c>
      <c r="B3" s="19" t="s">
        <v>1278</v>
      </c>
      <c r="C3" s="333" t="s">
        <v>270</v>
      </c>
      <c r="D3" s="322"/>
      <c r="E3" s="15" t="s">
        <v>36</v>
      </c>
      <c r="F3" s="15" t="s">
        <v>37</v>
      </c>
      <c r="G3" s="15" t="s">
        <v>35</v>
      </c>
      <c r="H3" s="15" t="s">
        <v>56</v>
      </c>
      <c r="I3" s="15" t="s">
        <v>110</v>
      </c>
      <c r="J3" s="15" t="s">
        <v>91</v>
      </c>
      <c r="K3" s="16" t="s">
        <v>51</v>
      </c>
      <c r="L3" s="15" t="s">
        <v>156</v>
      </c>
      <c r="M3" s="15" t="s">
        <v>164</v>
      </c>
      <c r="N3" s="15" t="s">
        <v>513</v>
      </c>
      <c r="O3" s="15" t="s">
        <v>191</v>
      </c>
      <c r="P3" s="15" t="s">
        <v>196</v>
      </c>
      <c r="Q3" s="15" t="s">
        <v>206</v>
      </c>
      <c r="R3" s="15" t="s">
        <v>222</v>
      </c>
      <c r="S3" s="15" t="s">
        <v>293</v>
      </c>
      <c r="T3" s="15" t="s">
        <v>306</v>
      </c>
      <c r="U3" s="15" t="s">
        <v>310</v>
      </c>
      <c r="V3" s="15" t="s">
        <v>323</v>
      </c>
      <c r="W3" s="15" t="s">
        <v>342</v>
      </c>
      <c r="X3" s="15" t="s">
        <v>62</v>
      </c>
      <c r="Y3" s="15" t="s">
        <v>348</v>
      </c>
      <c r="Z3" s="15" t="s">
        <v>355</v>
      </c>
      <c r="AA3" s="15" t="s">
        <v>376</v>
      </c>
      <c r="AB3" s="15" t="s">
        <v>386</v>
      </c>
      <c r="AD3" s="491" t="s">
        <v>1382</v>
      </c>
    </row>
    <row r="4" spans="1:30" x14ac:dyDescent="0.2">
      <c r="A4" s="22" t="s">
        <v>1280</v>
      </c>
      <c r="B4" s="19" t="s">
        <v>1278</v>
      </c>
      <c r="C4" s="18" t="s">
        <v>1291</v>
      </c>
      <c r="D4" s="468"/>
      <c r="E4" s="15" t="s">
        <v>898</v>
      </c>
      <c r="F4" s="15" t="s">
        <v>86</v>
      </c>
      <c r="H4" s="15" t="s">
        <v>40</v>
      </c>
      <c r="I4" s="15" t="s">
        <v>111</v>
      </c>
      <c r="J4" s="15" t="s">
        <v>92</v>
      </c>
      <c r="K4" s="16" t="s">
        <v>61</v>
      </c>
      <c r="L4" s="15" t="s">
        <v>68</v>
      </c>
      <c r="M4" s="15" t="s">
        <v>169</v>
      </c>
      <c r="N4" s="15" t="s">
        <v>514</v>
      </c>
      <c r="O4" s="15" t="s">
        <v>183</v>
      </c>
      <c r="P4" s="15" t="s">
        <v>198</v>
      </c>
      <c r="Q4" s="15" t="s">
        <v>207</v>
      </c>
      <c r="R4" s="15" t="s">
        <v>223</v>
      </c>
      <c r="S4" s="15" t="s">
        <v>294</v>
      </c>
      <c r="T4" s="15" t="s">
        <v>307</v>
      </c>
      <c r="U4" s="15" t="s">
        <v>311</v>
      </c>
      <c r="V4" s="15" t="s">
        <v>324</v>
      </c>
      <c r="W4" s="15" t="s">
        <v>62</v>
      </c>
      <c r="Y4" s="15" t="s">
        <v>349</v>
      </c>
      <c r="Z4" s="15" t="s">
        <v>356</v>
      </c>
      <c r="AA4" s="15" t="s">
        <v>30</v>
      </c>
      <c r="AB4" s="15" t="s">
        <v>387</v>
      </c>
    </row>
    <row r="5" spans="1:30" x14ac:dyDescent="0.2">
      <c r="A5" s="22" t="s">
        <v>1281</v>
      </c>
      <c r="B5" s="19" t="s">
        <v>1278</v>
      </c>
      <c r="C5" s="473" t="s">
        <v>1297</v>
      </c>
      <c r="E5" s="15" t="s">
        <v>47</v>
      </c>
      <c r="F5" s="15" t="s">
        <v>899</v>
      </c>
      <c r="G5" s="15" t="s">
        <v>241</v>
      </c>
      <c r="H5" s="15" t="s">
        <v>49</v>
      </c>
      <c r="I5" s="15" t="s">
        <v>112</v>
      </c>
      <c r="J5" s="15" t="s">
        <v>38</v>
      </c>
      <c r="K5" s="16" t="s">
        <v>71</v>
      </c>
      <c r="L5" s="15" t="s">
        <v>157</v>
      </c>
      <c r="M5" s="15" t="s">
        <v>170</v>
      </c>
      <c r="N5" s="15" t="s">
        <v>515</v>
      </c>
      <c r="O5" s="15" t="s">
        <v>184</v>
      </c>
      <c r="P5" s="15" t="s">
        <v>199</v>
      </c>
      <c r="Q5" s="15" t="s">
        <v>208</v>
      </c>
      <c r="R5" s="15" t="s">
        <v>224</v>
      </c>
      <c r="S5" s="15" t="s">
        <v>295</v>
      </c>
      <c r="T5" s="15" t="s">
        <v>62</v>
      </c>
      <c r="U5" s="15" t="s">
        <v>312</v>
      </c>
      <c r="V5" s="15" t="s">
        <v>325</v>
      </c>
      <c r="Y5" s="15" t="s">
        <v>350</v>
      </c>
      <c r="Z5" s="15" t="s">
        <v>357</v>
      </c>
      <c r="AA5" s="15" t="s">
        <v>377</v>
      </c>
      <c r="AB5" s="15" t="s">
        <v>388</v>
      </c>
    </row>
    <row r="6" spans="1:30" x14ac:dyDescent="0.2">
      <c r="A6" s="22" t="s">
        <v>1282</v>
      </c>
      <c r="B6" s="19" t="s">
        <v>1278</v>
      </c>
      <c r="E6" s="15" t="s">
        <v>84</v>
      </c>
      <c r="G6" s="15" t="s">
        <v>239</v>
      </c>
      <c r="H6" s="15" t="s">
        <v>88</v>
      </c>
      <c r="I6" s="15" t="s">
        <v>113</v>
      </c>
      <c r="J6" s="15" t="s">
        <v>93</v>
      </c>
      <c r="K6" s="16" t="s">
        <v>64</v>
      </c>
      <c r="L6" s="15" t="s">
        <v>158</v>
      </c>
      <c r="M6" s="15" t="s">
        <v>171</v>
      </c>
      <c r="N6" s="15" t="s">
        <v>516</v>
      </c>
      <c r="O6" s="15" t="s">
        <v>185</v>
      </c>
      <c r="P6" s="15" t="s">
        <v>200</v>
      </c>
      <c r="Q6" s="15" t="s">
        <v>209</v>
      </c>
      <c r="R6" s="15" t="s">
        <v>225</v>
      </c>
      <c r="S6" s="15" t="s">
        <v>296</v>
      </c>
      <c r="U6" s="15" t="s">
        <v>313</v>
      </c>
      <c r="V6" s="15" t="s">
        <v>326</v>
      </c>
      <c r="Y6" s="15" t="s">
        <v>351</v>
      </c>
      <c r="Z6" s="15" t="s">
        <v>358</v>
      </c>
      <c r="AA6" s="15" t="s">
        <v>380</v>
      </c>
      <c r="AB6" s="15" t="s">
        <v>389</v>
      </c>
    </row>
    <row r="7" spans="1:30" x14ac:dyDescent="0.2">
      <c r="A7" s="22" t="s">
        <v>1283</v>
      </c>
      <c r="B7" s="19" t="s">
        <v>1278</v>
      </c>
      <c r="G7" s="15" t="s">
        <v>538</v>
      </c>
      <c r="H7" s="15" t="s">
        <v>89</v>
      </c>
      <c r="I7" s="15" t="s">
        <v>114</v>
      </c>
      <c r="J7" s="15" t="s">
        <v>94</v>
      </c>
      <c r="K7" s="16" t="s">
        <v>73</v>
      </c>
      <c r="L7" s="15" t="s">
        <v>159</v>
      </c>
      <c r="M7" s="15" t="s">
        <v>172</v>
      </c>
      <c r="N7" s="15" t="s">
        <v>517</v>
      </c>
      <c r="O7" s="15" t="s">
        <v>186</v>
      </c>
      <c r="P7" s="15" t="s">
        <v>201</v>
      </c>
      <c r="Q7" s="15" t="s">
        <v>210</v>
      </c>
      <c r="R7" s="15" t="s">
        <v>226</v>
      </c>
      <c r="S7" s="15" t="s">
        <v>297</v>
      </c>
      <c r="U7" s="15" t="s">
        <v>314</v>
      </c>
      <c r="V7" s="15" t="s">
        <v>327</v>
      </c>
      <c r="Y7" s="15" t="s">
        <v>62</v>
      </c>
      <c r="Z7" s="15" t="s">
        <v>359</v>
      </c>
      <c r="AA7" s="15" t="s">
        <v>378</v>
      </c>
      <c r="AB7" s="15" t="s">
        <v>390</v>
      </c>
    </row>
    <row r="8" spans="1:30" x14ac:dyDescent="0.2">
      <c r="A8" s="22" t="s">
        <v>1284</v>
      </c>
      <c r="B8" s="19" t="s">
        <v>1278</v>
      </c>
      <c r="H8" s="15" t="s">
        <v>54</v>
      </c>
      <c r="I8" s="15" t="s">
        <v>115</v>
      </c>
      <c r="J8" s="15" t="s">
        <v>65</v>
      </c>
      <c r="K8" s="16" t="s">
        <v>77</v>
      </c>
      <c r="L8" s="15" t="s">
        <v>160</v>
      </c>
      <c r="M8" s="15" t="s">
        <v>173</v>
      </c>
      <c r="N8" s="15" t="s">
        <v>518</v>
      </c>
      <c r="O8" s="15" t="s">
        <v>187</v>
      </c>
      <c r="P8" s="15" t="s">
        <v>202</v>
      </c>
      <c r="Q8" s="15" t="s">
        <v>211</v>
      </c>
      <c r="R8" s="15" t="s">
        <v>78</v>
      </c>
      <c r="S8" s="15" t="s">
        <v>298</v>
      </c>
      <c r="U8" s="15" t="s">
        <v>315</v>
      </c>
      <c r="V8" s="15" t="s">
        <v>328</v>
      </c>
      <c r="Z8" s="15" t="s">
        <v>360</v>
      </c>
      <c r="AA8" s="15" t="s">
        <v>379</v>
      </c>
      <c r="AB8" s="15" t="s">
        <v>391</v>
      </c>
    </row>
    <row r="9" spans="1:30" x14ac:dyDescent="0.2">
      <c r="A9" s="22" t="s">
        <v>1285</v>
      </c>
      <c r="B9" s="19" t="s">
        <v>1278</v>
      </c>
      <c r="I9" s="15" t="s">
        <v>116</v>
      </c>
      <c r="J9" s="15" t="s">
        <v>50</v>
      </c>
      <c r="K9" s="16" t="s">
        <v>97</v>
      </c>
      <c r="L9" s="15" t="s">
        <v>161</v>
      </c>
      <c r="M9" s="15" t="s">
        <v>174</v>
      </c>
      <c r="N9" s="15" t="s">
        <v>519</v>
      </c>
      <c r="O9" s="15" t="s">
        <v>188</v>
      </c>
      <c r="P9" s="15" t="s">
        <v>203</v>
      </c>
      <c r="Q9" s="15" t="s">
        <v>212</v>
      </c>
      <c r="R9" s="15" t="s">
        <v>62</v>
      </c>
      <c r="S9" s="15" t="s">
        <v>299</v>
      </c>
      <c r="U9" s="15" t="s">
        <v>316</v>
      </c>
      <c r="V9" s="15" t="s">
        <v>329</v>
      </c>
      <c r="Z9" s="15" t="s">
        <v>361</v>
      </c>
      <c r="AA9" s="15" t="s">
        <v>381</v>
      </c>
      <c r="AB9" s="15" t="s">
        <v>392</v>
      </c>
    </row>
    <row r="10" spans="1:30" x14ac:dyDescent="0.2">
      <c r="A10" s="22" t="s">
        <v>1286</v>
      </c>
      <c r="B10" s="19" t="s">
        <v>1278</v>
      </c>
      <c r="I10" s="15" t="s">
        <v>117</v>
      </c>
      <c r="J10" s="15" t="s">
        <v>63</v>
      </c>
      <c r="K10" s="15" t="s">
        <v>304</v>
      </c>
      <c r="L10" s="15" t="s">
        <v>43</v>
      </c>
      <c r="M10" s="15" t="s">
        <v>177</v>
      </c>
      <c r="N10" s="15" t="s">
        <v>520</v>
      </c>
      <c r="O10" s="15" t="s">
        <v>189</v>
      </c>
      <c r="P10" s="15" t="s">
        <v>204</v>
      </c>
      <c r="Q10" s="15" t="s">
        <v>213</v>
      </c>
      <c r="S10" s="15" t="s">
        <v>300</v>
      </c>
      <c r="U10" s="15" t="s">
        <v>317</v>
      </c>
      <c r="V10" s="15" t="s">
        <v>330</v>
      </c>
      <c r="Z10" s="15" t="s">
        <v>362</v>
      </c>
      <c r="AA10" s="15" t="s">
        <v>382</v>
      </c>
      <c r="AB10" s="15" t="s">
        <v>393</v>
      </c>
    </row>
    <row r="11" spans="1:30" x14ac:dyDescent="0.2">
      <c r="A11" s="22" t="s">
        <v>1287</v>
      </c>
      <c r="B11" s="19" t="s">
        <v>1278</v>
      </c>
      <c r="D11" s="47" t="s">
        <v>269</v>
      </c>
      <c r="F11" s="15" t="s">
        <v>857</v>
      </c>
      <c r="I11" s="15" t="s">
        <v>118</v>
      </c>
      <c r="J11" s="15" t="s">
        <v>53</v>
      </c>
      <c r="K11" s="16" t="s">
        <v>98</v>
      </c>
      <c r="L11" s="15" t="s">
        <v>154</v>
      </c>
      <c r="M11" s="15" t="s">
        <v>175</v>
      </c>
      <c r="N11" s="15" t="s">
        <v>521</v>
      </c>
      <c r="O11" s="15" t="s">
        <v>190</v>
      </c>
      <c r="P11" s="15" t="s">
        <v>197</v>
      </c>
      <c r="Q11" s="15" t="s">
        <v>215</v>
      </c>
      <c r="S11" s="15" t="s">
        <v>301</v>
      </c>
      <c r="U11" s="15" t="s">
        <v>318</v>
      </c>
      <c r="V11" s="15" t="s">
        <v>331</v>
      </c>
      <c r="Z11" s="15" t="s">
        <v>363</v>
      </c>
      <c r="AA11" s="15" t="s">
        <v>383</v>
      </c>
      <c r="AB11" s="15" t="s">
        <v>394</v>
      </c>
    </row>
    <row r="12" spans="1:30" x14ac:dyDescent="0.2">
      <c r="A12" s="22" t="s">
        <v>1288</v>
      </c>
      <c r="B12" s="19" t="s">
        <v>1278</v>
      </c>
      <c r="D12" s="47"/>
      <c r="E12" s="47" t="s">
        <v>268</v>
      </c>
      <c r="I12" s="15" t="s">
        <v>119</v>
      </c>
      <c r="J12" s="15" t="s">
        <v>41</v>
      </c>
      <c r="K12" s="15" t="s">
        <v>343</v>
      </c>
      <c r="L12" s="15" t="s">
        <v>155</v>
      </c>
      <c r="M12" s="15" t="s">
        <v>176</v>
      </c>
      <c r="N12" s="15" t="s">
        <v>522</v>
      </c>
      <c r="O12" s="15" t="s">
        <v>192</v>
      </c>
      <c r="P12" s="15" t="s">
        <v>62</v>
      </c>
      <c r="Q12" s="15" t="s">
        <v>216</v>
      </c>
      <c r="S12" s="15" t="s">
        <v>302</v>
      </c>
      <c r="U12" s="15" t="s">
        <v>319</v>
      </c>
      <c r="V12" s="15" t="s">
        <v>332</v>
      </c>
      <c r="Z12" s="15" t="s">
        <v>364</v>
      </c>
      <c r="AA12" s="15" t="s">
        <v>62</v>
      </c>
      <c r="AB12" s="15" t="s">
        <v>395</v>
      </c>
    </row>
    <row r="13" spans="1:30" x14ac:dyDescent="0.2">
      <c r="A13" s="22" t="s">
        <v>1289</v>
      </c>
      <c r="B13" s="19" t="s">
        <v>1278</v>
      </c>
      <c r="D13" s="47" t="s">
        <v>241</v>
      </c>
      <c r="E13" s="47"/>
      <c r="F13" s="15" t="s">
        <v>858</v>
      </c>
      <c r="I13" s="15" t="s">
        <v>120</v>
      </c>
      <c r="J13" s="15" t="s">
        <v>60</v>
      </c>
      <c r="K13" s="15" t="s">
        <v>346</v>
      </c>
      <c r="L13" s="15" t="s">
        <v>162</v>
      </c>
      <c r="M13" s="15" t="s">
        <v>178</v>
      </c>
      <c r="N13" s="15" t="s">
        <v>523</v>
      </c>
      <c r="O13" s="15" t="s">
        <v>193</v>
      </c>
      <c r="Q13" s="15" t="s">
        <v>217</v>
      </c>
      <c r="S13" s="15" t="s">
        <v>62</v>
      </c>
      <c r="U13" s="15" t="s">
        <v>320</v>
      </c>
      <c r="V13" s="15" t="s">
        <v>333</v>
      </c>
      <c r="Z13" s="15" t="s">
        <v>365</v>
      </c>
      <c r="AB13" s="15" t="s">
        <v>396</v>
      </c>
    </row>
    <row r="14" spans="1:30" x14ac:dyDescent="0.2">
      <c r="A14" s="22" t="s">
        <v>1290</v>
      </c>
      <c r="B14" s="19" t="s">
        <v>1278</v>
      </c>
      <c r="D14" s="47" t="s">
        <v>239</v>
      </c>
      <c r="E14" s="47" t="s">
        <v>253</v>
      </c>
      <c r="F14" s="15" t="s">
        <v>859</v>
      </c>
      <c r="J14" s="15" t="s">
        <v>69</v>
      </c>
      <c r="K14" s="16" t="s">
        <v>100</v>
      </c>
      <c r="L14" s="15" t="s">
        <v>163</v>
      </c>
      <c r="M14" s="15" t="s">
        <v>179</v>
      </c>
      <c r="N14" s="15" t="s">
        <v>524</v>
      </c>
      <c r="Q14" s="15" t="s">
        <v>218</v>
      </c>
      <c r="U14" s="15" t="s">
        <v>62</v>
      </c>
      <c r="V14" s="15" t="s">
        <v>334</v>
      </c>
      <c r="Z14" s="15" t="s">
        <v>366</v>
      </c>
      <c r="AB14" s="15" t="s">
        <v>397</v>
      </c>
    </row>
    <row r="15" spans="1:30" x14ac:dyDescent="0.2">
      <c r="A15" s="22"/>
      <c r="B15" s="19" t="s">
        <v>1278</v>
      </c>
      <c r="D15" s="47" t="s">
        <v>240</v>
      </c>
      <c r="E15" s="47" t="s">
        <v>252</v>
      </c>
      <c r="F15" s="15" t="s">
        <v>860</v>
      </c>
      <c r="J15" s="15" t="s">
        <v>57</v>
      </c>
      <c r="K15" s="17" t="s">
        <v>99</v>
      </c>
      <c r="L15" s="15" t="s">
        <v>62</v>
      </c>
      <c r="M15" s="15" t="s">
        <v>180</v>
      </c>
      <c r="N15" s="15" t="s">
        <v>525</v>
      </c>
      <c r="O15" s="15" t="s">
        <v>194</v>
      </c>
      <c r="Q15" s="15" t="s">
        <v>214</v>
      </c>
      <c r="V15" s="15" t="s">
        <v>335</v>
      </c>
      <c r="Z15" s="15" t="s">
        <v>367</v>
      </c>
      <c r="AB15" s="15" t="s">
        <v>398</v>
      </c>
    </row>
    <row r="16" spans="1:30" x14ac:dyDescent="0.2">
      <c r="A16" s="22"/>
      <c r="B16" s="394" t="s">
        <v>1291</v>
      </c>
      <c r="D16" s="47" t="s">
        <v>255</v>
      </c>
      <c r="E16" s="47" t="s">
        <v>251</v>
      </c>
      <c r="F16" s="15" t="s">
        <v>861</v>
      </c>
      <c r="J16" s="15" t="s">
        <v>67</v>
      </c>
      <c r="K16" s="15" t="s">
        <v>1385</v>
      </c>
      <c r="M16" s="15" t="s">
        <v>165</v>
      </c>
      <c r="N16" s="15" t="s">
        <v>526</v>
      </c>
      <c r="O16" s="15" t="s">
        <v>72</v>
      </c>
      <c r="Q16" s="15" t="s">
        <v>219</v>
      </c>
      <c r="Z16" s="15" t="s">
        <v>368</v>
      </c>
      <c r="AB16" s="15" t="s">
        <v>399</v>
      </c>
    </row>
    <row r="17" spans="1:26" x14ac:dyDescent="0.2">
      <c r="A17" s="22"/>
      <c r="B17" s="394" t="s">
        <v>1291</v>
      </c>
      <c r="E17" s="47" t="s">
        <v>249</v>
      </c>
      <c r="F17" s="15" t="s">
        <v>871</v>
      </c>
      <c r="J17" s="15" t="s">
        <v>45</v>
      </c>
      <c r="K17" s="16" t="s">
        <v>29</v>
      </c>
      <c r="M17" s="15" t="s">
        <v>166</v>
      </c>
      <c r="N17" s="15" t="s">
        <v>527</v>
      </c>
      <c r="O17" s="15" t="s">
        <v>62</v>
      </c>
      <c r="Q17" s="15" t="s">
        <v>220</v>
      </c>
      <c r="V17" s="15" t="s">
        <v>336</v>
      </c>
      <c r="Z17" s="15" t="s">
        <v>369</v>
      </c>
    </row>
    <row r="18" spans="1:26" x14ac:dyDescent="0.2">
      <c r="A18" s="22"/>
      <c r="B18" s="394" t="s">
        <v>1291</v>
      </c>
      <c r="J18" s="15" t="s">
        <v>55</v>
      </c>
      <c r="K18" s="16" t="s">
        <v>39</v>
      </c>
      <c r="M18" s="15" t="s">
        <v>167</v>
      </c>
      <c r="N18" s="15" t="s">
        <v>528</v>
      </c>
      <c r="Q18" s="15" t="s">
        <v>62</v>
      </c>
      <c r="V18" s="15" t="s">
        <v>337</v>
      </c>
    </row>
    <row r="19" spans="1:26" x14ac:dyDescent="0.2">
      <c r="A19" s="22"/>
      <c r="B19" s="394" t="s">
        <v>1291</v>
      </c>
      <c r="J19" s="15" t="s">
        <v>58</v>
      </c>
      <c r="K19" s="15" t="s">
        <v>402</v>
      </c>
      <c r="M19" s="15" t="s">
        <v>168</v>
      </c>
      <c r="N19" s="15" t="s">
        <v>529</v>
      </c>
      <c r="V19" s="15" t="s">
        <v>338</v>
      </c>
      <c r="Z19" s="15" t="s">
        <v>370</v>
      </c>
    </row>
    <row r="20" spans="1:26" x14ac:dyDescent="0.2">
      <c r="A20" s="22"/>
      <c r="B20" s="394" t="s">
        <v>1291</v>
      </c>
      <c r="G20" s="15" t="s">
        <v>886</v>
      </c>
      <c r="J20" s="15" t="s">
        <v>66</v>
      </c>
      <c r="M20" s="15" t="s">
        <v>181</v>
      </c>
      <c r="N20" s="15" t="s">
        <v>530</v>
      </c>
      <c r="V20" s="15" t="s">
        <v>339</v>
      </c>
      <c r="Z20" s="15" t="s">
        <v>371</v>
      </c>
    </row>
    <row r="21" spans="1:26" x14ac:dyDescent="0.2">
      <c r="A21" s="22"/>
      <c r="B21" s="394" t="s">
        <v>1291</v>
      </c>
      <c r="E21" s="15" t="s">
        <v>278</v>
      </c>
      <c r="G21" s="15" t="s">
        <v>241</v>
      </c>
      <c r="J21" s="15" t="s">
        <v>95</v>
      </c>
      <c r="M21" s="15" t="s">
        <v>62</v>
      </c>
      <c r="N21" s="15" t="s">
        <v>531</v>
      </c>
      <c r="V21" s="15" t="s">
        <v>62</v>
      </c>
      <c r="Z21" s="15" t="s">
        <v>372</v>
      </c>
    </row>
    <row r="22" spans="1:26" x14ac:dyDescent="0.2">
      <c r="A22" s="22" t="s">
        <v>1292</v>
      </c>
      <c r="B22" s="333" t="s">
        <v>270</v>
      </c>
      <c r="E22" s="15" t="s">
        <v>275</v>
      </c>
      <c r="G22" s="15" t="s">
        <v>239</v>
      </c>
    </row>
    <row r="23" spans="1:26" ht="14.25" x14ac:dyDescent="0.2">
      <c r="A23" s="22" t="s">
        <v>1293</v>
      </c>
      <c r="B23" s="333" t="s">
        <v>270</v>
      </c>
      <c r="E23" s="455">
        <v>0.2</v>
      </c>
      <c r="G23" s="387" t="s">
        <v>887</v>
      </c>
      <c r="I23" s="491" t="s">
        <v>1335</v>
      </c>
      <c r="J23" s="15" t="s">
        <v>59</v>
      </c>
      <c r="N23" s="15" t="s">
        <v>532</v>
      </c>
      <c r="Z23" s="15" t="s">
        <v>373</v>
      </c>
    </row>
    <row r="24" spans="1:26" x14ac:dyDescent="0.2">
      <c r="A24" s="22" t="s">
        <v>1294</v>
      </c>
      <c r="B24" s="333" t="s">
        <v>270</v>
      </c>
      <c r="E24" s="455">
        <v>0.5</v>
      </c>
      <c r="I24" s="516">
        <v>43831</v>
      </c>
      <c r="J24" s="15" t="s">
        <v>76</v>
      </c>
      <c r="N24" s="15" t="s">
        <v>533</v>
      </c>
      <c r="Z24" s="15" t="s">
        <v>62</v>
      </c>
    </row>
    <row r="25" spans="1:26" x14ac:dyDescent="0.2">
      <c r="A25" s="22"/>
      <c r="B25" s="468"/>
      <c r="E25" s="455">
        <v>0.8</v>
      </c>
      <c r="I25" s="516">
        <v>43862</v>
      </c>
      <c r="J25" s="15" t="s">
        <v>96</v>
      </c>
      <c r="N25" s="15" t="s">
        <v>534</v>
      </c>
    </row>
    <row r="26" spans="1:26" x14ac:dyDescent="0.2">
      <c r="A26" s="22"/>
      <c r="B26" s="468"/>
      <c r="E26" s="15" t="s">
        <v>277</v>
      </c>
      <c r="I26" s="516">
        <v>43891</v>
      </c>
      <c r="J26" s="15" t="s">
        <v>34</v>
      </c>
      <c r="N26" s="15" t="s">
        <v>62</v>
      </c>
    </row>
    <row r="27" spans="1:26" x14ac:dyDescent="0.2">
      <c r="A27" s="22"/>
      <c r="B27" s="468"/>
      <c r="I27" s="516">
        <v>43922</v>
      </c>
    </row>
    <row r="28" spans="1:26" x14ac:dyDescent="0.2">
      <c r="A28" s="22"/>
      <c r="B28" s="468"/>
      <c r="I28" s="516">
        <v>43952</v>
      </c>
    </row>
    <row r="29" spans="1:26" x14ac:dyDescent="0.2">
      <c r="A29" s="22"/>
      <c r="B29" s="468"/>
      <c r="G29" s="15" t="s">
        <v>270</v>
      </c>
      <c r="I29" s="516">
        <v>43983</v>
      </c>
    </row>
    <row r="30" spans="1:26" x14ac:dyDescent="0.2">
      <c r="A30" s="334"/>
      <c r="B30" s="322"/>
      <c r="G30" s="73" t="s">
        <v>433</v>
      </c>
      <c r="I30" s="516">
        <v>44013</v>
      </c>
    </row>
    <row r="31" spans="1:26" x14ac:dyDescent="0.2">
      <c r="A31" s="334"/>
      <c r="B31" s="322"/>
      <c r="E31" s="15" t="s">
        <v>432</v>
      </c>
      <c r="G31" s="73" t="s">
        <v>434</v>
      </c>
      <c r="I31" s="516">
        <v>44044</v>
      </c>
      <c r="K31" s="128"/>
    </row>
    <row r="32" spans="1:26" x14ac:dyDescent="0.2">
      <c r="A32" s="22"/>
      <c r="B32" s="322"/>
      <c r="E32" s="15" t="s">
        <v>907</v>
      </c>
      <c r="G32" s="15" t="s">
        <v>435</v>
      </c>
      <c r="I32" s="516">
        <v>44075</v>
      </c>
    </row>
    <row r="33" spans="1:9" x14ac:dyDescent="0.2">
      <c r="A33" s="22"/>
      <c r="B33" s="322"/>
      <c r="E33" s="73" t="s">
        <v>403</v>
      </c>
      <c r="G33" s="15" t="s">
        <v>436</v>
      </c>
      <c r="I33" s="516">
        <v>44105</v>
      </c>
    </row>
    <row r="34" spans="1:9" x14ac:dyDescent="0.2">
      <c r="A34" s="22"/>
      <c r="B34" s="322"/>
      <c r="E34" s="73" t="s">
        <v>404</v>
      </c>
      <c r="G34" s="15" t="s">
        <v>437</v>
      </c>
      <c r="I34" s="516">
        <v>44136</v>
      </c>
    </row>
    <row r="35" spans="1:9" x14ac:dyDescent="0.2">
      <c r="A35" s="22"/>
      <c r="B35" s="322"/>
      <c r="E35" s="15" t="s">
        <v>405</v>
      </c>
      <c r="G35" s="15" t="s">
        <v>438</v>
      </c>
      <c r="I35" s="516">
        <v>44166</v>
      </c>
    </row>
    <row r="36" spans="1:9" x14ac:dyDescent="0.2">
      <c r="A36" s="22"/>
      <c r="B36" s="322"/>
      <c r="E36" s="15" t="s">
        <v>406</v>
      </c>
    </row>
    <row r="37" spans="1:9" x14ac:dyDescent="0.2">
      <c r="A37" s="22"/>
      <c r="B37" s="322"/>
      <c r="E37" s="15" t="s">
        <v>407</v>
      </c>
      <c r="G37" s="15" t="s">
        <v>439</v>
      </c>
    </row>
    <row r="38" spans="1:9" x14ac:dyDescent="0.2">
      <c r="A38" s="22"/>
      <c r="B38" s="322"/>
      <c r="E38" s="74" t="s">
        <v>408</v>
      </c>
      <c r="G38" s="15" t="s">
        <v>440</v>
      </c>
    </row>
    <row r="39" spans="1:9" x14ac:dyDescent="0.2">
      <c r="A39" s="22"/>
      <c r="B39" s="322"/>
      <c r="E39" s="75" t="s">
        <v>31</v>
      </c>
      <c r="G39" s="15" t="s">
        <v>441</v>
      </c>
    </row>
    <row r="40" spans="1:9" x14ac:dyDescent="0.2">
      <c r="A40" s="19" t="s">
        <v>1295</v>
      </c>
      <c r="B40" s="19" t="s">
        <v>1295</v>
      </c>
      <c r="E40" s="75" t="s">
        <v>409</v>
      </c>
    </row>
    <row r="41" spans="1:9" x14ac:dyDescent="0.2">
      <c r="A41" s="18" t="s">
        <v>1291</v>
      </c>
      <c r="B41" s="18" t="s">
        <v>1291</v>
      </c>
      <c r="E41" s="75" t="s">
        <v>410</v>
      </c>
      <c r="G41" s="15" t="s">
        <v>442</v>
      </c>
    </row>
    <row r="42" spans="1:9" x14ac:dyDescent="0.2">
      <c r="A42" s="333" t="s">
        <v>270</v>
      </c>
      <c r="B42" s="333" t="s">
        <v>270</v>
      </c>
      <c r="E42" s="75" t="s">
        <v>411</v>
      </c>
      <c r="G42" s="15" t="s">
        <v>443</v>
      </c>
    </row>
    <row r="43" spans="1:9" x14ac:dyDescent="0.2">
      <c r="E43" s="75" t="s">
        <v>412</v>
      </c>
      <c r="G43" s="15" t="s">
        <v>444</v>
      </c>
    </row>
    <row r="44" spans="1:9" x14ac:dyDescent="0.2">
      <c r="A44" s="469"/>
      <c r="B44" s="470"/>
      <c r="E44" s="75" t="s">
        <v>413</v>
      </c>
      <c r="G44" s="15" t="s">
        <v>445</v>
      </c>
    </row>
    <row r="45" spans="1:9" x14ac:dyDescent="0.2">
      <c r="E45" s="75" t="s">
        <v>414</v>
      </c>
      <c r="G45" s="15" t="s">
        <v>446</v>
      </c>
    </row>
    <row r="46" spans="1:9" x14ac:dyDescent="0.2">
      <c r="E46" s="75" t="s">
        <v>415</v>
      </c>
      <c r="G46" s="15" t="s">
        <v>447</v>
      </c>
    </row>
    <row r="47" spans="1:9" x14ac:dyDescent="0.2">
      <c r="E47" s="75" t="s">
        <v>416</v>
      </c>
      <c r="G47" s="15" t="s">
        <v>448</v>
      </c>
    </row>
    <row r="48" spans="1:9" x14ac:dyDescent="0.2">
      <c r="E48" s="75" t="s">
        <v>417</v>
      </c>
      <c r="G48" s="15" t="s">
        <v>449</v>
      </c>
    </row>
    <row r="49" spans="1:7" x14ac:dyDescent="0.2">
      <c r="E49" s="75" t="s">
        <v>418</v>
      </c>
      <c r="G49" s="15" t="s">
        <v>450</v>
      </c>
    </row>
    <row r="50" spans="1:7" x14ac:dyDescent="0.2">
      <c r="A50" s="22"/>
      <c r="B50" s="322"/>
      <c r="E50" s="75" t="s">
        <v>419</v>
      </c>
      <c r="G50" s="15" t="s">
        <v>451</v>
      </c>
    </row>
    <row r="51" spans="1:7" x14ac:dyDescent="0.2">
      <c r="A51" s="22"/>
      <c r="B51" s="322"/>
      <c r="E51" s="75" t="s">
        <v>420</v>
      </c>
      <c r="G51" s="15" t="s">
        <v>452</v>
      </c>
    </row>
    <row r="52" spans="1:7" x14ac:dyDescent="0.2">
      <c r="A52" s="22"/>
      <c r="B52" s="322"/>
      <c r="E52" s="75" t="s">
        <v>421</v>
      </c>
      <c r="G52" s="15" t="s">
        <v>453</v>
      </c>
    </row>
    <row r="53" spans="1:7" x14ac:dyDescent="0.2">
      <c r="A53" s="22"/>
      <c r="B53" s="322"/>
      <c r="E53" s="75" t="s">
        <v>422</v>
      </c>
      <c r="G53" s="15" t="s">
        <v>454</v>
      </c>
    </row>
    <row r="54" spans="1:7" x14ac:dyDescent="0.2">
      <c r="A54" s="22"/>
      <c r="B54" s="322"/>
      <c r="E54" s="75" t="s">
        <v>423</v>
      </c>
      <c r="G54" s="15" t="s">
        <v>455</v>
      </c>
    </row>
    <row r="55" spans="1:7" x14ac:dyDescent="0.2">
      <c r="A55" s="22"/>
      <c r="B55" s="322"/>
      <c r="E55" s="75" t="s">
        <v>424</v>
      </c>
    </row>
    <row r="56" spans="1:7" x14ac:dyDescent="0.2">
      <c r="A56" s="22"/>
      <c r="B56" s="322"/>
      <c r="E56" s="75" t="s">
        <v>425</v>
      </c>
      <c r="G56" s="15" t="s">
        <v>456</v>
      </c>
    </row>
    <row r="57" spans="1:7" x14ac:dyDescent="0.2">
      <c r="A57" s="22"/>
      <c r="B57" s="322"/>
      <c r="E57" s="75" t="s">
        <v>426</v>
      </c>
      <c r="G57" s="15" t="s">
        <v>32</v>
      </c>
    </row>
    <row r="58" spans="1:7" x14ac:dyDescent="0.2">
      <c r="A58" s="22"/>
      <c r="B58" s="322"/>
      <c r="E58" s="75" t="s">
        <v>427</v>
      </c>
      <c r="G58" s="15" t="s">
        <v>457</v>
      </c>
    </row>
    <row r="59" spans="1:7" x14ac:dyDescent="0.2">
      <c r="A59" s="22"/>
      <c r="B59" s="322"/>
      <c r="E59" s="75" t="s">
        <v>428</v>
      </c>
    </row>
    <row r="60" spans="1:7" x14ac:dyDescent="0.2">
      <c r="A60" s="22"/>
      <c r="B60" s="322"/>
      <c r="E60" s="75" t="s">
        <v>429</v>
      </c>
      <c r="G60" s="15" t="s">
        <v>458</v>
      </c>
    </row>
    <row r="61" spans="1:7" x14ac:dyDescent="0.2">
      <c r="A61" s="22"/>
      <c r="B61" s="322"/>
      <c r="E61" s="75" t="s">
        <v>430</v>
      </c>
      <c r="G61" s="15" t="s">
        <v>459</v>
      </c>
    </row>
    <row r="62" spans="1:7" x14ac:dyDescent="0.2">
      <c r="A62" s="22"/>
      <c r="B62" s="322"/>
      <c r="E62" s="75" t="s">
        <v>431</v>
      </c>
      <c r="G62" s="15" t="s">
        <v>460</v>
      </c>
    </row>
    <row r="63" spans="1:7" x14ac:dyDescent="0.2">
      <c r="A63" s="22"/>
      <c r="B63" s="322"/>
      <c r="G63" s="15" t="s">
        <v>461</v>
      </c>
    </row>
    <row r="64" spans="1:7" x14ac:dyDescent="0.2">
      <c r="A64" s="22"/>
      <c r="B64" s="322"/>
      <c r="G64" s="15" t="s">
        <v>462</v>
      </c>
    </row>
    <row r="65" spans="1:7" x14ac:dyDescent="0.2">
      <c r="A65" s="22"/>
      <c r="B65" s="322"/>
      <c r="G65" s="15" t="s">
        <v>463</v>
      </c>
    </row>
    <row r="66" spans="1:7" x14ac:dyDescent="0.2">
      <c r="G66" s="15" t="s">
        <v>464</v>
      </c>
    </row>
    <row r="67" spans="1:7" x14ac:dyDescent="0.2">
      <c r="G67" s="15" t="s">
        <v>465</v>
      </c>
    </row>
    <row r="68" spans="1:7" x14ac:dyDescent="0.2">
      <c r="G68" s="15" t="s">
        <v>466</v>
      </c>
    </row>
    <row r="69" spans="1:7" x14ac:dyDescent="0.2">
      <c r="G69" s="15" t="s">
        <v>467</v>
      </c>
    </row>
    <row r="70" spans="1:7" x14ac:dyDescent="0.2">
      <c r="G70" s="15" t="s">
        <v>468</v>
      </c>
    </row>
    <row r="71" spans="1:7" x14ac:dyDescent="0.2">
      <c r="G71" s="15" t="s">
        <v>469</v>
      </c>
    </row>
    <row r="72" spans="1:7" x14ac:dyDescent="0.2">
      <c r="G72" s="15" t="s">
        <v>470</v>
      </c>
    </row>
    <row r="73" spans="1:7" x14ac:dyDescent="0.2">
      <c r="G73" s="15" t="s">
        <v>471</v>
      </c>
    </row>
    <row r="74" spans="1:7" x14ac:dyDescent="0.2">
      <c r="G74" s="15" t="s">
        <v>472</v>
      </c>
    </row>
    <row r="76" spans="1:7" x14ac:dyDescent="0.2">
      <c r="G76" s="15" t="s">
        <v>473</v>
      </c>
    </row>
    <row r="77" spans="1:7" x14ac:dyDescent="0.2">
      <c r="G77" s="15" t="s">
        <v>474</v>
      </c>
    </row>
    <row r="78" spans="1:7" x14ac:dyDescent="0.2">
      <c r="G78" s="15" t="s">
        <v>475</v>
      </c>
    </row>
    <row r="79" spans="1:7" x14ac:dyDescent="0.2">
      <c r="G79" s="15" t="s">
        <v>476</v>
      </c>
    </row>
    <row r="81" spans="7:7" x14ac:dyDescent="0.2">
      <c r="G81" s="15" t="s">
        <v>477</v>
      </c>
    </row>
    <row r="82" spans="7:7" x14ac:dyDescent="0.2">
      <c r="G82" s="15" t="s">
        <v>478</v>
      </c>
    </row>
    <row r="83" spans="7:7" x14ac:dyDescent="0.2">
      <c r="G83" s="15" t="s">
        <v>479</v>
      </c>
    </row>
    <row r="84" spans="7:7" x14ac:dyDescent="0.2">
      <c r="G84" s="15" t="s">
        <v>480</v>
      </c>
    </row>
    <row r="85" spans="7:7" x14ac:dyDescent="0.2">
      <c r="G85" s="15" t="s">
        <v>481</v>
      </c>
    </row>
    <row r="86" spans="7:7" x14ac:dyDescent="0.2">
      <c r="G86" s="15" t="s">
        <v>482</v>
      </c>
    </row>
    <row r="87" spans="7:7" x14ac:dyDescent="0.2">
      <c r="G87" s="15" t="s">
        <v>483</v>
      </c>
    </row>
    <row r="88" spans="7:7" x14ac:dyDescent="0.2">
      <c r="G88" s="15" t="s">
        <v>484</v>
      </c>
    </row>
    <row r="89" spans="7:7" x14ac:dyDescent="0.2">
      <c r="G89" s="15" t="s">
        <v>485</v>
      </c>
    </row>
    <row r="90" spans="7:7" x14ac:dyDescent="0.2">
      <c r="G90" s="15" t="s">
        <v>486</v>
      </c>
    </row>
    <row r="91" spans="7:7" x14ac:dyDescent="0.2">
      <c r="G91" s="15" t="s">
        <v>487</v>
      </c>
    </row>
    <row r="92" spans="7:7" x14ac:dyDescent="0.2">
      <c r="G92" s="15" t="s">
        <v>488</v>
      </c>
    </row>
    <row r="93" spans="7:7" x14ac:dyDescent="0.2">
      <c r="G93" s="15" t="s">
        <v>489</v>
      </c>
    </row>
    <row r="94" spans="7:7" x14ac:dyDescent="0.2">
      <c r="G94" s="15" t="s">
        <v>490</v>
      </c>
    </row>
    <row r="95" spans="7:7" x14ac:dyDescent="0.2">
      <c r="G95" s="15" t="s">
        <v>491</v>
      </c>
    </row>
    <row r="97" spans="7:7" x14ac:dyDescent="0.2">
      <c r="G97" s="15" t="s">
        <v>492</v>
      </c>
    </row>
    <row r="98" spans="7:7" x14ac:dyDescent="0.2">
      <c r="G98" s="15" t="s">
        <v>493</v>
      </c>
    </row>
    <row r="99" spans="7:7" x14ac:dyDescent="0.2">
      <c r="G99" s="15" t="s">
        <v>494</v>
      </c>
    </row>
    <row r="100" spans="7:7" x14ac:dyDescent="0.2">
      <c r="G100" s="15" t="s">
        <v>495</v>
      </c>
    </row>
    <row r="101" spans="7:7" x14ac:dyDescent="0.2">
      <c r="G101" s="15" t="s">
        <v>496</v>
      </c>
    </row>
    <row r="102" spans="7:7" x14ac:dyDescent="0.2">
      <c r="G102" s="15" t="s">
        <v>497</v>
      </c>
    </row>
    <row r="103" spans="7:7" x14ac:dyDescent="0.2">
      <c r="G103" s="15" t="s">
        <v>498</v>
      </c>
    </row>
    <row r="104" spans="7:7" x14ac:dyDescent="0.2">
      <c r="G104" s="15" t="s">
        <v>499</v>
      </c>
    </row>
    <row r="105" spans="7:7" x14ac:dyDescent="0.2">
      <c r="G105" s="15" t="s">
        <v>500</v>
      </c>
    </row>
    <row r="106" spans="7:7" x14ac:dyDescent="0.2">
      <c r="G106" s="15" t="s">
        <v>501</v>
      </c>
    </row>
    <row r="107" spans="7:7" x14ac:dyDescent="0.2">
      <c r="G107" s="15" t="s">
        <v>502</v>
      </c>
    </row>
    <row r="108" spans="7:7" x14ac:dyDescent="0.2">
      <c r="G108" s="15" t="s">
        <v>503</v>
      </c>
    </row>
    <row r="110" spans="7:7" x14ac:dyDescent="0.2">
      <c r="G110" s="15" t="s">
        <v>504</v>
      </c>
    </row>
    <row r="111" spans="7:7" x14ac:dyDescent="0.2">
      <c r="G111" s="15" t="s">
        <v>505</v>
      </c>
    </row>
    <row r="112" spans="7:7" x14ac:dyDescent="0.2">
      <c r="G112" s="15" t="s">
        <v>506</v>
      </c>
    </row>
    <row r="114" spans="7:7" x14ac:dyDescent="0.2">
      <c r="G114" s="15" t="s">
        <v>507</v>
      </c>
    </row>
    <row r="116" spans="7:7" x14ac:dyDescent="0.2">
      <c r="G116" s="15" t="s">
        <v>508</v>
      </c>
    </row>
    <row r="117" spans="7:7" x14ac:dyDescent="0.2">
      <c r="G117" s="15" t="s">
        <v>509</v>
      </c>
    </row>
    <row r="118" spans="7:7" x14ac:dyDescent="0.2">
      <c r="G118" s="15" t="s">
        <v>510</v>
      </c>
    </row>
    <row r="120" spans="7:7" x14ac:dyDescent="0.2">
      <c r="G120" s="15" t="s">
        <v>511</v>
      </c>
    </row>
    <row r="304" spans="1:2" x14ac:dyDescent="0.2">
      <c r="A304" s="21" t="s">
        <v>82</v>
      </c>
      <c r="B304" s="15" t="s">
        <v>16</v>
      </c>
    </row>
    <row r="305" spans="1:2" x14ac:dyDescent="0.2">
      <c r="A305" s="22" t="s">
        <v>228</v>
      </c>
      <c r="B305" s="117" t="s">
        <v>575</v>
      </c>
    </row>
    <row r="306" spans="1:2" x14ac:dyDescent="0.2">
      <c r="A306" s="22" t="s">
        <v>142</v>
      </c>
      <c r="B306" s="117" t="s">
        <v>575</v>
      </c>
    </row>
    <row r="307" spans="1:2" x14ac:dyDescent="0.2">
      <c r="A307" s="22" t="s">
        <v>139</v>
      </c>
      <c r="B307" s="117" t="s">
        <v>575</v>
      </c>
    </row>
    <row r="308" spans="1:2" x14ac:dyDescent="0.2">
      <c r="A308" s="22" t="s">
        <v>237</v>
      </c>
      <c r="B308" s="117" t="s">
        <v>575</v>
      </c>
    </row>
    <row r="309" spans="1:2" x14ac:dyDescent="0.2">
      <c r="A309" s="22" t="s">
        <v>231</v>
      </c>
      <c r="B309" s="117" t="s">
        <v>575</v>
      </c>
    </row>
    <row r="310" spans="1:2" x14ac:dyDescent="0.2">
      <c r="A310" s="22" t="s">
        <v>232</v>
      </c>
      <c r="B310" s="117" t="s">
        <v>575</v>
      </c>
    </row>
    <row r="311" spans="1:2" x14ac:dyDescent="0.2">
      <c r="A311" s="22" t="s">
        <v>233</v>
      </c>
      <c r="B311" s="117" t="s">
        <v>575</v>
      </c>
    </row>
    <row r="312" spans="1:2" x14ac:dyDescent="0.2">
      <c r="A312" s="22" t="s">
        <v>136</v>
      </c>
      <c r="B312" s="117" t="s">
        <v>575</v>
      </c>
    </row>
    <row r="313" spans="1:2" x14ac:dyDescent="0.2">
      <c r="A313" s="22" t="s">
        <v>138</v>
      </c>
      <c r="B313" s="117" t="s">
        <v>575</v>
      </c>
    </row>
    <row r="314" spans="1:2" x14ac:dyDescent="0.2">
      <c r="A314" s="22" t="s">
        <v>141</v>
      </c>
      <c r="B314" s="117" t="s">
        <v>575</v>
      </c>
    </row>
    <row r="315" spans="1:2" x14ac:dyDescent="0.2">
      <c r="A315" s="22" t="s">
        <v>540</v>
      </c>
      <c r="B315" s="117" t="s">
        <v>575</v>
      </c>
    </row>
    <row r="316" spans="1:2" x14ac:dyDescent="0.2">
      <c r="A316" s="22" t="s">
        <v>577</v>
      </c>
      <c r="B316" s="117" t="s">
        <v>575</v>
      </c>
    </row>
    <row r="317" spans="1:2" x14ac:dyDescent="0.2">
      <c r="A317" s="22" t="s">
        <v>147</v>
      </c>
      <c r="B317" s="20" t="s">
        <v>151</v>
      </c>
    </row>
    <row r="318" spans="1:2" x14ac:dyDescent="0.2">
      <c r="A318" s="22" t="s">
        <v>149</v>
      </c>
      <c r="B318" s="20" t="s">
        <v>151</v>
      </c>
    </row>
    <row r="319" spans="1:2" x14ac:dyDescent="0.2">
      <c r="A319" s="22" t="s">
        <v>148</v>
      </c>
      <c r="B319" s="20" t="s">
        <v>151</v>
      </c>
    </row>
    <row r="320" spans="1:2" x14ac:dyDescent="0.2">
      <c r="A320" s="22" t="s">
        <v>579</v>
      </c>
      <c r="B320" s="18" t="s">
        <v>46</v>
      </c>
    </row>
    <row r="321" spans="1:2" x14ac:dyDescent="0.2">
      <c r="A321" s="22" t="s">
        <v>143</v>
      </c>
      <c r="B321" s="18" t="s">
        <v>46</v>
      </c>
    </row>
    <row r="322" spans="1:2" x14ac:dyDescent="0.2">
      <c r="A322" s="22" t="s">
        <v>145</v>
      </c>
      <c r="B322" s="18" t="s">
        <v>46</v>
      </c>
    </row>
    <row r="323" spans="1:2" x14ac:dyDescent="0.2">
      <c r="A323" s="22" t="s">
        <v>144</v>
      </c>
      <c r="B323" s="18" t="s">
        <v>46</v>
      </c>
    </row>
    <row r="324" spans="1:2" x14ac:dyDescent="0.2">
      <c r="A324" s="22" t="s">
        <v>146</v>
      </c>
      <c r="B324" s="18" t="s">
        <v>46</v>
      </c>
    </row>
    <row r="325" spans="1:2" x14ac:dyDescent="0.2">
      <c r="A325" s="22" t="s">
        <v>238</v>
      </c>
      <c r="B325" s="19" t="s">
        <v>574</v>
      </c>
    </row>
    <row r="326" spans="1:2" x14ac:dyDescent="0.2">
      <c r="A326" s="22" t="s">
        <v>137</v>
      </c>
      <c r="B326" s="19" t="s">
        <v>574</v>
      </c>
    </row>
    <row r="327" spans="1:2" x14ac:dyDescent="0.2">
      <c r="A327" s="22" t="s">
        <v>234</v>
      </c>
      <c r="B327" s="19" t="s">
        <v>574</v>
      </c>
    </row>
    <row r="328" spans="1:2" x14ac:dyDescent="0.2">
      <c r="A328" s="22" t="s">
        <v>580</v>
      </c>
      <c r="B328" s="19" t="s">
        <v>574</v>
      </c>
    </row>
    <row r="329" spans="1:2" x14ac:dyDescent="0.2">
      <c r="A329" s="22" t="s">
        <v>230</v>
      </c>
      <c r="B329" s="19" t="s">
        <v>574</v>
      </c>
    </row>
    <row r="330" spans="1:2" x14ac:dyDescent="0.2">
      <c r="A330" s="22" t="s">
        <v>229</v>
      </c>
      <c r="B330" s="19" t="s">
        <v>574</v>
      </c>
    </row>
    <row r="331" spans="1:2" x14ac:dyDescent="0.2">
      <c r="A331" s="22" t="s">
        <v>140</v>
      </c>
      <c r="B331" s="19" t="s">
        <v>574</v>
      </c>
    </row>
    <row r="332" spans="1:2" x14ac:dyDescent="0.2">
      <c r="A332" s="22" t="s">
        <v>576</v>
      </c>
      <c r="B332" s="19" t="s">
        <v>574</v>
      </c>
    </row>
    <row r="333" spans="1:2" x14ac:dyDescent="0.2">
      <c r="A333" s="22" t="s">
        <v>578</v>
      </c>
      <c r="B333" s="19" t="s">
        <v>574</v>
      </c>
    </row>
    <row r="334" spans="1:2" x14ac:dyDescent="0.2">
      <c r="A334" s="22" t="s">
        <v>235</v>
      </c>
      <c r="B334" s="19" t="s">
        <v>574</v>
      </c>
    </row>
    <row r="335" spans="1:2" x14ac:dyDescent="0.2">
      <c r="A335" s="22" t="s">
        <v>236</v>
      </c>
      <c r="B335" s="19" t="s">
        <v>574</v>
      </c>
    </row>
    <row r="336" spans="1:2" x14ac:dyDescent="0.2">
      <c r="A336" s="22" t="s">
        <v>227</v>
      </c>
      <c r="B336" s="19" t="s">
        <v>574</v>
      </c>
    </row>
    <row r="337" spans="1:2" x14ac:dyDescent="0.2">
      <c r="A337" s="22" t="s">
        <v>135</v>
      </c>
      <c r="B337" s="19" t="s">
        <v>574</v>
      </c>
    </row>
    <row r="338" spans="1:2" x14ac:dyDescent="0.2">
      <c r="A338" s="22" t="s">
        <v>134</v>
      </c>
      <c r="B338" s="19" t="s">
        <v>574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Q46"/>
  <sheetViews>
    <sheetView zoomScale="80" zoomScaleNormal="80" workbookViewId="0">
      <pane xSplit="1" topLeftCell="B1" activePane="topRight" state="frozen"/>
      <selection pane="topRight" activeCell="E22" sqref="E2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635"/>
      <c r="C1" s="635"/>
      <c r="D1" s="635"/>
      <c r="E1" s="635"/>
      <c r="F1" s="635"/>
      <c r="G1" s="635"/>
      <c r="H1" s="635"/>
      <c r="I1" s="635"/>
      <c r="J1" s="635"/>
      <c r="K1" s="635"/>
      <c r="L1" s="635"/>
      <c r="M1" s="635"/>
      <c r="N1" s="635"/>
      <c r="O1" s="635"/>
      <c r="P1" s="635"/>
    </row>
    <row r="2" spans="1:17" ht="25.5" x14ac:dyDescent="0.25">
      <c r="A2" s="416"/>
      <c r="B2" s="416" t="s">
        <v>131</v>
      </c>
      <c r="C2" s="416" t="s">
        <v>16</v>
      </c>
      <c r="D2" s="417" t="s">
        <v>132</v>
      </c>
      <c r="E2" s="418" t="s">
        <v>121</v>
      </c>
      <c r="F2" s="417" t="s">
        <v>122</v>
      </c>
      <c r="G2" s="417" t="s">
        <v>123</v>
      </c>
      <c r="H2" s="417" t="s">
        <v>124</v>
      </c>
      <c r="I2" s="417" t="s">
        <v>125</v>
      </c>
      <c r="J2" s="417" t="s">
        <v>126</v>
      </c>
      <c r="K2" s="417" t="s">
        <v>127</v>
      </c>
      <c r="L2" s="417" t="s">
        <v>128</v>
      </c>
      <c r="M2" s="417" t="s">
        <v>129</v>
      </c>
      <c r="N2" s="417" t="s">
        <v>133</v>
      </c>
      <c r="O2" s="417" t="s">
        <v>130</v>
      </c>
    </row>
    <row r="3" spans="1:17" ht="20.25" customHeight="1" x14ac:dyDescent="0.25">
      <c r="A3" s="417">
        <v>1</v>
      </c>
      <c r="B3" s="419" t="str">
        <f>IF('Listes déroulantes'!A2="","",'Listes déroulantes'!A2)</f>
        <v>Secteur Estérel - St Raphaël</v>
      </c>
      <c r="C3" s="417" t="str">
        <f>VLOOKUP(B3,'Listes déroulantes'!$A$2:$B$44,2,FALSE)</f>
        <v>UO Relation client</v>
      </c>
      <c r="D3" s="427"/>
      <c r="E3" s="440"/>
      <c r="F3" s="440"/>
      <c r="G3" s="440"/>
      <c r="H3" s="440"/>
      <c r="I3" s="425"/>
      <c r="J3" s="425"/>
      <c r="K3" s="440"/>
      <c r="L3" s="440"/>
      <c r="M3" s="440"/>
      <c r="N3" s="440"/>
      <c r="O3" s="441"/>
      <c r="P3" s="425"/>
      <c r="Q3" s="14">
        <v>3</v>
      </c>
    </row>
    <row r="4" spans="1:17" ht="20.25" customHeight="1" x14ac:dyDescent="0.25">
      <c r="A4" s="417">
        <v>2</v>
      </c>
      <c r="B4" s="419" t="str">
        <f>IF('Listes déroulantes'!A3="","",'Listes déroulantes'!A3)</f>
        <v>Secteur Estérel - Les Arcs Draguignan</v>
      </c>
      <c r="C4" s="417" t="str">
        <f>VLOOKUP(B4,'Listes déroulantes'!$A$3:$B$44,2,FALSE)</f>
        <v>UO Relation client</v>
      </c>
      <c r="D4" s="427"/>
      <c r="E4" s="440"/>
      <c r="F4" s="440"/>
      <c r="G4" s="440"/>
      <c r="H4" s="440"/>
      <c r="I4" s="425"/>
      <c r="J4" s="425"/>
      <c r="K4" s="440"/>
      <c r="L4" s="440"/>
      <c r="M4" s="440"/>
      <c r="N4" s="440"/>
      <c r="O4" s="441"/>
      <c r="P4" s="425"/>
      <c r="Q4" s="14">
        <v>4</v>
      </c>
    </row>
    <row r="5" spans="1:17" ht="20.25" customHeight="1" x14ac:dyDescent="0.25">
      <c r="A5" s="417">
        <v>3</v>
      </c>
      <c r="B5" s="419" t="str">
        <f>IF('Listes déroulantes'!A4="","",'Listes déroulantes'!A4)</f>
        <v xml:space="preserve">Secteur Riviera - EMRC Ouest </v>
      </c>
      <c r="C5" s="417" t="str">
        <f>VLOOKUP(B5,'Listes déroulantes'!$A$3:$B$44,2,FALSE)</f>
        <v>UO Relation client</v>
      </c>
      <c r="D5" s="427"/>
      <c r="E5" s="440"/>
      <c r="F5" s="440"/>
      <c r="G5" s="440"/>
      <c r="H5" s="440"/>
      <c r="I5" s="425"/>
      <c r="J5" s="425"/>
      <c r="K5" s="440"/>
      <c r="L5" s="440"/>
      <c r="M5" s="440"/>
      <c r="N5" s="440"/>
      <c r="O5" s="441"/>
      <c r="P5" s="425"/>
      <c r="Q5" s="14">
        <v>5</v>
      </c>
    </row>
    <row r="6" spans="1:17" ht="20.25" customHeight="1" x14ac:dyDescent="0.25">
      <c r="A6" s="417">
        <v>4</v>
      </c>
      <c r="B6" s="419" t="str">
        <f>IF('Listes déroulantes'!A5="","",'Listes déroulantes'!A5)</f>
        <v>Secteur Riviera - Nice Ville</v>
      </c>
      <c r="C6" s="417" t="str">
        <f>VLOOKUP(B6,'Listes déroulantes'!$A$3:$B$44,2,FALSE)</f>
        <v>UO Relation client</v>
      </c>
      <c r="D6" s="427"/>
      <c r="E6" s="440"/>
      <c r="F6" s="440"/>
      <c r="G6" s="440"/>
      <c r="H6" s="440"/>
      <c r="I6" s="425"/>
      <c r="J6" s="425"/>
      <c r="K6" s="440"/>
      <c r="L6" s="440"/>
      <c r="M6" s="440"/>
      <c r="N6" s="440"/>
      <c r="O6" s="441"/>
      <c r="P6" s="425"/>
      <c r="Q6" s="14">
        <v>6</v>
      </c>
    </row>
    <row r="7" spans="1:17" ht="20.25" customHeight="1" x14ac:dyDescent="0.25">
      <c r="A7" s="417">
        <v>5</v>
      </c>
      <c r="B7" s="419" t="str">
        <f>IF('Listes déroulantes'!A6="","",'Listes déroulantes'!A6)</f>
        <v>Secteur Riviera - Cannes</v>
      </c>
      <c r="C7" s="417" t="str">
        <f>VLOOKUP(B7,'Listes déroulantes'!$A$3:$B$44,2,FALSE)</f>
        <v>UO Relation client</v>
      </c>
      <c r="D7" s="427"/>
      <c r="E7" s="440"/>
      <c r="F7" s="440"/>
      <c r="G7" s="440"/>
      <c r="H7" s="440"/>
      <c r="I7" s="425"/>
      <c r="J7" s="425"/>
      <c r="K7" s="440"/>
      <c r="L7" s="440"/>
      <c r="M7" s="440"/>
      <c r="N7" s="440"/>
      <c r="O7" s="441"/>
      <c r="P7" s="425"/>
      <c r="Q7" s="14">
        <v>7</v>
      </c>
    </row>
    <row r="8" spans="1:17" ht="20.25" customHeight="1" x14ac:dyDescent="0.25">
      <c r="A8" s="417">
        <v>6</v>
      </c>
      <c r="B8" s="419" t="str">
        <f>IF('Listes déroulantes'!A7="","",'Listes déroulantes'!A7)</f>
        <v>Secteur Riviera - Juan les Pins</v>
      </c>
      <c r="C8" s="417" t="str">
        <f>VLOOKUP(B8,'Listes déroulantes'!$A$3:$B$44,2,FALSE)</f>
        <v>UO Relation client</v>
      </c>
      <c r="D8" s="427"/>
      <c r="E8" s="440"/>
      <c r="F8" s="440"/>
      <c r="G8" s="440"/>
      <c r="H8" s="440"/>
      <c r="I8" s="425"/>
      <c r="J8" s="425"/>
      <c r="K8" s="440"/>
      <c r="L8" s="440"/>
      <c r="M8" s="440"/>
      <c r="N8" s="440"/>
      <c r="O8" s="441"/>
      <c r="P8" s="425"/>
      <c r="Q8" s="14">
        <v>8</v>
      </c>
    </row>
    <row r="9" spans="1:17" ht="20.25" customHeight="1" x14ac:dyDescent="0.25">
      <c r="A9" s="417">
        <v>7</v>
      </c>
      <c r="B9" s="419" t="str">
        <f>IF('Listes déroulantes'!A8="","",'Listes déroulantes'!A8)</f>
        <v>Secteur Merveilles - EMRC Est</v>
      </c>
      <c r="C9" s="417" t="str">
        <f>VLOOKUP(B9,'Listes déroulantes'!$A$3:$B$44,2,FALSE)</f>
        <v>UO Relation client</v>
      </c>
      <c r="D9" s="427"/>
      <c r="E9" s="440"/>
      <c r="F9" s="440"/>
      <c r="G9" s="440"/>
      <c r="H9" s="440"/>
      <c r="I9" s="425"/>
      <c r="J9" s="425"/>
      <c r="K9" s="442"/>
      <c r="L9" s="442"/>
      <c r="M9" s="442"/>
      <c r="N9" s="440"/>
      <c r="O9" s="441"/>
      <c r="P9" s="425"/>
      <c r="Q9" s="14">
        <v>9</v>
      </c>
    </row>
    <row r="10" spans="1:17" ht="20.25" customHeight="1" x14ac:dyDescent="0.25">
      <c r="A10" s="417">
        <v>8</v>
      </c>
      <c r="B10" s="419" t="str">
        <f>IF('Listes déroulantes'!A9="","",'Listes déroulantes'!A9)</f>
        <v>Secteur Merveilles - Littoral</v>
      </c>
      <c r="C10" s="417" t="str">
        <f>VLOOKUP(B10,'Listes déroulantes'!$A$3:$B$44,2,FALSE)</f>
        <v>UO Relation client</v>
      </c>
      <c r="D10" s="427"/>
      <c r="E10" s="440"/>
      <c r="F10" s="440"/>
      <c r="G10" s="440"/>
      <c r="H10" s="440"/>
      <c r="I10" s="425"/>
      <c r="J10" s="425"/>
      <c r="K10" s="442"/>
      <c r="L10" s="442"/>
      <c r="M10" s="442"/>
      <c r="N10" s="442"/>
      <c r="O10" s="441"/>
      <c r="P10" s="425"/>
      <c r="Q10" s="14">
        <v>10</v>
      </c>
    </row>
    <row r="11" spans="1:17" ht="20.25" customHeight="1" x14ac:dyDescent="0.25">
      <c r="A11" s="417">
        <v>9</v>
      </c>
      <c r="B11" s="419" t="str">
        <f>IF('Listes déroulantes'!A10="","",'Listes déroulantes'!A10)</f>
        <v>Secteur Merveilles - Menton-Vintimille</v>
      </c>
      <c r="C11" s="417" t="str">
        <f>VLOOKUP(B11,'Listes déroulantes'!$A$3:$B$44,2,FALSE)</f>
        <v>UO Relation client</v>
      </c>
      <c r="D11" s="427"/>
      <c r="E11" s="440"/>
      <c r="F11" s="440"/>
      <c r="G11" s="440"/>
      <c r="H11" s="440"/>
      <c r="I11" s="425"/>
      <c r="J11" s="425"/>
      <c r="K11" s="440"/>
      <c r="L11" s="440"/>
      <c r="M11" s="440"/>
      <c r="N11" s="440"/>
      <c r="O11" s="441"/>
      <c r="P11" s="425"/>
      <c r="Q11" s="14">
        <v>11</v>
      </c>
    </row>
    <row r="12" spans="1:17" ht="20.25" customHeight="1" x14ac:dyDescent="0.25">
      <c r="A12" s="417">
        <v>10</v>
      </c>
      <c r="B12" s="419" t="str">
        <f>IF('Listes déroulantes'!A11="","",'Listes déroulantes'!A11)</f>
        <v>Secteur Côte d'Azur - RET</v>
      </c>
      <c r="C12" s="417" t="str">
        <f>VLOOKUP(B12,'Listes déroulantes'!$A$3:$B$44,2,FALSE)</f>
        <v>UO Relation client</v>
      </c>
      <c r="D12" s="427"/>
      <c r="E12" s="440"/>
      <c r="F12" s="440"/>
      <c r="G12" s="440"/>
      <c r="H12" s="440"/>
      <c r="I12" s="425"/>
      <c r="J12" s="425"/>
      <c r="K12" s="440"/>
      <c r="L12" s="440"/>
      <c r="M12" s="440"/>
      <c r="N12" s="440"/>
      <c r="O12" s="441"/>
      <c r="P12" s="425"/>
      <c r="Q12" s="14">
        <v>12</v>
      </c>
    </row>
    <row r="13" spans="1:17" ht="20.25" customHeight="1" x14ac:dyDescent="0.25">
      <c r="A13" s="417">
        <v>11</v>
      </c>
      <c r="B13" s="419" t="str">
        <f>IF('Listes déroulantes'!A12="","",'Listes déroulantes'!A12)</f>
        <v>Secteur Côte d'Azur - EMI</v>
      </c>
      <c r="C13" s="417" t="str">
        <f>VLOOKUP(B13,'Listes déroulantes'!$A$3:$B$44,2,FALSE)</f>
        <v>UO Relation client</v>
      </c>
      <c r="D13" s="427"/>
      <c r="E13" s="440"/>
      <c r="F13" s="442"/>
      <c r="G13" s="440"/>
      <c r="H13" s="440"/>
      <c r="I13" s="425"/>
      <c r="J13" s="425"/>
      <c r="K13" s="440"/>
      <c r="L13" s="440"/>
      <c r="M13" s="440"/>
      <c r="N13" s="440"/>
      <c r="O13" s="441"/>
      <c r="P13" s="425"/>
      <c r="Q13" s="14">
        <v>13</v>
      </c>
    </row>
    <row r="14" spans="1:17" ht="20.25" customHeight="1" x14ac:dyDescent="0.25">
      <c r="A14" s="417">
        <v>12</v>
      </c>
      <c r="B14" s="419" t="str">
        <f>IF('Listes déroulantes'!A13="","",'Listes déroulantes'!A13)</f>
        <v>Secteur Côte d'Azur - CBN</v>
      </c>
      <c r="C14" s="417" t="str">
        <f>VLOOKUP(B14,'Listes déroulantes'!$A$3:$B$44,2,FALSE)</f>
        <v>UO Relation client</v>
      </c>
      <c r="D14" s="427"/>
      <c r="E14" s="440"/>
      <c r="F14" s="442"/>
      <c r="G14" s="440"/>
      <c r="H14" s="440"/>
      <c r="I14" s="425"/>
      <c r="J14" s="425"/>
      <c r="K14" s="440"/>
      <c r="L14" s="440"/>
      <c r="M14" s="440"/>
      <c r="N14" s="440"/>
      <c r="O14" s="441"/>
      <c r="P14" s="425"/>
      <c r="Q14" s="14">
        <v>14</v>
      </c>
    </row>
    <row r="15" spans="1:17" ht="20.25" customHeight="1" x14ac:dyDescent="0.25">
      <c r="A15" s="417">
        <v>13</v>
      </c>
      <c r="B15" s="419" t="str">
        <f>IF('Listes déroulantes'!A14="","",'Listes déroulantes'!A14)</f>
        <v>Secteur Côte d'Azur - SOCA</v>
      </c>
      <c r="C15" s="417" t="str">
        <f>VLOOKUP(B15,'Listes déroulantes'!$A$3:$B$44,2,FALSE)</f>
        <v>UO Relation client</v>
      </c>
      <c r="D15" s="427"/>
      <c r="E15" s="440"/>
      <c r="F15" s="440"/>
      <c r="G15" s="442"/>
      <c r="H15" s="440"/>
      <c r="I15" s="425"/>
      <c r="J15" s="425"/>
      <c r="K15" s="440"/>
      <c r="L15" s="440"/>
      <c r="M15" s="440"/>
      <c r="N15" s="440"/>
      <c r="O15" s="441"/>
      <c r="P15" s="425"/>
      <c r="Q15" s="14">
        <v>15</v>
      </c>
    </row>
    <row r="16" spans="1:17" ht="20.25" customHeight="1" x14ac:dyDescent="0.25">
      <c r="A16" s="417">
        <v>14</v>
      </c>
      <c r="B16" s="419" t="str">
        <f>IF('Listes déroulantes'!A15="","",'Listes déroulantes'!A15)</f>
        <v/>
      </c>
      <c r="C16" s="417" t="e">
        <f>VLOOKUP(B16,'Listes déroulantes'!$A$3:$B$44,2,FALSE)</f>
        <v>#N/A</v>
      </c>
      <c r="D16" s="427"/>
      <c r="E16" s="440"/>
      <c r="F16" s="440"/>
      <c r="G16" s="440"/>
      <c r="H16" s="440"/>
      <c r="I16" s="425"/>
      <c r="J16" s="425"/>
      <c r="K16" s="442"/>
      <c r="L16" s="442"/>
      <c r="M16" s="442"/>
      <c r="N16" s="440"/>
      <c r="O16" s="441"/>
      <c r="P16" s="425"/>
      <c r="Q16" s="14">
        <v>16</v>
      </c>
    </row>
    <row r="17" spans="1:17" ht="20.25" customHeight="1" x14ac:dyDescent="0.25">
      <c r="A17" s="417">
        <v>15</v>
      </c>
      <c r="B17" s="419" t="str">
        <f>IF('Listes déroulantes'!A16="","",'Listes déroulantes'!A16)</f>
        <v/>
      </c>
      <c r="C17" s="417" t="e">
        <f>VLOOKUP(B17,'Listes déroulantes'!$A$3:$B$44,2,FALSE)</f>
        <v>#N/A</v>
      </c>
      <c r="D17" s="427"/>
      <c r="E17" s="440"/>
      <c r="F17" s="440"/>
      <c r="G17" s="440"/>
      <c r="H17" s="440"/>
      <c r="I17" s="425"/>
      <c r="J17" s="425"/>
      <c r="K17" s="442"/>
      <c r="L17" s="442"/>
      <c r="M17" s="442"/>
      <c r="N17" s="440"/>
      <c r="O17" s="441"/>
      <c r="P17" s="425"/>
      <c r="Q17" s="14">
        <v>17</v>
      </c>
    </row>
    <row r="18" spans="1:17" ht="20.25" customHeight="1" x14ac:dyDescent="0.25">
      <c r="A18" s="417">
        <v>16</v>
      </c>
      <c r="B18" s="419" t="str">
        <f>IF('Listes déroulantes'!A17="","",'Listes déroulantes'!A17)</f>
        <v/>
      </c>
      <c r="C18" s="417" t="e">
        <f>VLOOKUP(B18,'Listes déroulantes'!$A$3:$B$44,2,FALSE)</f>
        <v>#N/A</v>
      </c>
      <c r="D18" s="427"/>
      <c r="E18" s="440"/>
      <c r="F18" s="440"/>
      <c r="G18" s="440"/>
      <c r="H18" s="440"/>
      <c r="I18" s="425"/>
      <c r="J18" s="425"/>
      <c r="K18" s="442"/>
      <c r="L18" s="442"/>
      <c r="M18" s="442"/>
      <c r="N18" s="440"/>
      <c r="O18" s="441"/>
      <c r="P18" s="425"/>
      <c r="Q18" s="14">
        <v>18</v>
      </c>
    </row>
    <row r="19" spans="1:17" ht="20.25" customHeight="1" x14ac:dyDescent="0.25">
      <c r="A19" s="417">
        <v>17</v>
      </c>
      <c r="B19" s="419" t="str">
        <f>IF('Listes déroulantes'!A18="","",'Listes déroulantes'!A18)</f>
        <v/>
      </c>
      <c r="C19" s="417" t="e">
        <f>VLOOKUP(B19,'Listes déroulantes'!$A$3:$B$44,2,FALSE)</f>
        <v>#N/A</v>
      </c>
      <c r="D19" s="427"/>
      <c r="E19" s="440"/>
      <c r="F19" s="440"/>
      <c r="G19" s="440"/>
      <c r="H19" s="440"/>
      <c r="I19" s="425"/>
      <c r="J19" s="425"/>
      <c r="K19" s="440"/>
      <c r="L19" s="440"/>
      <c r="M19" s="440"/>
      <c r="N19" s="440"/>
      <c r="O19" s="441"/>
      <c r="P19" s="425"/>
      <c r="Q19" s="14">
        <v>19</v>
      </c>
    </row>
    <row r="20" spans="1:17" ht="20.25" customHeight="1" x14ac:dyDescent="0.25">
      <c r="A20" s="417">
        <v>18</v>
      </c>
      <c r="B20" s="419" t="str">
        <f>IF('Listes déroulantes'!A19="","",'Listes déroulantes'!A19)</f>
        <v/>
      </c>
      <c r="C20" s="417" t="e">
        <f>VLOOKUP(B20,'Listes déroulantes'!$A$3:$B$44,2,FALSE)</f>
        <v>#N/A</v>
      </c>
      <c r="D20" s="427"/>
      <c r="E20" s="440"/>
      <c r="F20" s="440"/>
      <c r="G20" s="440"/>
      <c r="H20" s="440"/>
      <c r="I20" s="425"/>
      <c r="J20" s="425"/>
      <c r="K20" s="440"/>
      <c r="L20" s="440"/>
      <c r="M20" s="440"/>
      <c r="N20" s="440"/>
      <c r="O20" s="441"/>
      <c r="P20" s="425"/>
      <c r="Q20" s="14">
        <v>20</v>
      </c>
    </row>
    <row r="21" spans="1:17" ht="20.25" customHeight="1" x14ac:dyDescent="0.25">
      <c r="A21" s="417">
        <v>19</v>
      </c>
      <c r="B21" s="419" t="str">
        <f>IF('Listes déroulantes'!A20="","",'Listes déroulantes'!A20)</f>
        <v/>
      </c>
      <c r="C21" s="417" t="e">
        <f>VLOOKUP(B21,'Listes déroulantes'!$A$3:$B$44,2,FALSE)</f>
        <v>#N/A</v>
      </c>
      <c r="D21" s="427"/>
      <c r="E21" s="440"/>
      <c r="F21" s="440"/>
      <c r="G21" s="440"/>
      <c r="H21" s="440"/>
      <c r="I21" s="425"/>
      <c r="J21" s="425"/>
      <c r="K21" s="440"/>
      <c r="L21" s="440"/>
      <c r="M21" s="440"/>
      <c r="N21" s="440"/>
      <c r="O21" s="441"/>
      <c r="P21" s="425"/>
      <c r="Q21" s="14">
        <v>21</v>
      </c>
    </row>
    <row r="22" spans="1:17" ht="20.25" customHeight="1" x14ac:dyDescent="0.25">
      <c r="A22" s="417">
        <v>20</v>
      </c>
      <c r="B22" s="419" t="str">
        <f>IF('Listes déroulantes'!A21="","",'Listes déroulantes'!A21)</f>
        <v/>
      </c>
      <c r="C22" s="417" t="e">
        <f>VLOOKUP(B22,'Listes déroulantes'!$A$3:$B$44,2,FALSE)</f>
        <v>#N/A</v>
      </c>
      <c r="D22" s="427"/>
      <c r="E22" s="440"/>
      <c r="F22" s="440"/>
      <c r="G22" s="440"/>
      <c r="H22" s="440"/>
      <c r="I22" s="425"/>
      <c r="J22" s="425"/>
      <c r="K22" s="440"/>
      <c r="L22" s="440"/>
      <c r="M22" s="440"/>
      <c r="N22" s="440"/>
      <c r="O22" s="441"/>
      <c r="P22" s="425"/>
      <c r="Q22" s="14">
        <v>22</v>
      </c>
    </row>
    <row r="23" spans="1:17" ht="20.25" customHeight="1" x14ac:dyDescent="0.25">
      <c r="A23" s="417">
        <v>21</v>
      </c>
      <c r="B23" s="419" t="str">
        <f>IF('Listes déroulantes'!A22="","",'Listes déroulantes'!A22)</f>
        <v>RH</v>
      </c>
      <c r="C23" s="417" t="str">
        <f>VLOOKUP(B23,'Listes déroulantes'!$A$3:$B$44,2,FALSE)</f>
        <v>Siège</v>
      </c>
      <c r="D23" s="427"/>
      <c r="E23" s="440"/>
      <c r="F23" s="440"/>
      <c r="G23" s="440"/>
      <c r="H23" s="440"/>
      <c r="I23" s="425"/>
      <c r="J23" s="425"/>
      <c r="K23" s="440"/>
      <c r="L23" s="440"/>
      <c r="M23" s="440"/>
      <c r="N23" s="440"/>
      <c r="O23" s="441"/>
      <c r="P23" s="425"/>
      <c r="Q23" s="14">
        <v>23</v>
      </c>
    </row>
    <row r="24" spans="1:17" ht="20.25" customHeight="1" x14ac:dyDescent="0.25">
      <c r="A24" s="417">
        <v>22</v>
      </c>
      <c r="B24" s="419" t="str">
        <f>IF('Listes déroulantes'!A23="","",'Listes déroulantes'!A23)</f>
        <v>RSC</v>
      </c>
      <c r="C24" s="417" t="str">
        <f>VLOOKUP(B24,'Listes déroulantes'!$A$3:$B$44,2,FALSE)</f>
        <v>Siège</v>
      </c>
      <c r="D24" s="427"/>
      <c r="E24" s="440"/>
      <c r="F24" s="440"/>
      <c r="G24" s="440"/>
      <c r="H24" s="440"/>
      <c r="I24" s="425"/>
      <c r="J24" s="425"/>
      <c r="K24" s="440"/>
      <c r="L24" s="440"/>
      <c r="M24" s="440"/>
      <c r="N24" s="440"/>
      <c r="O24" s="441"/>
      <c r="P24" s="425"/>
      <c r="Q24" s="14">
        <v>24</v>
      </c>
    </row>
    <row r="25" spans="1:17" ht="20.25" customHeight="1" x14ac:dyDescent="0.25">
      <c r="A25" s="417">
        <v>23</v>
      </c>
      <c r="B25" s="419" t="str">
        <f>IF('Listes déroulantes'!A24="","",'Listes déroulantes'!A24)</f>
        <v>DUO</v>
      </c>
      <c r="C25" s="417" t="str">
        <f>VLOOKUP(B25,'Listes déroulantes'!$A$3:$B$44,2,FALSE)</f>
        <v>Siège</v>
      </c>
      <c r="D25" s="427"/>
      <c r="E25" s="440"/>
      <c r="F25" s="440"/>
      <c r="G25" s="440"/>
      <c r="H25" s="440"/>
      <c r="I25" s="425"/>
      <c r="J25" s="425"/>
      <c r="K25" s="440"/>
      <c r="L25" s="440"/>
      <c r="M25" s="440"/>
      <c r="N25" s="440"/>
      <c r="O25" s="441"/>
      <c r="P25" s="425"/>
      <c r="Q25" s="14">
        <v>25</v>
      </c>
    </row>
    <row r="26" spans="1:17" ht="20.25" customHeight="1" x14ac:dyDescent="0.25">
      <c r="A26" s="417">
        <v>24</v>
      </c>
      <c r="B26" s="419" t="str">
        <f>IF('Listes déroulantes'!A25="","",'Listes déroulantes'!A25)</f>
        <v/>
      </c>
      <c r="C26" s="417" t="e">
        <f>VLOOKUP(B26,'Listes déroulantes'!$A$3:$B$44,2,FALSE)</f>
        <v>#N/A</v>
      </c>
      <c r="D26" s="427"/>
      <c r="E26" s="440"/>
      <c r="F26" s="440"/>
      <c r="G26" s="440"/>
      <c r="H26" s="440"/>
      <c r="I26" s="425"/>
      <c r="J26" s="425"/>
      <c r="K26" s="440"/>
      <c r="L26" s="440"/>
      <c r="M26" s="440"/>
      <c r="N26" s="440"/>
      <c r="O26" s="441"/>
      <c r="P26" s="425"/>
      <c r="Q26" s="14">
        <v>26</v>
      </c>
    </row>
    <row r="27" spans="1:17" ht="20.25" customHeight="1" x14ac:dyDescent="0.25">
      <c r="A27" s="417">
        <v>25</v>
      </c>
      <c r="B27" s="419" t="str">
        <f>IF('Listes déroulantes'!A26="","",'Listes déroulantes'!A26)</f>
        <v/>
      </c>
      <c r="C27" s="417" t="e">
        <f>VLOOKUP(B27,'Listes déroulantes'!$A$3:$B$44,2,FALSE)</f>
        <v>#N/A</v>
      </c>
      <c r="D27" s="427"/>
      <c r="E27" s="440"/>
      <c r="F27" s="440"/>
      <c r="G27" s="440"/>
      <c r="H27" s="440"/>
      <c r="I27" s="425"/>
      <c r="J27" s="425"/>
      <c r="K27" s="440"/>
      <c r="L27" s="440"/>
      <c r="M27" s="440"/>
      <c r="N27" s="440"/>
      <c r="O27" s="441"/>
      <c r="P27" s="425"/>
      <c r="Q27" s="14">
        <v>27</v>
      </c>
    </row>
    <row r="28" spans="1:17" ht="20.25" customHeight="1" x14ac:dyDescent="0.25">
      <c r="A28" s="417">
        <v>26</v>
      </c>
      <c r="B28" s="419"/>
      <c r="C28" s="417" t="e">
        <f>VLOOKUP(B28,'Listes déroulantes'!$A$3:$B$44,2,FALSE)</f>
        <v>#N/A</v>
      </c>
      <c r="D28" s="427"/>
      <c r="E28" s="440"/>
      <c r="F28" s="440"/>
      <c r="G28" s="440"/>
      <c r="H28" s="440"/>
      <c r="I28" s="425"/>
      <c r="J28" s="425"/>
      <c r="K28" s="440"/>
      <c r="L28" s="440"/>
      <c r="M28" s="440"/>
      <c r="N28" s="440"/>
      <c r="O28" s="441"/>
      <c r="P28" s="425"/>
      <c r="Q28" s="14">
        <v>28</v>
      </c>
    </row>
    <row r="29" spans="1:17" ht="20.25" customHeight="1" x14ac:dyDescent="0.25">
      <c r="A29" s="417">
        <v>27</v>
      </c>
      <c r="B29" s="419"/>
      <c r="C29" s="417" t="e">
        <f>VLOOKUP(B29,'Listes déroulantes'!$A$3:$B$44,2,FALSE)</f>
        <v>#N/A</v>
      </c>
      <c r="D29" s="427"/>
      <c r="E29" s="440"/>
      <c r="F29" s="440"/>
      <c r="G29" s="440"/>
      <c r="H29" s="440"/>
      <c r="I29" s="425"/>
      <c r="J29" s="425"/>
      <c r="K29" s="440"/>
      <c r="L29" s="440"/>
      <c r="M29" s="440"/>
      <c r="N29" s="440"/>
      <c r="O29" s="441"/>
      <c r="P29" s="425"/>
      <c r="Q29" s="14">
        <v>29</v>
      </c>
    </row>
    <row r="30" spans="1:17" ht="20.25" customHeight="1" x14ac:dyDescent="0.25">
      <c r="A30" s="417">
        <v>28</v>
      </c>
      <c r="B30" s="419"/>
      <c r="C30" s="417" t="e">
        <f>VLOOKUP(B30,'Listes déroulantes'!$A$3:$B$44,2,FALSE)</f>
        <v>#N/A</v>
      </c>
      <c r="D30" s="427"/>
      <c r="E30" s="440"/>
      <c r="F30" s="440"/>
      <c r="G30" s="440"/>
      <c r="H30" s="440"/>
      <c r="I30" s="425"/>
      <c r="J30" s="425"/>
      <c r="K30" s="440"/>
      <c r="L30" s="440"/>
      <c r="M30" s="440"/>
      <c r="N30" s="440"/>
      <c r="O30" s="441"/>
      <c r="P30" s="425"/>
      <c r="Q30" s="14">
        <v>30</v>
      </c>
    </row>
    <row r="31" spans="1:17" ht="20.25" customHeight="1" x14ac:dyDescent="0.25">
      <c r="A31" s="417">
        <v>29</v>
      </c>
      <c r="B31" s="420"/>
      <c r="C31" s="417" t="e">
        <f>VLOOKUP(B31,'Listes déroulantes'!$A$3:$B$44,2,FALSE)</f>
        <v>#N/A</v>
      </c>
      <c r="D31" s="427"/>
      <c r="E31" s="440"/>
      <c r="F31" s="440"/>
      <c r="G31" s="440"/>
      <c r="H31" s="440"/>
      <c r="I31" s="425"/>
      <c r="J31" s="425"/>
      <c r="K31" s="440"/>
      <c r="L31" s="440"/>
      <c r="M31" s="440"/>
      <c r="N31" s="440"/>
      <c r="O31" s="441"/>
      <c r="P31" s="425"/>
      <c r="Q31" s="14">
        <v>31</v>
      </c>
    </row>
    <row r="32" spans="1:17" ht="20.25" customHeight="1" x14ac:dyDescent="0.25">
      <c r="A32" s="439">
        <v>30</v>
      </c>
      <c r="B32" s="420"/>
      <c r="C32" s="417" t="e">
        <f>VLOOKUP(B32,'Listes déroulantes'!$A$3:$B$44,2,FALSE)</f>
        <v>#N/A</v>
      </c>
      <c r="D32" s="427"/>
      <c r="E32" s="440"/>
      <c r="F32" s="440"/>
      <c r="G32" s="440"/>
      <c r="H32" s="440"/>
      <c r="I32" s="425"/>
      <c r="J32" s="425"/>
      <c r="K32" s="440"/>
      <c r="L32" s="440"/>
      <c r="M32" s="440"/>
      <c r="N32" s="440"/>
      <c r="O32" s="441"/>
      <c r="P32" s="425"/>
      <c r="Q32" s="14">
        <v>32</v>
      </c>
    </row>
    <row r="33" spans="2:15" x14ac:dyDescent="0.25">
      <c r="B33" s="421"/>
      <c r="E33" s="422"/>
    </row>
    <row r="34" spans="2:15" ht="18" customHeight="1" x14ac:dyDescent="0.25"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</row>
    <row r="35" spans="2:15" ht="18" customHeight="1" x14ac:dyDescent="0.25">
      <c r="C35" s="487"/>
      <c r="D35" s="488"/>
      <c r="E35" s="488"/>
      <c r="F35" s="488"/>
      <c r="G35" s="488"/>
      <c r="H35" s="488"/>
      <c r="I35" s="488"/>
      <c r="J35" s="488"/>
      <c r="K35" s="488"/>
      <c r="L35" s="488"/>
      <c r="M35" s="488"/>
      <c r="N35" s="488"/>
      <c r="O35" s="488"/>
    </row>
    <row r="36" spans="2:15" ht="18" customHeight="1" x14ac:dyDescent="0.25">
      <c r="B36" s="417" t="s">
        <v>1278</v>
      </c>
      <c r="C36" s="637" t="s">
        <v>150</v>
      </c>
      <c r="D36" s="510" t="str">
        <f>IF(SUMIF($C$3:$C$33,$B36,D$3:D$33)=0,"",SUMIF($C$3:$C$33,$B36,D$3:D$33))</f>
        <v/>
      </c>
      <c r="E36" s="510" t="str">
        <f t="shared" ref="E36:O36" si="0">IF(SUMIF($C$3:$C$33,$B36,E$3:E$33)=0,"",SUMIF($C$3:$C$33,$B36,E$3:E$33))</f>
        <v/>
      </c>
      <c r="F36" s="510" t="str">
        <f t="shared" si="0"/>
        <v/>
      </c>
      <c r="G36" s="510" t="str">
        <f t="shared" si="0"/>
        <v/>
      </c>
      <c r="H36" s="510" t="str">
        <f t="shared" si="0"/>
        <v/>
      </c>
      <c r="I36" s="510" t="str">
        <f t="shared" si="0"/>
        <v/>
      </c>
      <c r="J36" s="510" t="str">
        <f t="shared" si="0"/>
        <v/>
      </c>
      <c r="K36" s="510" t="str">
        <f t="shared" si="0"/>
        <v/>
      </c>
      <c r="L36" s="510" t="str">
        <f t="shared" si="0"/>
        <v/>
      </c>
      <c r="M36" s="510" t="str">
        <f t="shared" si="0"/>
        <v/>
      </c>
      <c r="N36" s="510" t="str">
        <f t="shared" si="0"/>
        <v/>
      </c>
      <c r="O36" s="510" t="str">
        <f t="shared" si="0"/>
        <v/>
      </c>
    </row>
    <row r="37" spans="2:15" ht="18" customHeight="1" x14ac:dyDescent="0.25">
      <c r="B37" s="417" t="s">
        <v>270</v>
      </c>
      <c r="C37" s="638"/>
      <c r="D37" s="510" t="str">
        <f t="shared" ref="D37:O38" si="1">IF(SUMIF($C$3:$C$33,$B37,D$3:D$33)=0,"",SUMIF($C$3:$C$33,$B37,D$3:D$33))</f>
        <v/>
      </c>
      <c r="E37" s="510" t="str">
        <f t="shared" si="1"/>
        <v/>
      </c>
      <c r="F37" s="510" t="str">
        <f t="shared" si="1"/>
        <v/>
      </c>
      <c r="G37" s="510" t="str">
        <f t="shared" si="1"/>
        <v/>
      </c>
      <c r="H37" s="510" t="str">
        <f t="shared" si="1"/>
        <v/>
      </c>
      <c r="I37" s="510" t="str">
        <f t="shared" si="1"/>
        <v/>
      </c>
      <c r="J37" s="510" t="str">
        <f t="shared" si="1"/>
        <v/>
      </c>
      <c r="K37" s="510" t="str">
        <f t="shared" si="1"/>
        <v/>
      </c>
      <c r="L37" s="510" t="str">
        <f t="shared" si="1"/>
        <v/>
      </c>
      <c r="M37" s="510" t="str">
        <f t="shared" si="1"/>
        <v/>
      </c>
      <c r="N37" s="510" t="str">
        <f t="shared" si="1"/>
        <v/>
      </c>
      <c r="O37" s="510" t="str">
        <f t="shared" si="1"/>
        <v/>
      </c>
    </row>
    <row r="38" spans="2:15" ht="18" customHeight="1" x14ac:dyDescent="0.25">
      <c r="B38" s="417" t="s">
        <v>1291</v>
      </c>
      <c r="C38" s="639"/>
      <c r="D38" s="510" t="str">
        <f t="shared" si="1"/>
        <v/>
      </c>
      <c r="E38" s="510" t="str">
        <f t="shared" si="1"/>
        <v/>
      </c>
      <c r="F38" s="510" t="str">
        <f t="shared" si="1"/>
        <v/>
      </c>
      <c r="G38" s="510" t="str">
        <f t="shared" si="1"/>
        <v/>
      </c>
      <c r="H38" s="510" t="str">
        <f t="shared" si="1"/>
        <v/>
      </c>
      <c r="I38" s="510" t="str">
        <f t="shared" si="1"/>
        <v/>
      </c>
      <c r="J38" s="510" t="str">
        <f t="shared" si="1"/>
        <v/>
      </c>
      <c r="K38" s="510" t="str">
        <f t="shared" si="1"/>
        <v/>
      </c>
      <c r="L38" s="510" t="str">
        <f t="shared" si="1"/>
        <v/>
      </c>
      <c r="M38" s="510" t="str">
        <f t="shared" si="1"/>
        <v/>
      </c>
      <c r="N38" s="510" t="str">
        <f t="shared" si="1"/>
        <v/>
      </c>
      <c r="O38" s="510" t="str">
        <f t="shared" si="1"/>
        <v/>
      </c>
    </row>
    <row r="39" spans="2:15" ht="18" customHeight="1" x14ac:dyDescent="0.25">
      <c r="C39" s="512" t="s">
        <v>1337</v>
      </c>
      <c r="D39" s="426">
        <f>SUM(D36:D37)</f>
        <v>0</v>
      </c>
      <c r="E39" s="511">
        <f t="shared" ref="E39:O39" si="2">SUM(E36:E37)</f>
        <v>0</v>
      </c>
      <c r="F39" s="511">
        <f t="shared" si="2"/>
        <v>0</v>
      </c>
      <c r="G39" s="511">
        <f t="shared" si="2"/>
        <v>0</v>
      </c>
      <c r="H39" s="511">
        <f t="shared" si="2"/>
        <v>0</v>
      </c>
      <c r="I39" s="511">
        <f t="shared" si="2"/>
        <v>0</v>
      </c>
      <c r="J39" s="511">
        <f t="shared" si="2"/>
        <v>0</v>
      </c>
      <c r="K39" s="511">
        <f t="shared" si="2"/>
        <v>0</v>
      </c>
      <c r="L39" s="511">
        <f t="shared" si="2"/>
        <v>0</v>
      </c>
      <c r="M39" s="511">
        <f t="shared" si="2"/>
        <v>0</v>
      </c>
      <c r="N39" s="511">
        <f t="shared" si="2"/>
        <v>0</v>
      </c>
      <c r="O39" s="511">
        <f t="shared" si="2"/>
        <v>0</v>
      </c>
    </row>
    <row r="40" spans="2:15" x14ac:dyDescent="0.25">
      <c r="E40" s="422"/>
    </row>
    <row r="41" spans="2:15" x14ac:dyDescent="0.25">
      <c r="C41" s="636"/>
      <c r="D41" s="423"/>
      <c r="E41" s="423"/>
      <c r="F41" s="423"/>
      <c r="G41" s="423"/>
      <c r="H41" s="423"/>
      <c r="I41" s="423"/>
      <c r="J41" s="423"/>
      <c r="K41" s="423"/>
      <c r="L41" s="423"/>
      <c r="M41" s="423"/>
      <c r="N41" s="423"/>
      <c r="O41" s="423"/>
    </row>
    <row r="42" spans="2:15" x14ac:dyDescent="0.25">
      <c r="C42" s="636"/>
      <c r="D42" s="423"/>
      <c r="E42" s="423"/>
      <c r="F42" s="423"/>
      <c r="G42" s="423"/>
      <c r="H42" s="423"/>
      <c r="I42" s="423"/>
      <c r="J42" s="423"/>
      <c r="K42" s="423"/>
      <c r="L42" s="423"/>
      <c r="M42" s="423"/>
      <c r="N42" s="423"/>
      <c r="O42" s="423"/>
    </row>
    <row r="43" spans="2:15" x14ac:dyDescent="0.25">
      <c r="C43" s="513"/>
      <c r="D43" s="423"/>
      <c r="E43" s="423"/>
      <c r="F43" s="423"/>
      <c r="G43" s="423"/>
      <c r="H43" s="423"/>
      <c r="I43" s="423"/>
      <c r="J43" s="423"/>
      <c r="K43" s="423"/>
      <c r="L43" s="423"/>
      <c r="M43" s="423"/>
      <c r="N43" s="423"/>
      <c r="O43" s="423"/>
    </row>
    <row r="46" spans="2:15" ht="38.25" x14ac:dyDescent="0.25">
      <c r="B46" s="424" t="s">
        <v>738</v>
      </c>
    </row>
  </sheetData>
  <autoFilter ref="A2:O2"/>
  <mergeCells count="6">
    <mergeCell ref="M1:P1"/>
    <mergeCell ref="C41:C42"/>
    <mergeCell ref="B1:D1"/>
    <mergeCell ref="E1:H1"/>
    <mergeCell ref="I1:L1"/>
    <mergeCell ref="C36:C38"/>
  </mergeCells>
  <phoneticPr fontId="8" type="noConversion"/>
  <conditionalFormatting sqref="D26:D31">
    <cfRule type="cellIs" dxfId="18" priority="173" stopIfTrue="1" operator="equal">
      <formula>"EEV CA Var"</formula>
    </cfRule>
    <cfRule type="cellIs" dxfId="17" priority="174" stopIfTrue="1" operator="equal">
      <formula>"Nice IM"</formula>
    </cfRule>
    <cfRule type="cellIs" dxfId="16" priority="175" stopIfTrue="1" operator="equal">
      <formula>"Nice EM"</formula>
    </cfRule>
  </conditionalFormatting>
  <conditionalFormatting sqref="C3:C33">
    <cfRule type="cellIs" dxfId="15" priority="51" stopIfTrue="1" operator="equal">
      <formula>"SIEGE"</formula>
    </cfRule>
  </conditionalFormatting>
  <conditionalFormatting sqref="C39:C46 C36">
    <cfRule type="cellIs" dxfId="14" priority="146" stopIfTrue="1" operator="equal">
      <formula>"TRAIN"</formula>
    </cfRule>
  </conditionalFormatting>
  <conditionalFormatting sqref="B36:B38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36:B38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36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99"/>
  <sheetViews>
    <sheetView zoomScaleNormal="100" workbookViewId="0">
      <selection activeCell="M3" sqref="M3"/>
    </sheetView>
  </sheetViews>
  <sheetFormatPr baseColWidth="10" defaultRowHeight="15" x14ac:dyDescent="0.25"/>
  <cols>
    <col min="1" max="1" width="29.28515625" style="406" customWidth="1"/>
    <col min="2" max="2" width="18.5703125" customWidth="1"/>
    <col min="3" max="3" width="18.5703125" style="202" customWidth="1"/>
    <col min="4" max="4" width="13.28515625" customWidth="1"/>
    <col min="5" max="5" width="16.140625" style="399" customWidth="1"/>
    <col min="6" max="7" width="11.42578125" style="399"/>
    <col min="10" max="10" width="8.7109375" style="399" customWidth="1"/>
    <col min="11" max="11" width="8.85546875" style="399" customWidth="1"/>
    <col min="12" max="12" width="17" customWidth="1"/>
    <col min="13" max="13" width="10.5703125" customWidth="1"/>
    <col min="14" max="14" width="10.5703125" style="278" customWidth="1"/>
    <col min="15" max="17" width="14.28515625" style="378" customWidth="1"/>
    <col min="18" max="18" width="14.28515625" style="505" customWidth="1"/>
    <col min="19" max="23" width="11.42578125" style="378"/>
  </cols>
  <sheetData>
    <row r="1" spans="1:25" s="399" customFormat="1" ht="46.5" customHeight="1" x14ac:dyDescent="0.25">
      <c r="A1" s="395" t="s">
        <v>266</v>
      </c>
      <c r="B1" s="395" t="s">
        <v>16</v>
      </c>
      <c r="C1" s="395" t="s">
        <v>758</v>
      </c>
      <c r="D1" s="395" t="s">
        <v>583</v>
      </c>
      <c r="E1" s="395" t="s">
        <v>582</v>
      </c>
      <c r="F1" s="396" t="s">
        <v>743</v>
      </c>
      <c r="G1" s="395" t="s">
        <v>828</v>
      </c>
      <c r="H1" s="395" t="s">
        <v>746</v>
      </c>
      <c r="I1" s="395" t="s">
        <v>829</v>
      </c>
      <c r="J1" s="397" t="s">
        <v>747</v>
      </c>
      <c r="K1" s="397" t="s">
        <v>750</v>
      </c>
      <c r="L1" s="397" t="s">
        <v>826</v>
      </c>
      <c r="M1" s="397" t="s">
        <v>749</v>
      </c>
      <c r="N1" s="397" t="s">
        <v>852</v>
      </c>
      <c r="O1" s="397" t="s">
        <v>748</v>
      </c>
      <c r="P1" s="398" t="s">
        <v>900</v>
      </c>
      <c r="Q1" s="398" t="s">
        <v>789</v>
      </c>
      <c r="R1" s="506" t="s">
        <v>1336</v>
      </c>
      <c r="S1" s="398" t="s">
        <v>571</v>
      </c>
      <c r="T1" s="398" t="s">
        <v>896</v>
      </c>
      <c r="U1" s="398" t="s">
        <v>795</v>
      </c>
      <c r="V1" s="398" t="s">
        <v>894</v>
      </c>
      <c r="W1" s="398" t="s">
        <v>827</v>
      </c>
      <c r="Y1" s="489" t="s">
        <v>765</v>
      </c>
    </row>
    <row r="2" spans="1:25" s="401" customFormat="1" x14ac:dyDescent="0.25">
      <c r="A2" s="22" t="str">
        <f>IF('Listes déroulantes'!A40="","",'Listes déroulantes'!A40)</f>
        <v>UO Relation Client</v>
      </c>
      <c r="B2" s="412" t="str">
        <f>IF(A2="","",VLOOKUP(A2,'Listes déroulantes'!$A$2:$B$55,2,FALSE ))</f>
        <v>UO Relation Client</v>
      </c>
      <c r="C2" s="413" t="e">
        <f>IF(A2="","",IF(E2="NON", "01/01/2020",INDEX('Liste AT'!$I$1:$I$165,(MAX(IF('Liste AT'!$F$7:$F$165=A2,ROW('Liste AT'!$F$7:$F$165)))),1)))</f>
        <v>#VALUE!</v>
      </c>
      <c r="D2" s="236" t="str">
        <f ca="1">IFERROR(TODAY()-C2,"")</f>
        <v/>
      </c>
      <c r="E2" s="377" t="str">
        <f>IF(A2="","",IFERROR(VLOOKUP(A2,'Liste AT'!$F$7:$F$165,1,FALSE),"NON"))</f>
        <v>UO Relation client</v>
      </c>
      <c r="F2" s="377">
        <f>IF(A2="","",COUNTIF('Liste AT'!$F$7:$F$165,E2))</f>
        <v>5</v>
      </c>
      <c r="G2" s="377">
        <f>IF(A2="","",SUMIF('Liste AT'!$F$7:$F$165,A2,'Liste AT'!$P$7:$P$165))</f>
        <v>15</v>
      </c>
      <c r="H2" s="414" t="e">
        <f ca="1">IF(A2="","",J2*1000000/(M2*(1607*$Y$2/12)))</f>
        <v>#N/A</v>
      </c>
      <c r="I2" s="414" t="e">
        <f ca="1">IF(A2="","",W2*1000/(M2*(1607*$Y$2/12)))</f>
        <v>#N/A</v>
      </c>
      <c r="J2" s="377">
        <f>IF(A2="","",COUNTIFS('Liste AT'!$F$7:$F$165,A2,'Liste AT'!$L$7:$L$165,"avec arrêt"))</f>
        <v>2</v>
      </c>
      <c r="K2" s="377">
        <f>IF(A2="","",F2-J2)</f>
        <v>3</v>
      </c>
      <c r="L2" s="400" t="e">
        <f ca="1">IF(A2="","",(J2-U2)*1000000/(M2*(1607*$Y$2/12)))</f>
        <v>#N/A</v>
      </c>
      <c r="M2" s="400" t="e">
        <f ca="1">IF(A2="","",INDEX(INDIRECT("Effectifs!E" &amp; O2 &amp; ":P" &amp; O2),MATCH(-1,INDIRECT("Effectifs!E" &amp; O2 &amp; ":P" &amp; O2),-1)))</f>
        <v>#N/A</v>
      </c>
      <c r="N2" s="414" t="e">
        <f ca="1">((J2-U2)*1000)/M2</f>
        <v>#N/A</v>
      </c>
      <c r="O2" s="377">
        <f>IF(A2="","",MATCH(A2,Effectifs!$B$1:$B$45,0))</f>
        <v>36</v>
      </c>
      <c r="P2" s="377">
        <f>IF(A2="","",COUNTIFS('Liste AT'!$F$7:$F$165,A2,'Liste AT'!$K$7:$K$165,"=quasi-accident"))</f>
        <v>2</v>
      </c>
      <c r="Q2" s="377">
        <f>IF(A2="","",COUNTIFS('Liste AT'!$F$7:$F$165,A2,'Liste AT'!$K$7:$K$165,"=trajet"))</f>
        <v>1</v>
      </c>
      <c r="R2" s="504">
        <f>IF(A2="","",COUNTIFS('Liste AT'!$F$7:$F$135,A4,'Liste AT'!$R$7:$R$135,"=conducteur témoin d'un accident de personne"))+COUNTIFS('Liste AT'!$F$7:$F$135,A4,'Liste AT'!$R$7:$R$135,"=agent témoin sauf conducteur")</f>
        <v>0</v>
      </c>
      <c r="S2" s="377">
        <f ca="1">IF(A2="","",COUNTIFS('Liste AT'!$F$7:$F$165,A2,'Liste AT'!$AB$7:$AB$165,"=oui"))</f>
        <v>5</v>
      </c>
      <c r="T2" s="377">
        <f>IF(A2="","",COUNTIFS('Liste AT'!$F$7:$F$165,A2,'Liste AT'!$AC$7:$AC$165,"=Non reconnu"))</f>
        <v>0</v>
      </c>
      <c r="U2" s="377">
        <f>IF(A2="","",COUNTIFS('Liste AT'!$F$7:$F$165,A2,'Liste AT'!$K$7:$K$165,"=trajet",'Liste AT'!$L$7:$L$165,"=avec arrêt"))</f>
        <v>1</v>
      </c>
      <c r="V2" s="377">
        <f>IF(A2="","",COUNTIFS('Liste AT'!$F$7:$F$165,A2,'Liste AT'!$K$7:$K$165,"=travail",'Liste AT'!$L$7:$L$165,"=avec arrêt"))</f>
        <v>1</v>
      </c>
      <c r="W2" s="377">
        <f>IF(A2="","",SUMIFS('Liste AT'!$P$7:$P$165,'Liste AT'!$F$7:$F$165,A2,'Liste AT'!$K$7:$K$165,"travail"))</f>
        <v>8</v>
      </c>
      <c r="Y2" s="490">
        <v>43891</v>
      </c>
    </row>
    <row r="3" spans="1:25" x14ac:dyDescent="0.25">
      <c r="A3" s="402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13" t="str">
        <f>IF(A3="","",IF(E3="NON", "01/01/2020",INDEX('Liste AT'!$I$1:$I$165,(MAX(IF('Liste AT'!$F$7:$F$165=A3,ROW('Liste AT'!$F$7:$F$165)))),1)))</f>
        <v>01/01/2020</v>
      </c>
      <c r="D3" s="236">
        <f t="shared" ref="D3:D7" ca="1" si="0">IFERROR(TODAY()-C3,"")</f>
        <v>55</v>
      </c>
      <c r="E3" s="407" t="str">
        <f>IF(A3="","",IFERROR(VLOOKUP(A3,'Liste AT'!$F$7:$F$165,1,FALSE),"NON"))</f>
        <v>NON</v>
      </c>
      <c r="F3" s="407">
        <f>IF(A3="","",COUNTIF('Liste AT'!$F$7:$F$165,E3))</f>
        <v>0</v>
      </c>
      <c r="G3" s="504">
        <f>IF(A3="","",SUMIF('Liste AT'!$F$7:$F$165,A3,'Liste AT'!$P$7:$P$165))</f>
        <v>0</v>
      </c>
      <c r="H3" s="509" t="e">
        <f t="shared" ref="H3:H4" ca="1" si="1">IF(A3="","",J3*1000000/(M3*(1607*$Y$2/12)))</f>
        <v>#N/A</v>
      </c>
      <c r="I3" s="509" t="e">
        <f t="shared" ref="I3:I4" ca="1" si="2">IF(A3="","",W3*1000/(M3*(1607*$Y$2/12)))</f>
        <v>#N/A</v>
      </c>
      <c r="J3" s="407">
        <f>IF(A3="","",COUNTIFS('Liste AT'!$F$7:$F$165,A3,'Liste AT'!$L$7:$L$165,"avec arrêt"))</f>
        <v>0</v>
      </c>
      <c r="K3" s="407">
        <f t="shared" ref="K3:K7" si="3">IF(A3="","",F3-J3)</f>
        <v>0</v>
      </c>
      <c r="L3" s="282" t="e">
        <f ca="1">IF(A3="","",(J3-U3)*1000000/(M3*(1607*$Y$2/12)))</f>
        <v>#N/A</v>
      </c>
      <c r="M3" s="282" t="e">
        <f t="shared" ref="M3:M7" ca="1" si="4">IF(A3="","",INDEX(INDIRECT("Effectifs!E" &amp; O3 &amp; ":P" &amp; O3),MATCH(-1,INDIRECT("Effectifs!E" &amp; O3 &amp; ":P" &amp; O3),-1)))</f>
        <v>#N/A</v>
      </c>
      <c r="N3" s="237" t="e">
        <f ca="1">((J3-U3)*1000)/M3</f>
        <v>#N/A</v>
      </c>
      <c r="O3" s="377">
        <f>IF(A3="","",MATCH(A3,Effectifs!$B$1:$B$45,0))</f>
        <v>38</v>
      </c>
      <c r="P3" s="377">
        <f>IF(A3="","",COUNTIFS('Liste AT'!$F$7:$F$165,A3,'Liste AT'!$K$7:$K$165,"=quasi-accident"))</f>
        <v>0</v>
      </c>
      <c r="Q3" s="377">
        <f>IF(A3="","",COUNTIFS('Liste AT'!$F$7:$F$165,A3,'Liste AT'!$K$7:$K$165,"=trajet"))</f>
        <v>0</v>
      </c>
      <c r="R3" s="504">
        <f>IF(A3="","",COUNTIFS('Liste AT'!$F$7:$F$135,A5,'Liste AT'!$R$7:$R$135,"=conducteur témoin d un accident de personne"))+COUNTIFS('Liste AT'!$F$7:$F$135,A5,'Liste AT'!$R$7:$R$135,"=agent témoin sauf conducteur")</f>
        <v>0</v>
      </c>
      <c r="S3" s="377">
        <f>IF(A3="","",COUNTIFS('Liste AT'!$F$7:$F$165,A3,'Liste AT'!$AB$7:$AB$165,"=oui"))</f>
        <v>0</v>
      </c>
      <c r="T3" s="504">
        <f>IF(A3="","",COUNTIFS('Liste AT'!$F$7:$F$165,A3,'Liste AT'!$AC$7:$AC$165,"=Non reconnu"))</f>
        <v>0</v>
      </c>
      <c r="U3" s="377">
        <f>IF(A3="","",COUNTIFS('Liste AT'!$F$7:$F$165,A3,'Liste AT'!$K$7:$K$165,"=trajet",'Liste AT'!$L$7:$L$165,"=avec arrêt"))</f>
        <v>0</v>
      </c>
      <c r="V3" s="377">
        <f>IF(A3="","",COUNTIFS('Liste AT'!$F$7:$F$165,A3,'Liste AT'!$K$7:$K$165,"=travail",'Liste AT'!$L$7:$L$165,"=avec arrêt"))</f>
        <v>0</v>
      </c>
      <c r="W3" s="504">
        <f>IF(A3="","",SUMIFS('Liste AT'!$P$7:$P$165,'Liste AT'!$F$7:$F$165,A3,'Liste AT'!$K$7:$K$165,"travail"))</f>
        <v>0</v>
      </c>
    </row>
    <row r="4" spans="1:25" x14ac:dyDescent="0.25">
      <c r="A4" s="402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13" t="e">
        <f>IF(A4="","",IF(E4="NON", "01/01/2020",INDEX('Liste AT'!$I$1:$I$165,(MAX(IF('Liste AT'!$F$7:$F$165=A4,ROW('Liste AT'!$F$7:$F$165)))),1)))</f>
        <v>#VALUE!</v>
      </c>
      <c r="D4" s="236" t="str">
        <f t="shared" ca="1" si="0"/>
        <v/>
      </c>
      <c r="E4" s="407" t="str">
        <f>IF(A4="","",IFERROR(VLOOKUP(A4,'Liste AT'!$F$7:$F$165,1,FALSE),"NON"))</f>
        <v>Siège</v>
      </c>
      <c r="F4" s="407">
        <f>IF(A4="","",COUNTIF('Liste AT'!$F$7:$F$165,E4))</f>
        <v>1</v>
      </c>
      <c r="G4" s="504">
        <f>IF(A4="","",SUMIF('Liste AT'!$F$7:$F$165,A4,'Liste AT'!$P$7:$P$165))</f>
        <v>0</v>
      </c>
      <c r="H4" s="509" t="e">
        <f t="shared" ca="1" si="1"/>
        <v>#N/A</v>
      </c>
      <c r="I4" s="509" t="e">
        <f t="shared" ca="1" si="2"/>
        <v>#N/A</v>
      </c>
      <c r="J4" s="407">
        <f>IF(A4="","",COUNTIFS('Liste AT'!$F$7:$F$165,A4,'Liste AT'!$L$7:$L$165,"avec arrêt"))</f>
        <v>0</v>
      </c>
      <c r="K4" s="407">
        <f t="shared" si="3"/>
        <v>1</v>
      </c>
      <c r="L4" s="282" t="e">
        <f ca="1">IF(A4="","",(J4-U4)*1000000/(M4*(1607*$Y$2/12)))</f>
        <v>#N/A</v>
      </c>
      <c r="M4" s="282" t="e">
        <f t="shared" ca="1" si="4"/>
        <v>#N/A</v>
      </c>
      <c r="N4" s="237" t="e">
        <f ca="1">((J4-U4)*1000)/M4</f>
        <v>#N/A</v>
      </c>
      <c r="O4" s="377">
        <f>IF(A4="","",MATCH(A4,Effectifs!$B$1:$B$45,0))</f>
        <v>37</v>
      </c>
      <c r="P4" s="377">
        <f>IF(A4="","",COUNTIFS('Liste AT'!$F$7:$F$165,A4,'Liste AT'!$K$7:$K$165,"=quasi-accident"))</f>
        <v>0</v>
      </c>
      <c r="Q4" s="377">
        <f>IF(A4="","",COUNTIFS('Liste AT'!$F$7:$F$165,A4,'Liste AT'!$K$7:$K$165,"=trajet"))</f>
        <v>1</v>
      </c>
      <c r="R4" s="504">
        <f>IF(A4="","",COUNTIFS('Liste AT'!$F$7:$F$135,A6,'Liste AT'!$R$7:$R$135,"=conducteur témoin d un accident de personne"))+COUNTIFS('Liste AT'!$F$7:$F$135,A6,'Liste AT'!$R$7:$R$135,"=agent témoin sauf conducteur")</f>
        <v>0</v>
      </c>
      <c r="S4" s="377">
        <f ca="1">IF(A4="","",COUNTIFS('Liste AT'!$F$7:$F$165,A4,'Liste AT'!$AB$7:$AB$165,"=oui"))</f>
        <v>1</v>
      </c>
      <c r="T4" s="504">
        <f>IF(A4="","",COUNTIFS('Liste AT'!$F$7:$F$165,A4,'Liste AT'!$AC$7:$AC$165,"=Non reconnu"))</f>
        <v>0</v>
      </c>
      <c r="U4" s="377">
        <f>IF(A4="","",COUNTIFS('Liste AT'!$F$7:$F$165,A4,'Liste AT'!$K$7:$K$165,"=trajet",'Liste AT'!$L$7:$L$165,"=avec arrêt"))</f>
        <v>0</v>
      </c>
      <c r="V4" s="377">
        <f>IF(A4="","",COUNTIFS('Liste AT'!$F$7:$F$165,A4,'Liste AT'!$K$7:$K$165,"=travail",'Liste AT'!$L$7:$L$165,"=avec arrêt"))</f>
        <v>0</v>
      </c>
      <c r="W4" s="504">
        <f>IF(A4="","",SUMIFS('Liste AT'!$P$7:$P$165,'Liste AT'!$F$7:$F$165,A4,'Liste AT'!$K$7:$K$165,"travail"))</f>
        <v>0</v>
      </c>
    </row>
    <row r="5" spans="1:25" x14ac:dyDescent="0.25">
      <c r="A5" s="402" t="str">
        <f>IF('Listes déroulantes'!A44="","",'Listes déroulantes'!A44)</f>
        <v/>
      </c>
      <c r="B5" s="234" t="str">
        <f>IF(A5="","",VLOOKUP(A5,'Listes déroulantes'!$A$2:$B$55,2,FALSE ))</f>
        <v/>
      </c>
      <c r="C5" s="413" t="str">
        <f>IF(A5="","",IF(E5="NON", "01/01/2020",INDEX('Liste AT'!$I$1:$I$165,(MAX(IF('Liste AT'!$F$7:$F$165=A5,ROW('Liste AT'!$F$7:$F$165)))),1)))</f>
        <v/>
      </c>
      <c r="D5" s="236" t="str">
        <f t="shared" ca="1" si="0"/>
        <v/>
      </c>
      <c r="E5" s="407" t="str">
        <f>IF(A5="","",IFERROR(VLOOKUP(A5,'Liste AT'!$F$7:$F$165,1,FALSE),"NON"))</f>
        <v/>
      </c>
      <c r="F5" s="407" t="str">
        <f>IF(A5="","",COUNTIF('Liste AT'!$F$7:$F$165,E5))</f>
        <v/>
      </c>
      <c r="G5" s="407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07" t="str">
        <f>IF(A5="","",COUNTIFS('Liste AT'!$F$7:$F$165,A5,'Liste AT'!$L$7:$L$165,"avec arrêt"))</f>
        <v/>
      </c>
      <c r="K5" s="407" t="str">
        <f t="shared" si="3"/>
        <v/>
      </c>
      <c r="L5" s="282" t="str">
        <f>IF(A5="","",(J5-U5)*1000000/(M5*(1607*$X$1/12)))</f>
        <v/>
      </c>
      <c r="M5" s="282" t="str">
        <f t="shared" ca="1" si="4"/>
        <v/>
      </c>
      <c r="N5" s="237"/>
      <c r="O5" s="377" t="str">
        <f>IF(A5="","",MATCH(A5,Effectifs!$B$1:$B$45,0))</f>
        <v/>
      </c>
      <c r="P5" s="377" t="str">
        <f>IF(A5="","",COUNTIFS('Liste AT'!$F$7:$F$165,A5,'Liste AT'!$K$7:$K$165,"=quasi-accident"))</f>
        <v/>
      </c>
      <c r="Q5" s="377" t="str">
        <f>IF(A5="","",COUNTIFS('Liste AT'!$F$7:$F$165,A5,'Liste AT'!$K$7:$K$165,"=trajet"))</f>
        <v/>
      </c>
      <c r="R5" s="504"/>
      <c r="S5" s="377" t="str">
        <f>IF(A5="","",COUNTIFS('Liste AT'!$F$7:$F$165,A5,'Liste AT'!$AB$7:$AB$165,"=oui"))</f>
        <v/>
      </c>
      <c r="T5" s="37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77" t="str">
        <f>IF(A5="","",COUNTIFS('Liste AT'!$F$7:$F$165,A5,'Liste AT'!$K$7:$K$165,"=trajet",'Liste AT'!$L$7:$L$165,"=avec arrêt"))</f>
        <v/>
      </c>
      <c r="V5" s="377" t="str">
        <f>IF(A5="","",COUNTIFS('Liste AT'!$F$7:$F$165,A5,'Liste AT'!$K$7:$K$165,"=travail",'Liste AT'!$L$7:$L$165,"=avec arrêt"))</f>
        <v/>
      </c>
      <c r="W5" s="377" t="str">
        <f>IF(A5="","",SUMIFS('Liste AT'!$O$7:$O$165,'Liste AT'!$F$7:$F$165,A5,'Liste AT'!$K$7:$K$165,"travail"))</f>
        <v/>
      </c>
    </row>
    <row r="6" spans="1:25" s="278" customFormat="1" x14ac:dyDescent="0.25">
      <c r="A6" s="402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0"/>
        <v/>
      </c>
      <c r="E6" s="407" t="str">
        <f>IF(A6="","",IFERROR(VLOOKUP(A6,'Liste AT'!$F$7:$F$165,1,FALSE),"NON"))</f>
        <v/>
      </c>
      <c r="F6" s="407" t="str">
        <f>IF(A6="","",COUNTIF('Liste AT'!$F$7:$F$165,E6))</f>
        <v/>
      </c>
      <c r="G6" s="407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07" t="str">
        <f>IF(A6="","",COUNTIFS('Liste AT'!$F$7:$F$165,A6,'Liste AT'!$L$7:$L$165,"avec arrêt"))</f>
        <v/>
      </c>
      <c r="K6" s="407" t="str">
        <f t="shared" si="3"/>
        <v/>
      </c>
      <c r="L6" s="282" t="str">
        <f>IF(A6="","",(J6-U6)*1000000/(M6*(1607*$X$1/12)))</f>
        <v/>
      </c>
      <c r="M6" s="282" t="str">
        <f t="shared" ca="1" si="4"/>
        <v/>
      </c>
      <c r="N6" s="282"/>
      <c r="O6" s="377" t="str">
        <f>IF(A6="","",MATCH(A6,Effectifs!$B$1:$B$45,0))</f>
        <v/>
      </c>
      <c r="P6" s="377"/>
      <c r="Q6" s="377" t="str">
        <f>IF(A6="","",COUNTIFS('Liste AT'!$F$7:$F$165,A6,'Liste AT'!$K$7:$K$165,"=trajet"))</f>
        <v/>
      </c>
      <c r="R6" s="504"/>
      <c r="S6" s="377" t="str">
        <f>IF(A6="","",COUNTIFS('Liste AT'!$F$7:$F$165,A6,'Liste AT'!$AB$7:$AB$165,"=oui"))</f>
        <v/>
      </c>
      <c r="T6" s="377"/>
      <c r="U6" s="377" t="str">
        <f>IF(A6="","",COUNTIFS('Liste AT'!$F$7:$F$165,A6,'Liste AT'!$K$7:$K$165,"=trajet",'Liste AT'!$L$7:$L$165,"=avec arrêt"))</f>
        <v/>
      </c>
      <c r="V6" s="377"/>
      <c r="W6" s="377" t="str">
        <f>IF(A6="","",SUMIFS('Liste AT'!$O$7:$O$165,'Liste AT'!$F$7:$F$165,A6,'Liste AT'!$K$7:$K$165,"travail"))</f>
        <v/>
      </c>
    </row>
    <row r="7" spans="1:25" s="278" customFormat="1" x14ac:dyDescent="0.25">
      <c r="A7" s="402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0"/>
        <v/>
      </c>
      <c r="E7" s="407" t="str">
        <f>IF(A7="","",IFERROR(VLOOKUP(A7,'Liste AT'!$F$7:$F$165,1,FALSE),"NON"))</f>
        <v/>
      </c>
      <c r="F7" s="407" t="str">
        <f>IF(A7="","",COUNTIF('Liste AT'!$F$7:$F$165,E7))</f>
        <v/>
      </c>
      <c r="G7" s="407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07" t="str">
        <f>IF(A7="","",COUNTIFS('Liste AT'!$F$7:$F$165,A7,'Liste AT'!$L$7:$L$165,"avec arrêt"))</f>
        <v/>
      </c>
      <c r="K7" s="407" t="str">
        <f t="shared" si="3"/>
        <v/>
      </c>
      <c r="L7" s="282" t="str">
        <f>IF(A7="","",(J7-U7)*1000000/(M7*(1607*$X$1/12)))</f>
        <v/>
      </c>
      <c r="M7" s="282" t="str">
        <f t="shared" ca="1" si="4"/>
        <v/>
      </c>
      <c r="N7" s="282"/>
      <c r="O7" s="377" t="str">
        <f>IF(A7="","",MATCH(A7,Effectifs!$B$1:$B$45,0))</f>
        <v/>
      </c>
      <c r="P7" s="377"/>
      <c r="Q7" s="377" t="str">
        <f>IF(A7="","",COUNTIFS('Liste AT'!$F$7:$F$165,A7,'Liste AT'!$K$7:$K$165,"=trajet"))</f>
        <v/>
      </c>
      <c r="R7" s="504"/>
      <c r="S7" s="377" t="str">
        <f>IF(A7="","",COUNTIFS('Liste AT'!$F$7:$F$165,A7,'Liste AT'!$AB$7:$AB$165,"=oui"))</f>
        <v/>
      </c>
      <c r="T7" s="377"/>
      <c r="U7" s="377" t="str">
        <f>IF(A7="","",COUNTIFS('Liste AT'!$F$7:$F$165,A7,'Liste AT'!$K$7:$K$165,"=trajet",'Liste AT'!$L$7:$L$165,"=avec arrêt"))</f>
        <v/>
      </c>
      <c r="V7" s="377"/>
      <c r="W7" s="377" t="str">
        <f>IF(A7="","",SUMIFS('Liste AT'!$O$7:$O$165,'Liste AT'!$F$7:$F$165,A7,'Liste AT'!$K$7:$K$165,"travail"))</f>
        <v/>
      </c>
    </row>
    <row r="8" spans="1:25" s="278" customFormat="1" x14ac:dyDescent="0.25">
      <c r="A8" s="403"/>
      <c r="B8" s="341"/>
      <c r="C8" s="342"/>
      <c r="D8" s="343"/>
      <c r="E8" s="408"/>
      <c r="F8" s="408"/>
      <c r="G8" s="408"/>
      <c r="H8" s="345"/>
      <c r="I8" s="345"/>
      <c r="J8" s="408"/>
      <c r="K8" s="408"/>
      <c r="L8" s="344"/>
      <c r="M8" s="344"/>
      <c r="N8" s="344"/>
      <c r="O8" s="410"/>
      <c r="P8" s="410"/>
      <c r="Q8" s="410"/>
      <c r="R8" s="507"/>
      <c r="S8" s="410"/>
      <c r="T8" s="410"/>
      <c r="U8" s="410"/>
      <c r="V8" s="410"/>
      <c r="W8" s="410"/>
    </row>
    <row r="9" spans="1:25" ht="25.5" x14ac:dyDescent="0.25">
      <c r="A9" s="402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55</v>
      </c>
      <c r="E9" s="407" t="str">
        <f>IF(A9="","",IFERROR(VLOOKUP(A9,'Liste AT'!$E$7:$E$165,1,FALSE),"NON"))</f>
        <v>NON</v>
      </c>
      <c r="F9" s="407">
        <f>IF(A9="","",COUNTIF('Liste AT'!$E$7:$E$165,E9))</f>
        <v>0</v>
      </c>
      <c r="G9" s="407">
        <f>IF(A9="","",SUMIF('Liste AT'!$E$7:$E$165,A9,'Liste AT'!$P$7:$P$165))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07">
        <f>IF(A9="","",COUNTIFS('Liste AT'!$E$7:$E$165,A9,'Liste AT'!$L$7:$L$165,"avec arrêt"))</f>
        <v>0</v>
      </c>
      <c r="K9" s="407">
        <f>IF(A9="","",F9-J9)</f>
        <v>0</v>
      </c>
      <c r="L9" s="282" t="e">
        <f ca="1">IF(A9="","",(J9-U9)*1000000/(M9*(1607*$Y$2/12)))</f>
        <v>#N/A</v>
      </c>
      <c r="M9" s="282" t="e">
        <f t="shared" ref="M9:M41" ca="1" si="5">IF(A9="","",INDEX(INDIRECT("Effectifs!E" &amp; O9 &amp; ":P" &amp; O9),MATCH(-1,INDIRECT("Effectifs!E" &amp; O9 &amp; ":P" &amp; O9),-1)))</f>
        <v>#N/A</v>
      </c>
      <c r="N9" s="282"/>
      <c r="O9" s="377">
        <f>IF(A9="","",MATCH(A9,Effectifs!$B$1:$B$37,0))</f>
        <v>4</v>
      </c>
      <c r="P9" s="377"/>
      <c r="Q9" s="377">
        <f>IF(A9="","",COUNTIFS('Liste AT'!$E$7:$E$165,A9,'Liste AT'!$K$7:$K$165,"=trajet"))</f>
        <v>0</v>
      </c>
      <c r="R9" s="504"/>
      <c r="S9" s="377">
        <f>IF(A9="","",COUNTIFS('Liste AT'!$E$7:$E$165,A9,'Liste AT'!$AB$7:$AB$165,"=oui"))</f>
        <v>0</v>
      </c>
      <c r="T9" s="377"/>
      <c r="U9" s="377">
        <f>IF(A9="","",COUNTIFS('Liste AT'!$E$7:$E$165,A9,'Liste AT'!$K$7:$K$165,"=trajet",'Liste AT'!$L$7:$L$165,"=avec arrêt"))</f>
        <v>0</v>
      </c>
      <c r="V9" s="377"/>
      <c r="W9" s="377">
        <f>IF(A9="","",SUMIFS('Liste AT'!$P$7:$P$165,'Liste AT'!$E$7:$E$165,A9,'Liste AT'!$K$7:$K$165,"travail"))</f>
        <v>0</v>
      </c>
    </row>
    <row r="10" spans="1:25" ht="21" customHeight="1" x14ac:dyDescent="0.25">
      <c r="A10" s="402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1" ca="1" si="6">IFERROR(TODAY()-C10,"")</f>
        <v>55</v>
      </c>
      <c r="E10" s="407" t="str">
        <f>IF(A10="","",IFERROR(VLOOKUP(A10,'Liste AT'!$E$7:$E$165,1,FALSE),"NON"))</f>
        <v>NON</v>
      </c>
      <c r="F10" s="407">
        <f>IF(A10="","",COUNTIF('Liste AT'!$E$7:$E$165,E10))</f>
        <v>0</v>
      </c>
      <c r="G10" s="407">
        <f>IF(A10="","",SUMIF('Liste AT'!$E$7:$E$165,A10,'Liste AT'!$P$7:$P$165))</f>
        <v>0</v>
      </c>
      <c r="H10" s="493" t="e">
        <f t="shared" ref="H10:H21" ca="1" si="7">IF(A10="","",J10*1000000/(M10*(1607*$Y$2/12)))</f>
        <v>#N/A</v>
      </c>
      <c r="I10" s="493" t="e">
        <f t="shared" ref="I10:I21" ca="1" si="8">IF(A10="","",W10*1000/(M10*(1607*$Y$2/12)))</f>
        <v>#N/A</v>
      </c>
      <c r="J10" s="407">
        <f>IF(A10="","",COUNTIFS('Liste AT'!$E$7:$E$165,A10,'Liste AT'!$L$7:$L$165,"avec arrêt"))</f>
        <v>0</v>
      </c>
      <c r="K10" s="407">
        <f t="shared" ref="K10:K41" si="9">IF(A10="","",F10-J10)</f>
        <v>0</v>
      </c>
      <c r="L10" s="492" t="e">
        <f t="shared" ref="L10:L21" ca="1" si="10">IF(A10="","",(J10-U10)*1000000/(M10*(1607*$Y$2/12)))</f>
        <v>#N/A</v>
      </c>
      <c r="M10" s="282" t="e">
        <f t="shared" ca="1" si="5"/>
        <v>#N/A</v>
      </c>
      <c r="N10" s="282"/>
      <c r="O10" s="377">
        <f>IF(A10="","",MATCH(A10,Effectifs!$B$1:$B$37,0))</f>
        <v>5</v>
      </c>
      <c r="P10" s="377"/>
      <c r="Q10" s="377">
        <f>IF(A10="","",COUNTIFS('Liste AT'!$E$7:$E$165,A10,'Liste AT'!$K$7:$K$165,"=trajet"))</f>
        <v>0</v>
      </c>
      <c r="R10" s="504"/>
      <c r="S10" s="377">
        <f>IF(A10="","",COUNTIFS('Liste AT'!$E$7:$E$165,A10,'Liste AT'!$AB$7:$AB$165,"=oui"))</f>
        <v>0</v>
      </c>
      <c r="T10" s="377"/>
      <c r="U10" s="377">
        <f>IF(A10="","",COUNTIFS('Liste AT'!$E$7:$E$165,A10,'Liste AT'!$K$7:$K$165,"=trajet",'Liste AT'!$L$7:$L$165,"=avec arrêt"))</f>
        <v>0</v>
      </c>
      <c r="V10" s="377"/>
      <c r="W10" s="504">
        <f>IF(A10="","",SUMIFS('Liste AT'!$P$7:$P$165,'Liste AT'!$E$7:$E$165,A10,'Liste AT'!$K$7:$K$165,"travail"))</f>
        <v>0</v>
      </c>
    </row>
    <row r="11" spans="1:25" x14ac:dyDescent="0.25">
      <c r="A11" s="402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55</v>
      </c>
      <c r="E11" s="407" t="str">
        <f>IF(A11="","",IFERROR(VLOOKUP(A11,'Liste AT'!$E$7:$E$165,1,FALSE),"NON"))</f>
        <v>NON</v>
      </c>
      <c r="F11" s="407">
        <f>IF(A11="","",COUNTIF('Liste AT'!$E$7:$E$165,E11))</f>
        <v>0</v>
      </c>
      <c r="G11" s="407">
        <f>IF(A11="","",SUMIF('Liste AT'!$E$7:$E$165,A11,'Liste AT'!$P$7:$P$165))</f>
        <v>0</v>
      </c>
      <c r="H11" s="493" t="e">
        <f t="shared" ca="1" si="7"/>
        <v>#N/A</v>
      </c>
      <c r="I11" s="493" t="e">
        <f t="shared" ca="1" si="8"/>
        <v>#N/A</v>
      </c>
      <c r="J11" s="407">
        <f>IF(A11="","",COUNTIFS('Liste AT'!$E$7:$E$165,A11,'Liste AT'!$L$7:$L$165,"avec arrêt"))</f>
        <v>0</v>
      </c>
      <c r="K11" s="407">
        <f t="shared" si="9"/>
        <v>0</v>
      </c>
      <c r="L11" s="492" t="e">
        <f t="shared" ca="1" si="10"/>
        <v>#N/A</v>
      </c>
      <c r="M11" s="282" t="e">
        <f t="shared" ca="1" si="5"/>
        <v>#N/A</v>
      </c>
      <c r="N11" s="282"/>
      <c r="O11" s="377">
        <f>IF(A11="","",MATCH(A11,Effectifs!$B$1:$B$37,0))</f>
        <v>6</v>
      </c>
      <c r="P11" s="377"/>
      <c r="Q11" s="377">
        <f>IF(A11="","",COUNTIFS('Liste AT'!$E$7:$E$165,A11,'Liste AT'!$K$7:$K$165,"=trajet"))</f>
        <v>0</v>
      </c>
      <c r="R11" s="504"/>
      <c r="S11" s="377">
        <f>IF(A11="","",COUNTIFS('Liste AT'!$E$7:$E$165,A11,'Liste AT'!$AB$7:$AB$165,"=oui"))</f>
        <v>0</v>
      </c>
      <c r="T11" s="377"/>
      <c r="U11" s="377">
        <f>IF(A11="","",COUNTIFS('Liste AT'!$E$7:$E$165,A11,'Liste AT'!$K$7:$K$165,"=trajet",'Liste AT'!$L$7:$L$165,"=avec arrêt"))</f>
        <v>0</v>
      </c>
      <c r="V11" s="377"/>
      <c r="W11" s="504">
        <f>IF(A11="","",SUMIFS('Liste AT'!$P$7:$P$165,'Liste AT'!$E$7:$E$165,A11,'Liste AT'!$K$7:$K$165,"travail"))</f>
        <v>0</v>
      </c>
    </row>
    <row r="12" spans="1:25" ht="30" x14ac:dyDescent="0.25">
      <c r="A12" s="402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>
        <f>IF(A12="","",IF(E12="NON", "01/01/2020",INDEX('Liste AT'!$I$1:$I$165,(MAX(IF('Liste AT'!$E$7:$E$165=A12,ROW('Liste AT'!$E$7:$E$165)))),1)))</f>
        <v>43881</v>
      </c>
      <c r="D12" s="236">
        <f t="shared" ca="1" si="6"/>
        <v>5</v>
      </c>
      <c r="E12" s="407" t="str">
        <f>IF(A12="","",IFERROR(VLOOKUP(A12,'Liste AT'!$E$7:$E$165,1,FALSE),"NON"))</f>
        <v>Secteur Riviera - Cannes</v>
      </c>
      <c r="F12" s="407">
        <f>IF(A12="","",COUNTIF('Liste AT'!$E$7:$E$165,E12))</f>
        <v>1</v>
      </c>
      <c r="G12" s="407">
        <f>IF(A12="","",SUMIF('Liste AT'!$E$7:$E$165,A12,'Liste AT'!$P$7:$P$165))</f>
        <v>0</v>
      </c>
      <c r="H12" s="493" t="e">
        <f t="shared" ca="1" si="7"/>
        <v>#N/A</v>
      </c>
      <c r="I12" s="493" t="e">
        <f t="shared" ca="1" si="8"/>
        <v>#N/A</v>
      </c>
      <c r="J12" s="407">
        <f>IF(A12="","",COUNTIFS('Liste AT'!$E$7:$E$165,A12,'Liste AT'!$L$7:$L$165,"avec arrêt"))</f>
        <v>0</v>
      </c>
      <c r="K12" s="407">
        <f t="shared" si="9"/>
        <v>1</v>
      </c>
      <c r="L12" s="492" t="e">
        <f t="shared" ca="1" si="10"/>
        <v>#N/A</v>
      </c>
      <c r="M12" s="282" t="e">
        <f t="shared" ca="1" si="5"/>
        <v>#N/A</v>
      </c>
      <c r="N12" s="282"/>
      <c r="O12" s="377">
        <f>IF(A12="","",MATCH(A12,Effectifs!$B$1:$B$37,0))</f>
        <v>7</v>
      </c>
      <c r="P12" s="377"/>
      <c r="Q12" s="377">
        <f>IF(A12="","",COUNTIFS('Liste AT'!$E$7:$E$165,A12,'Liste AT'!$K$7:$K$165,"=trajet"))</f>
        <v>0</v>
      </c>
      <c r="R12" s="504"/>
      <c r="S12" s="377">
        <f ca="1">IF(A12="","",COUNTIFS('Liste AT'!$E$7:$E$165,A12,'Liste AT'!$AB$7:$AB$165,"=oui"))</f>
        <v>1</v>
      </c>
      <c r="T12" s="377"/>
      <c r="U12" s="377">
        <f>IF(A12="","",COUNTIFS('Liste AT'!$E$7:$E$165,A12,'Liste AT'!$K$7:$K$165,"=trajet",'Liste AT'!$L$7:$L$165,"=avec arrêt"))</f>
        <v>0</v>
      </c>
      <c r="V12" s="377"/>
      <c r="W12" s="504">
        <f>IF(A12="","",SUMIFS('Liste AT'!$P$7:$P$165,'Liste AT'!$E$7:$E$165,A12,'Liste AT'!$K$7:$K$165,"travail"))</f>
        <v>0</v>
      </c>
    </row>
    <row r="13" spans="1:25" x14ac:dyDescent="0.25">
      <c r="A13" s="402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55</v>
      </c>
      <c r="E13" s="407" t="str">
        <f>IF(A13="","",IFERROR(VLOOKUP(A13,'Liste AT'!$E$7:$E$165,1,FALSE),"NON"))</f>
        <v>NON</v>
      </c>
      <c r="F13" s="407">
        <f>IF(A13="","",COUNTIF('Liste AT'!$E$7:$E$165,E13))</f>
        <v>0</v>
      </c>
      <c r="G13" s="407">
        <f>IF(A13="","",SUMIF('Liste AT'!$E$7:$E$165,A13,'Liste AT'!$P$7:$P$165))</f>
        <v>0</v>
      </c>
      <c r="H13" s="493" t="e">
        <f t="shared" ca="1" si="7"/>
        <v>#N/A</v>
      </c>
      <c r="I13" s="493" t="e">
        <f t="shared" ca="1" si="8"/>
        <v>#N/A</v>
      </c>
      <c r="J13" s="407">
        <f>IF(A13="","",COUNTIFS('Liste AT'!$E$7:$E$165,A13,'Liste AT'!$L$7:$L$165,"avec arrêt"))</f>
        <v>0</v>
      </c>
      <c r="K13" s="407">
        <f t="shared" si="9"/>
        <v>0</v>
      </c>
      <c r="L13" s="492" t="e">
        <f t="shared" ca="1" si="10"/>
        <v>#N/A</v>
      </c>
      <c r="M13" s="282" t="e">
        <f t="shared" ca="1" si="5"/>
        <v>#N/A</v>
      </c>
      <c r="N13" s="282"/>
      <c r="O13" s="377">
        <f>IF(A13="","",MATCH(A13,Effectifs!$B$1:$B$37,0))</f>
        <v>8</v>
      </c>
      <c r="P13" s="377"/>
      <c r="Q13" s="377">
        <f>IF(A13="","",COUNTIFS('Liste AT'!$E$7:$E$165,A13,'Liste AT'!$K$7:$K$165,"=trajet"))</f>
        <v>0</v>
      </c>
      <c r="R13" s="504"/>
      <c r="S13" s="377">
        <f>IF(A13="","",COUNTIFS('Liste AT'!$E$7:$E$165,A13,'Liste AT'!$AB$7:$AB$165,"=oui"))</f>
        <v>0</v>
      </c>
      <c r="T13" s="377"/>
      <c r="U13" s="377">
        <f>IF(A13="","",COUNTIFS('Liste AT'!$E$7:$E$165,A13,'Liste AT'!$K$7:$K$165,"=trajet",'Liste AT'!$L$7:$L$165,"=avec arrêt"))</f>
        <v>0</v>
      </c>
      <c r="V13" s="377"/>
      <c r="W13" s="504">
        <f>IF(A13="","",SUMIFS('Liste AT'!$P$7:$P$165,'Liste AT'!$E$7:$E$165,A13,'Liste AT'!$K$7:$K$165,"travail"))</f>
        <v>0</v>
      </c>
    </row>
    <row r="14" spans="1:25" x14ac:dyDescent="0.25">
      <c r="A14" s="402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55</v>
      </c>
      <c r="E14" s="407" t="str">
        <f>IF(A14="","",IFERROR(VLOOKUP(A14,'Liste AT'!$E$7:$E$165,1,FALSE),"NON"))</f>
        <v>NON</v>
      </c>
      <c r="F14" s="407">
        <f>IF(A14="","",COUNTIF('Liste AT'!$E$7:$E$165,E14))</f>
        <v>0</v>
      </c>
      <c r="G14" s="407">
        <f>IF(A14="","",SUMIF('Liste AT'!$E$7:$E$165,A14,'Liste AT'!$P$7:$P$165))</f>
        <v>0</v>
      </c>
      <c r="H14" s="493" t="e">
        <f t="shared" ca="1" si="7"/>
        <v>#N/A</v>
      </c>
      <c r="I14" s="493" t="e">
        <f t="shared" ca="1" si="8"/>
        <v>#N/A</v>
      </c>
      <c r="J14" s="407">
        <f>IF(A14="","",COUNTIFS('Liste AT'!$E$7:$E$165,A14,'Liste AT'!$L$7:$L$165,"avec arrêt"))</f>
        <v>0</v>
      </c>
      <c r="K14" s="407">
        <f t="shared" si="9"/>
        <v>0</v>
      </c>
      <c r="L14" s="492" t="e">
        <f t="shared" ca="1" si="10"/>
        <v>#N/A</v>
      </c>
      <c r="M14" s="282" t="e">
        <f t="shared" ca="1" si="5"/>
        <v>#N/A</v>
      </c>
      <c r="N14" s="282"/>
      <c r="O14" s="377">
        <f>IF(A14="","",MATCH(A14,Effectifs!$B$1:$B$37,0))</f>
        <v>3</v>
      </c>
      <c r="P14" s="377"/>
      <c r="Q14" s="377">
        <f>IF(A14="","",COUNTIFS('Liste AT'!$E$7:$E$165,A14,'Liste AT'!$K$7:$K$165,"=trajet"))</f>
        <v>0</v>
      </c>
      <c r="R14" s="504"/>
      <c r="S14" s="377">
        <f>IF(A14="","",COUNTIFS('Liste AT'!$E$7:$E$165,A14,'Liste AT'!$AB$7:$AB$165,"=oui"))</f>
        <v>0</v>
      </c>
      <c r="T14" s="377"/>
      <c r="U14" s="377">
        <f>IF(A14="","",COUNTIFS('Liste AT'!$E$7:$E$165,A14,'Liste AT'!$K$7:$K$165,"=trajet",'Liste AT'!$L$7:$L$165,"=avec arrêt"))</f>
        <v>0</v>
      </c>
      <c r="V14" s="377"/>
      <c r="W14" s="504">
        <f>IF(A14="","",SUMIFS('Liste AT'!$P$7:$P$165,'Liste AT'!$E$7:$E$165,A14,'Liste AT'!$K$7:$K$165,"travail"))</f>
        <v>0</v>
      </c>
    </row>
    <row r="15" spans="1:25" x14ac:dyDescent="0.25">
      <c r="A15" s="402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55</v>
      </c>
      <c r="E15" s="407" t="str">
        <f>IF(A15="","",IFERROR(VLOOKUP(A15,'Liste AT'!$E$7:$E$165,1,FALSE),"NON"))</f>
        <v>NON</v>
      </c>
      <c r="F15" s="407">
        <f>IF(A15="","",COUNTIF('Liste AT'!$E$7:$E$165,E15))</f>
        <v>0</v>
      </c>
      <c r="G15" s="407">
        <f>IF(A15="","",SUMIF('Liste AT'!$E$7:$E$165,A15,'Liste AT'!$P$7:$P$165))</f>
        <v>0</v>
      </c>
      <c r="H15" s="493" t="e">
        <f t="shared" ca="1" si="7"/>
        <v>#N/A</v>
      </c>
      <c r="I15" s="493" t="e">
        <f t="shared" ca="1" si="8"/>
        <v>#N/A</v>
      </c>
      <c r="J15" s="407">
        <f>IF(A15="","",COUNTIFS('Liste AT'!$E$7:$E$165,A15,'Liste AT'!$L$7:$L$165,"avec arrêt"))</f>
        <v>0</v>
      </c>
      <c r="K15" s="407">
        <f t="shared" si="9"/>
        <v>0</v>
      </c>
      <c r="L15" s="492" t="e">
        <f t="shared" ca="1" si="10"/>
        <v>#N/A</v>
      </c>
      <c r="M15" s="282" t="e">
        <f t="shared" ca="1" si="5"/>
        <v>#N/A</v>
      </c>
      <c r="N15" s="282"/>
      <c r="O15" s="377">
        <f>IF(A15="","",MATCH(A15,Effectifs!$B$1:$B$37,0))</f>
        <v>9</v>
      </c>
      <c r="P15" s="377"/>
      <c r="Q15" s="377">
        <f>IF(A15="","",COUNTIFS('Liste AT'!$E$7:$E$165,A15,'Liste AT'!$K$7:$K$165,"=trajet"))</f>
        <v>0</v>
      </c>
      <c r="R15" s="504"/>
      <c r="S15" s="377">
        <f>IF(A15="","",COUNTIFS('Liste AT'!$E$7:$E$165,A15,'Liste AT'!$AB$7:$AB$165,"=oui"))</f>
        <v>0</v>
      </c>
      <c r="T15" s="377"/>
      <c r="U15" s="377">
        <f>IF(A15="","",COUNTIFS('Liste AT'!$E$7:$E$165,A15,'Liste AT'!$K$7:$K$165,"=trajet",'Liste AT'!$L$7:$L$165,"=avec arrêt"))</f>
        <v>0</v>
      </c>
      <c r="V15" s="377"/>
      <c r="W15" s="504">
        <f>IF(A15="","",SUMIFS('Liste AT'!$P$7:$P$165,'Liste AT'!$E$7:$E$165,A15,'Liste AT'!$K$7:$K$165,"travail"))</f>
        <v>0</v>
      </c>
    </row>
    <row r="16" spans="1:25" ht="60" x14ac:dyDescent="0.25">
      <c r="A16" s="402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>
        <f>IF(A16="","",IF(E16="NON","01/01/2020",INDEX('Liste AT'!$I$1:$I$165,(MAX(IF('Liste AT'!$E$7:$E$165=A16,ROW('Liste AT'!$E$7:$E$165)))),1)))</f>
        <v>0</v>
      </c>
      <c r="D16" s="236">
        <f t="shared" ca="1" si="6"/>
        <v>43886</v>
      </c>
      <c r="E16" s="407" t="str">
        <f>IF(A16="","",IFERROR(VLOOKUP(A16,'Liste AT'!$E$7:$E$165,1,FALSE),"NON"))</f>
        <v>Secteur Merveilles - Menton-Vintimille</v>
      </c>
      <c r="F16" s="407">
        <f>IF(A16="","",COUNTIF('Liste AT'!$E$7:$E$165,E16))</f>
        <v>1</v>
      </c>
      <c r="G16" s="407">
        <f>IF(A16="","",SUMIF('Liste AT'!$E$7:$E$165,A16,'Liste AT'!$P$7:$P$165))</f>
        <v>7</v>
      </c>
      <c r="H16" s="493" t="e">
        <f t="shared" ca="1" si="7"/>
        <v>#N/A</v>
      </c>
      <c r="I16" s="493" t="e">
        <f t="shared" ca="1" si="8"/>
        <v>#N/A</v>
      </c>
      <c r="J16" s="407">
        <f>IF(A16="","",COUNTIFS('Liste AT'!$E$7:$E$165,A16,'Liste AT'!$L$7:$L$165,"avec arrêt"))</f>
        <v>1</v>
      </c>
      <c r="K16" s="407">
        <f t="shared" si="9"/>
        <v>0</v>
      </c>
      <c r="L16" s="492" t="e">
        <f t="shared" ca="1" si="10"/>
        <v>#N/A</v>
      </c>
      <c r="M16" s="282" t="e">
        <f t="shared" ca="1" si="5"/>
        <v>#N/A</v>
      </c>
      <c r="N16" s="282"/>
      <c r="O16" s="377">
        <f>IF(A16="","",MATCH(A16,Effectifs!$B$1:$B$37,0))</f>
        <v>11</v>
      </c>
      <c r="P16" s="377"/>
      <c r="Q16" s="377">
        <f>IF(A16="","",COUNTIFS('Liste AT'!$E$7:$E$165,A16,'Liste AT'!$K$7:$K$165,"=trajet"))</f>
        <v>1</v>
      </c>
      <c r="R16" s="504"/>
      <c r="S16" s="377">
        <f ca="1">IF(A16="","",COUNTIFS('Liste AT'!$E$7:$E$165,A16,'Liste AT'!$AB$7:$AB$165,"=oui"))</f>
        <v>1</v>
      </c>
      <c r="T16" s="377"/>
      <c r="U16" s="377">
        <f>IF(A16="","",COUNTIFS('Liste AT'!$E$7:$E$165,A16,'Liste AT'!$K$7:$K$165,"=trajet",'Liste AT'!$L$7:$L$165,"=avec arrêt"))</f>
        <v>1</v>
      </c>
      <c r="V16" s="377"/>
      <c r="W16" s="504">
        <f>IF(A16="","",SUMIFS('Liste AT'!$P$7:$P$165,'Liste AT'!$E$7:$E$165,A16,'Liste AT'!$K$7:$K$165,"travail"))</f>
        <v>0</v>
      </c>
    </row>
    <row r="17" spans="1:23" ht="15.75" customHeight="1" x14ac:dyDescent="0.25">
      <c r="A17" s="402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>
        <f>IF(A17="","",IF(E17="NON", "01/01/2020",INDEX('Liste AT'!$I$1:$I$165,(MAX(IF('Liste AT'!$E$7:$E$165=A17,ROW('Liste AT'!$E$7:$E$165)))),1)))</f>
        <v>0</v>
      </c>
      <c r="D17" s="236">
        <f t="shared" ca="1" si="6"/>
        <v>43886</v>
      </c>
      <c r="E17" s="407" t="str">
        <f>IF(A17="","",IFERROR(VLOOKUP(A17,'Liste AT'!$E$7:$E$165,1,FALSE),"NON"))</f>
        <v>Secteur Côte d'Azur - RET</v>
      </c>
      <c r="F17" s="407">
        <f>IF(A17="","",COUNTIF('Liste AT'!$E$7:$E$165,E17))</f>
        <v>3</v>
      </c>
      <c r="G17" s="407">
        <f>IF(A17="","",SUMIF('Liste AT'!$E$7:$E$165,A17,'Liste AT'!$P$7:$P$165))</f>
        <v>8</v>
      </c>
      <c r="H17" s="493" t="e">
        <f t="shared" ca="1" si="7"/>
        <v>#N/A</v>
      </c>
      <c r="I17" s="493" t="e">
        <f t="shared" ca="1" si="8"/>
        <v>#N/A</v>
      </c>
      <c r="J17" s="407">
        <f>IF(A17="","",COUNTIFS('Liste AT'!$E$7:$E$165,A17,'Liste AT'!$L$7:$L$165,"avec arrêt"))</f>
        <v>1</v>
      </c>
      <c r="K17" s="407">
        <f t="shared" si="9"/>
        <v>2</v>
      </c>
      <c r="L17" s="492" t="e">
        <f t="shared" ca="1" si="10"/>
        <v>#N/A</v>
      </c>
      <c r="M17" s="282" t="e">
        <f t="shared" ca="1" si="5"/>
        <v>#N/A</v>
      </c>
      <c r="N17" s="282"/>
      <c r="O17" s="377">
        <f>IF(A17="","",MATCH(A17,Effectifs!$B$1:$B$37,0))</f>
        <v>12</v>
      </c>
      <c r="P17" s="377"/>
      <c r="Q17" s="377">
        <f>IF(A17="","",COUNTIFS('Liste AT'!$E$7:$E$165,A17,'Liste AT'!$K$7:$K$165,"=trajet"))</f>
        <v>0</v>
      </c>
      <c r="R17" s="504"/>
      <c r="S17" s="377">
        <f ca="1">IF(A17="","",COUNTIFS('Liste AT'!$E$7:$E$165,A17,'Liste AT'!$AB$7:$AB$165,"=oui"))</f>
        <v>3</v>
      </c>
      <c r="T17" s="377"/>
      <c r="U17" s="377">
        <f>IF(A17="","",COUNTIFS('Liste AT'!$E$7:$E$165,A17,'Liste AT'!$K$7:$K$165,"=trajet",'Liste AT'!$L$7:$L$165,"=avec arrêt"))</f>
        <v>0</v>
      </c>
      <c r="V17" s="377"/>
      <c r="W17" s="504">
        <f>IF(A17="","",SUMIFS('Liste AT'!$P$7:$P$165,'Liste AT'!$E$7:$E$165,A17,'Liste AT'!$K$7:$K$165,"travail"))</f>
        <v>8</v>
      </c>
    </row>
    <row r="18" spans="1:23" ht="18.75" customHeight="1" x14ac:dyDescent="0.25">
      <c r="A18" s="402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55</v>
      </c>
      <c r="E18" s="407" t="str">
        <f>IF(A18="","",IFERROR(VLOOKUP(A18,'Liste AT'!$E$7:$E$165,1,FALSE),"NON"))</f>
        <v>NON</v>
      </c>
      <c r="F18" s="407">
        <f>IF(A18="","",COUNTIF('Liste AT'!$E$7:$E$165,E18))</f>
        <v>0</v>
      </c>
      <c r="G18" s="407">
        <f>IF(A18="","",SUMIF('Liste AT'!$E$7:$E$165,A18,'Liste AT'!$P$7:$P$165))</f>
        <v>0</v>
      </c>
      <c r="H18" s="493" t="e">
        <f t="shared" ca="1" si="7"/>
        <v>#N/A</v>
      </c>
      <c r="I18" s="493" t="e">
        <f t="shared" ca="1" si="8"/>
        <v>#N/A</v>
      </c>
      <c r="J18" s="407">
        <f>IF(A18="","",COUNTIFS('Liste AT'!$E$7:$E$165,A18,'Liste AT'!$L$7:$L$165,"avec arrêt"))</f>
        <v>0</v>
      </c>
      <c r="K18" s="407">
        <f t="shared" si="9"/>
        <v>0</v>
      </c>
      <c r="L18" s="492" t="e">
        <f t="shared" ca="1" si="10"/>
        <v>#N/A</v>
      </c>
      <c r="M18" s="282" t="e">
        <f t="shared" ca="1" si="5"/>
        <v>#N/A</v>
      </c>
      <c r="N18" s="282"/>
      <c r="O18" s="377">
        <f>IF(A18="","",MATCH(A18,Effectifs!$B$1:$B$37,0))</f>
        <v>13</v>
      </c>
      <c r="P18" s="377"/>
      <c r="Q18" s="377">
        <f>IF(A18="","",COUNTIFS('Liste AT'!$E$7:$E$165,A18,'Liste AT'!$K$7:$K$165,"=trajet"))</f>
        <v>0</v>
      </c>
      <c r="R18" s="504"/>
      <c r="S18" s="377">
        <f>IF(A18="","",COUNTIFS('Liste AT'!$E$7:$E$165,A18,'Liste AT'!$AB$7:$AB$165,"=oui"))</f>
        <v>0</v>
      </c>
      <c r="T18" s="377"/>
      <c r="U18" s="377">
        <f>IF(A18="","",COUNTIFS('Liste AT'!$E$7:$E$165,A18,'Liste AT'!$K$7:$K$165,"=trajet",'Liste AT'!$L$7:$L$165,"=avec arrêt"))</f>
        <v>0</v>
      </c>
      <c r="V18" s="377"/>
      <c r="W18" s="504">
        <f>IF(A18="","",SUMIFS('Liste AT'!$P$7:$P$165,'Liste AT'!$E$7:$E$165,A18,'Liste AT'!$K$7:$K$165,"travail"))</f>
        <v>0</v>
      </c>
    </row>
    <row r="19" spans="1:23" x14ac:dyDescent="0.25">
      <c r="A19" s="402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55</v>
      </c>
      <c r="E19" s="407" t="str">
        <f>IF(A19="","",IFERROR(VLOOKUP(A19,'Liste AT'!$E$7:$E$165,1,FALSE),"NON"))</f>
        <v>NON</v>
      </c>
      <c r="F19" s="407">
        <f>IF(A19="","",COUNTIF('Liste AT'!$E$7:$E$165,E19))</f>
        <v>0</v>
      </c>
      <c r="G19" s="407">
        <f>IF(A19="","",SUMIF('Liste AT'!$E$7:$E$165,A19,'Liste AT'!$P$7:$P$165))</f>
        <v>0</v>
      </c>
      <c r="H19" s="493" t="e">
        <f t="shared" ca="1" si="7"/>
        <v>#N/A</v>
      </c>
      <c r="I19" s="493" t="e">
        <f t="shared" ca="1" si="8"/>
        <v>#N/A</v>
      </c>
      <c r="J19" s="407">
        <f>IF(A19="","",COUNTIFS('Liste AT'!$E$7:$E$165,A19,'Liste AT'!$L$7:$L$165,"avec arrêt"))</f>
        <v>0</v>
      </c>
      <c r="K19" s="407">
        <f t="shared" si="9"/>
        <v>0</v>
      </c>
      <c r="L19" s="492" t="e">
        <f t="shared" ca="1" si="10"/>
        <v>#N/A</v>
      </c>
      <c r="M19" s="282" t="e">
        <f t="shared" ca="1" si="5"/>
        <v>#N/A</v>
      </c>
      <c r="N19" s="282"/>
      <c r="O19" s="377">
        <f>IF(A19="","",MATCH(A19,Effectifs!$B$1:$B$37,0))</f>
        <v>14</v>
      </c>
      <c r="P19" s="377"/>
      <c r="Q19" s="377">
        <f>IF(A19="","",COUNTIFS('Liste AT'!$E$7:$E$165,A19,'Liste AT'!$K$7:$K$165,"=trajet"))</f>
        <v>0</v>
      </c>
      <c r="R19" s="504"/>
      <c r="S19" s="377">
        <f>IF(A19="","",COUNTIFS('Liste AT'!$E$7:$E$165,A19,'Liste AT'!$AB$7:$AB$165,"=oui"))</f>
        <v>0</v>
      </c>
      <c r="T19" s="377"/>
      <c r="U19" s="377">
        <f>IF(A19="","",COUNTIFS('Liste AT'!$E$7:$E$165,A19,'Liste AT'!$K$7:$K$165,"=trajet",'Liste AT'!$L$7:$L$165,"=avec arrêt"))</f>
        <v>0</v>
      </c>
      <c r="V19" s="377"/>
      <c r="W19" s="504">
        <f>IF(A19="","",SUMIFS('Liste AT'!$P$7:$P$165,'Liste AT'!$E$7:$E$165,A19,'Liste AT'!$K$7:$K$165,"travail"))</f>
        <v>0</v>
      </c>
    </row>
    <row r="20" spans="1:23" x14ac:dyDescent="0.25">
      <c r="A20" s="402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55</v>
      </c>
      <c r="E20" s="407" t="str">
        <f>IF(A20="","",IFERROR(VLOOKUP(A20,'Liste AT'!$E$7:$E$165,1,FALSE),"NON"))</f>
        <v>NON</v>
      </c>
      <c r="F20" s="407">
        <f>IF(A20="","",COUNTIF('Liste AT'!$E$7:$E$165,E20))</f>
        <v>0</v>
      </c>
      <c r="G20" s="407">
        <f>IF(A20="","",SUMIF('Liste AT'!$E$7:$E$165,A20,'Liste AT'!$P$7:$P$165))</f>
        <v>0</v>
      </c>
      <c r="H20" s="493" t="e">
        <f t="shared" ca="1" si="7"/>
        <v>#N/A</v>
      </c>
      <c r="I20" s="493" t="e">
        <f t="shared" ca="1" si="8"/>
        <v>#N/A</v>
      </c>
      <c r="J20" s="407">
        <f>IF(A20="","",COUNTIFS('Liste AT'!$E$7:$E$165,A20,'Liste AT'!$L$7:$L$165,"avec arrêt"))</f>
        <v>0</v>
      </c>
      <c r="K20" s="407">
        <f t="shared" si="9"/>
        <v>0</v>
      </c>
      <c r="L20" s="492" t="e">
        <f t="shared" ca="1" si="10"/>
        <v>#N/A</v>
      </c>
      <c r="M20" s="282" t="e">
        <f t="shared" ca="1" si="5"/>
        <v>#N/A</v>
      </c>
      <c r="N20" s="282"/>
      <c r="O20" s="377">
        <f>IF(A20="","",MATCH(A20,Effectifs!$B$1:$B$37,0))</f>
        <v>15</v>
      </c>
      <c r="P20" s="377"/>
      <c r="Q20" s="377">
        <f>IF(A20="","",COUNTIFS('Liste AT'!$E$7:$E$165,A20,'Liste AT'!$K$7:$K$165,"=trajet"))</f>
        <v>0</v>
      </c>
      <c r="R20" s="504"/>
      <c r="S20" s="377">
        <f>IF(A20="","",COUNTIFS('Liste AT'!$E$7:$E$165,A20,'Liste AT'!$AB$7:$AB$165,"=oui"))</f>
        <v>0</v>
      </c>
      <c r="T20" s="377"/>
      <c r="U20" s="377">
        <f>IF(A20="","",COUNTIFS('Liste AT'!$E$7:$E$165,A20,'Liste AT'!$K$7:$K$165,"=trajet",'Liste AT'!$L$7:$L$165,"=avec arrêt"))</f>
        <v>0</v>
      </c>
      <c r="V20" s="377"/>
      <c r="W20" s="504">
        <f>IF(A20="","",SUMIFS('Liste AT'!$P$7:$P$165,'Liste AT'!$E$7:$E$165,A20,'Liste AT'!$K$7:$K$165,"travail"))</f>
        <v>0</v>
      </c>
    </row>
    <row r="21" spans="1:23" x14ac:dyDescent="0.25">
      <c r="A21" s="402" t="str">
        <f>IF('Listes déroulantes'!A9="","",'Listes déroulantes'!A9)</f>
        <v>Secteur Merveilles - Littoral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55</v>
      </c>
      <c r="E21" s="407" t="str">
        <f>IF(A21="","",IFERROR(VLOOKUP(A21,'Liste AT'!$E$7:$E$165,1,FALSE),"NON"))</f>
        <v>NON</v>
      </c>
      <c r="F21" s="407">
        <f>IF(A21="","",COUNTIF('Liste AT'!$E$7:$E$165,E21))</f>
        <v>0</v>
      </c>
      <c r="G21" s="407">
        <f>IF(A21="","",SUMIF('Liste AT'!$E$7:$E$165,A21,'Liste AT'!$P$7:$P$165))</f>
        <v>0</v>
      </c>
      <c r="H21" s="493" t="e">
        <f t="shared" ca="1" si="7"/>
        <v>#N/A</v>
      </c>
      <c r="I21" s="493" t="e">
        <f t="shared" ca="1" si="8"/>
        <v>#N/A</v>
      </c>
      <c r="J21" s="407">
        <f>IF(A21="","",COUNTIFS('Liste AT'!$E$7:$E$165,A21,'Liste AT'!$L$7:$L$165,"avec arrêt"))</f>
        <v>0</v>
      </c>
      <c r="K21" s="407">
        <f t="shared" si="9"/>
        <v>0</v>
      </c>
      <c r="L21" s="492" t="e">
        <f t="shared" ca="1" si="10"/>
        <v>#N/A</v>
      </c>
      <c r="M21" s="282" t="e">
        <f t="shared" ca="1" si="5"/>
        <v>#N/A</v>
      </c>
      <c r="N21" s="282"/>
      <c r="O21" s="377">
        <f>IF(A21="","",MATCH(A21,Effectifs!$B$1:$B$37,0))</f>
        <v>10</v>
      </c>
      <c r="P21" s="377"/>
      <c r="Q21" s="377">
        <f>IF(A21="","",COUNTIFS('Liste AT'!$E$7:$E$165,A21,'Liste AT'!$K$7:$K$165,"=trajet"))</f>
        <v>0</v>
      </c>
      <c r="R21" s="504"/>
      <c r="S21" s="377">
        <f>IF(A21="","",COUNTIFS('Liste AT'!$E$7:$E$165,A21,'Liste AT'!$AB$7:$AB$165,"=oui"))</f>
        <v>0</v>
      </c>
      <c r="T21" s="377"/>
      <c r="U21" s="377">
        <f>IF(A21="","",COUNTIFS('Liste AT'!$E$7:$E$165,A21,'Liste AT'!$K$7:$K$165,"=trajet",'Liste AT'!$L$7:$L$165,"=avec arrêt"))</f>
        <v>0</v>
      </c>
      <c r="V21" s="377"/>
      <c r="W21" s="504">
        <f>IF(A21="","",SUMIFS('Liste AT'!$P$7:$P$165,'Liste AT'!$E$7:$E$165,A21,'Liste AT'!$K$7:$K$165,"travail"))</f>
        <v>0</v>
      </c>
    </row>
    <row r="22" spans="1:23" x14ac:dyDescent="0.25">
      <c r="A22" s="402" t="str">
        <f>IF('Listes déroulantes'!A17="","",'Listes déroulantes'!A17)</f>
        <v/>
      </c>
      <c r="B22" s="234" t="str">
        <f>IF(A22="","",VLOOKUP(A22,'Listes déroulantes'!$A$3:$B$55,2,FALSE ))</f>
        <v/>
      </c>
      <c r="C22" s="235" t="str">
        <f>IF(A22="","",IF(E22="NON", "01/01/2020",INDEX('Liste AT'!$I$1:$I$165,(MAX(IF('Liste AT'!$E$7:$E$165=A22,ROW('Liste AT'!$E$7:$E$165)))),1)))</f>
        <v/>
      </c>
      <c r="D22" s="236" t="str">
        <f t="shared" ca="1" si="6"/>
        <v/>
      </c>
      <c r="E22" s="407" t="str">
        <f>IF(A22="","",IFERROR(VLOOKUP(A22,'Liste AT'!$E$7:$E$165,1,FALSE),"NON"))</f>
        <v/>
      </c>
      <c r="F22" s="407" t="str">
        <f>IF(A22="","",COUNTIF('Liste AT'!$E$7:$E$165,E22))</f>
        <v/>
      </c>
      <c r="G22" s="407" t="str">
        <f>IF(A22="","",SUMIF('Liste AT'!$E$7:$E$165,A22,'Liste AT'!$P$7:$P$165))</f>
        <v/>
      </c>
      <c r="H22" s="237" t="str">
        <f t="shared" ref="H22:H41" si="11">IF(A22="","",J22*1000000/(M22*(1607*$X$1/12)))</f>
        <v/>
      </c>
      <c r="I22" s="237" t="str">
        <f t="shared" ref="I22:I41" si="12">IF(A22="","",W22*1000/(M22*(1607*$X$1/12)))</f>
        <v/>
      </c>
      <c r="J22" s="407" t="str">
        <f>IF(A22="","",COUNTIFS('Liste AT'!$E$7:$E$165,A22,'Liste AT'!$L$7:$L$165,"avec arrêt"))</f>
        <v/>
      </c>
      <c r="K22" s="407" t="str">
        <f t="shared" si="9"/>
        <v/>
      </c>
      <c r="L22" s="282" t="str">
        <f t="shared" ref="L22:L41" si="13">IF(A22="","",(J22-U22)*1000000/(M22*(1607*$X$1/12)))</f>
        <v/>
      </c>
      <c r="M22" s="282" t="str">
        <f t="shared" ca="1" si="5"/>
        <v/>
      </c>
      <c r="N22" s="282"/>
      <c r="O22" s="377" t="str">
        <f>IF(A22="","",MATCH(A22,Effectifs!$B$1:$B$37,0))</f>
        <v/>
      </c>
      <c r="P22" s="377"/>
      <c r="Q22" s="377" t="str">
        <f>IF(A22="","",COUNTIFS('Liste AT'!$E$7:$E$165,A22,'Liste AT'!$K$7:$K$165,"=trajet"))</f>
        <v/>
      </c>
      <c r="R22" s="504"/>
      <c r="S22" s="377" t="str">
        <f>IF(A22="","",COUNTIFS('Liste AT'!$E$7:$E$165,A22,'Liste AT'!$AB$7:$AB$165,"=oui"))</f>
        <v/>
      </c>
      <c r="T22" s="377"/>
      <c r="U22" s="377" t="str">
        <f>IF(A22="","",COUNTIFS('Liste AT'!$E$7:$E$165,A22,'Liste AT'!$K$7:$K$165,"=trajet",'Liste AT'!$L$7:$L$165,"=avec arrêt"))</f>
        <v/>
      </c>
      <c r="V22" s="377"/>
      <c r="W22" s="504" t="str">
        <f>IF(A22="","",SUMIFS('Liste AT'!$P$7:$P$165,'Liste AT'!$E$7:$E$165,A22,'Liste AT'!$K$7:$K$165,"travail"))</f>
        <v/>
      </c>
    </row>
    <row r="23" spans="1:23" x14ac:dyDescent="0.25">
      <c r="A23" s="402" t="str">
        <f>IF('Listes déroulantes'!A18="","",'Listes déroulantes'!A18)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07" t="str">
        <f>IF(A23="","",IFERROR(VLOOKUP(A23,'Liste AT'!$E$7:$E$165,1,FALSE),"NON"))</f>
        <v/>
      </c>
      <c r="F23" s="407" t="str">
        <f>IF(A23="","",COUNTIF('Liste AT'!$E$7:$E$165,E23))</f>
        <v/>
      </c>
      <c r="G23" s="407" t="str">
        <f>IF(A23="","",SUMIF('Liste AT'!$E$7:$E$165,A23,'Liste AT'!$P$7:$P$165))</f>
        <v/>
      </c>
      <c r="H23" s="237" t="str">
        <f t="shared" si="11"/>
        <v/>
      </c>
      <c r="I23" s="237" t="str">
        <f t="shared" si="12"/>
        <v/>
      </c>
      <c r="J23" s="407" t="str">
        <f>IF(A23="","",COUNTIFS('Liste AT'!$E$7:$E$165,A23,'Liste AT'!$L$7:$L$165,"avec arrêt"))</f>
        <v/>
      </c>
      <c r="K23" s="407" t="str">
        <f t="shared" si="9"/>
        <v/>
      </c>
      <c r="L23" s="282" t="str">
        <f t="shared" si="13"/>
        <v/>
      </c>
      <c r="M23" s="282" t="str">
        <f t="shared" ca="1" si="5"/>
        <v/>
      </c>
      <c r="N23" s="282"/>
      <c r="O23" s="377" t="str">
        <f>IF(A23="","",MATCH(A23,Effectifs!$B$1:$B$37,0))</f>
        <v/>
      </c>
      <c r="P23" s="377"/>
      <c r="Q23" s="377" t="str">
        <f>IF(A23="","",COUNTIFS('Liste AT'!$E$7:$E$165,A23,'Liste AT'!$K$7:$K$165,"=trajet"))</f>
        <v/>
      </c>
      <c r="R23" s="504"/>
      <c r="S23" s="377" t="str">
        <f>IF(A23="","",COUNTIFS('Liste AT'!$E$7:$E$165,A23,'Liste AT'!$AB$7:$AB$165,"=oui"))</f>
        <v/>
      </c>
      <c r="T23" s="377"/>
      <c r="U23" s="377" t="str">
        <f>IF(A23="","",COUNTIFS('Liste AT'!$E$7:$E$165,A23,'Liste AT'!$K$7:$K$165,"=trajet",'Liste AT'!$L$7:$L$165,"=avec arrêt"))</f>
        <v/>
      </c>
      <c r="V23" s="377"/>
      <c r="W23" s="504" t="str">
        <f>IF(A23="","",SUMIFS('Liste AT'!$P$7:$P$165,'Liste AT'!$E$7:$E$165,A23,'Liste AT'!$K$7:$K$165,"travail"))</f>
        <v/>
      </c>
    </row>
    <row r="24" spans="1:23" x14ac:dyDescent="0.25">
      <c r="A24" s="402" t="str">
        <f>IF('Listes déroulantes'!A19="","",'Listes déroulantes'!A19)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07" t="str">
        <f>IF(A24="","",IFERROR(VLOOKUP(A24,'Liste AT'!$E$7:$E$165,1,FALSE),"NON"))</f>
        <v/>
      </c>
      <c r="F24" s="407" t="str">
        <f>IF(A24="","",COUNTIF('Liste AT'!$E$7:$E$165,E24))</f>
        <v/>
      </c>
      <c r="G24" s="407" t="str">
        <f>IF(A24="","",SUMIF('Liste AT'!$E$7:$E$165,A24,'Liste AT'!$P$7:$P$165))</f>
        <v/>
      </c>
      <c r="H24" s="237" t="str">
        <f t="shared" si="11"/>
        <v/>
      </c>
      <c r="I24" s="237" t="str">
        <f t="shared" si="12"/>
        <v/>
      </c>
      <c r="J24" s="407" t="str">
        <f>IF(A24="","",COUNTIFS('Liste AT'!$E$7:$E$165,A24,'Liste AT'!$L$7:$L$165,"avec arrêt"))</f>
        <v/>
      </c>
      <c r="K24" s="407" t="str">
        <f t="shared" si="9"/>
        <v/>
      </c>
      <c r="L24" s="282" t="str">
        <f t="shared" si="13"/>
        <v/>
      </c>
      <c r="M24" s="282" t="str">
        <f t="shared" ca="1" si="5"/>
        <v/>
      </c>
      <c r="N24" s="282"/>
      <c r="O24" s="377" t="str">
        <f>IF(A24="","",MATCH(A24,Effectifs!$B$1:$B$37,0))</f>
        <v/>
      </c>
      <c r="P24" s="377"/>
      <c r="Q24" s="377" t="str">
        <f>IF(A24="","",COUNTIFS('Liste AT'!$E$7:$E$165,A24,'Liste AT'!$K$7:$K$165,"=trajet"))</f>
        <v/>
      </c>
      <c r="R24" s="504"/>
      <c r="S24" s="377" t="str">
        <f>IF(A24="","",COUNTIFS('Liste AT'!$E$7:$E$165,A24,'Liste AT'!$AB$7:$AB$165,"=oui"))</f>
        <v/>
      </c>
      <c r="T24" s="377"/>
      <c r="U24" s="377" t="str">
        <f>IF(A24="","",COUNTIFS('Liste AT'!$E$7:$E$165,A24,'Liste AT'!$K$7:$K$165,"=trajet",'Liste AT'!$L$7:$L$165,"=avec arrêt"))</f>
        <v/>
      </c>
      <c r="V24" s="377"/>
      <c r="W24" s="504" t="str">
        <f>IF(A24="","",SUMIFS('Liste AT'!$P$7:$P$165,'Liste AT'!$E$7:$E$165,A24,'Liste AT'!$K$7:$K$165,"travail"))</f>
        <v/>
      </c>
    </row>
    <row r="25" spans="1:23" x14ac:dyDescent="0.25">
      <c r="A25" s="402" t="str">
        <f>IF('Listes déroulantes'!A20="","",'Listes déroulantes'!A20)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07" t="str">
        <f>IF(A25="","",IFERROR(VLOOKUP(A25,'Liste AT'!$E$7:$E$165,1,FALSE),"NON"))</f>
        <v/>
      </c>
      <c r="F25" s="407" t="str">
        <f>IF(A25="","",COUNTIF('Liste AT'!$E$7:$E$165,E25))</f>
        <v/>
      </c>
      <c r="G25" s="407" t="str">
        <f>IF(A25="","",SUMIF('Liste AT'!$E$7:$E$165,A25,'Liste AT'!$P$7:$P$165))</f>
        <v/>
      </c>
      <c r="H25" s="237" t="str">
        <f t="shared" si="11"/>
        <v/>
      </c>
      <c r="I25" s="237" t="str">
        <f t="shared" si="12"/>
        <v/>
      </c>
      <c r="J25" s="407" t="str">
        <f>IF(A25="","",COUNTIFS('Liste AT'!$E$7:$E$165,A25,'Liste AT'!$L$7:$L$165,"avec arrêt"))</f>
        <v/>
      </c>
      <c r="K25" s="407" t="str">
        <f t="shared" si="9"/>
        <v/>
      </c>
      <c r="L25" s="282" t="str">
        <f t="shared" si="13"/>
        <v/>
      </c>
      <c r="M25" s="282" t="str">
        <f t="shared" ca="1" si="5"/>
        <v/>
      </c>
      <c r="N25" s="282"/>
      <c r="O25" s="377" t="str">
        <f>IF(A25="","",MATCH(A25,Effectifs!$B$1:$B$37,0))</f>
        <v/>
      </c>
      <c r="P25" s="377"/>
      <c r="Q25" s="377" t="str">
        <f>IF(A25="","",COUNTIFS('Liste AT'!$E$7:$E$165,A25,'Liste AT'!$K$7:$K$165,"=trajet"))</f>
        <v/>
      </c>
      <c r="R25" s="504"/>
      <c r="S25" s="377" t="str">
        <f>IF(A25="","",COUNTIFS('Liste AT'!$E$7:$E$165,A25,'Liste AT'!$AB$7:$AB$165,"=oui"))</f>
        <v/>
      </c>
      <c r="T25" s="377"/>
      <c r="U25" s="377" t="str">
        <f>IF(A25="","",COUNTIFS('Liste AT'!$E$7:$E$165,A25,'Liste AT'!$K$7:$K$165,"=trajet",'Liste AT'!$L$7:$L$165,"=avec arrêt"))</f>
        <v/>
      </c>
      <c r="V25" s="377"/>
      <c r="W25" s="504" t="str">
        <f>IF(A25="","",SUMIFS('Liste AT'!$P$7:$P$165,'Liste AT'!$E$7:$E$165,A25,'Liste AT'!$K$7:$K$165,"travail"))</f>
        <v/>
      </c>
    </row>
    <row r="26" spans="1:23" x14ac:dyDescent="0.25">
      <c r="A26" s="402" t="str">
        <f>IF('Listes déroulantes'!A22="","",'Listes déroulantes'!A22)</f>
        <v>RH</v>
      </c>
      <c r="B26" s="234" t="str">
        <f>IF(A26="","",VLOOKUP(A26,'Listes déroulantes'!$A$3:$B$55,2,FALSE ))</f>
        <v>Siège</v>
      </c>
      <c r="C26" s="235" t="str">
        <f>IF(A26="","",IF(E26="NON", "01/01/2020",INDEX('Liste AT'!$I$1:$I$165,(MAX(IF('Liste AT'!$E$7:$E$165=A26,ROW('Liste AT'!$E$7:$E$165)))),1)))</f>
        <v>01/01/2020</v>
      </c>
      <c r="D26" s="236">
        <f t="shared" ca="1" si="6"/>
        <v>55</v>
      </c>
      <c r="E26" s="407" t="str">
        <f>IF(A26="","",IFERROR(VLOOKUP(A26,'Liste AT'!$E$7:$E$165,1,FALSE),"NON"))</f>
        <v>NON</v>
      </c>
      <c r="F26" s="407">
        <f>IF(A26="","",COUNTIF('Liste AT'!$E$7:$E$165,E26))</f>
        <v>0</v>
      </c>
      <c r="G26" s="407">
        <f>IF(A26="","",SUMIF('Liste AT'!$E$7:$E$165,A26,'Liste AT'!$P$7:$P$165))</f>
        <v>0</v>
      </c>
      <c r="H26" s="237" t="e">
        <f t="shared" ca="1" si="11"/>
        <v>#N/A</v>
      </c>
      <c r="I26" s="237" t="e">
        <f t="shared" ca="1" si="12"/>
        <v>#N/A</v>
      </c>
      <c r="J26" s="407">
        <f>IF(A26="","",COUNTIFS('Liste AT'!$E$7:$E$165,A26,'Liste AT'!$L$7:$L$165,"avec arrêt"))</f>
        <v>0</v>
      </c>
      <c r="K26" s="407">
        <f t="shared" si="9"/>
        <v>0</v>
      </c>
      <c r="L26" s="282" t="e">
        <f t="shared" ca="1" si="13"/>
        <v>#N/A</v>
      </c>
      <c r="M26" s="282" t="e">
        <f t="shared" ca="1" si="5"/>
        <v>#N/A</v>
      </c>
      <c r="N26" s="282"/>
      <c r="O26" s="377">
        <f>IF(A26="","",MATCH(A26,Effectifs!$B$1:$B$37,0))</f>
        <v>23</v>
      </c>
      <c r="P26" s="377"/>
      <c r="Q26" s="377">
        <f>IF(A26="","",COUNTIFS('Liste AT'!$E$7:$E$165,A26,'Liste AT'!$K$7:$K$165,"=trajet"))</f>
        <v>0</v>
      </c>
      <c r="R26" s="504"/>
      <c r="S26" s="377">
        <f>IF(A26="","",COUNTIFS('Liste AT'!$E$7:$E$165,A26,'Liste AT'!$AB$7:$AB$165,"=oui"))</f>
        <v>0</v>
      </c>
      <c r="T26" s="377"/>
      <c r="U26" s="377">
        <f>IF(A26="","",COUNTIFS('Liste AT'!$E$7:$E$165,A26,'Liste AT'!$K$7:$K$165,"=trajet",'Liste AT'!$L$7:$L$165,"=avec arrêt"))</f>
        <v>0</v>
      </c>
      <c r="V26" s="377"/>
      <c r="W26" s="504">
        <f>IF(A26="","",SUMIFS('Liste AT'!$P$7:$P$165,'Liste AT'!$E$7:$E$165,A26,'Liste AT'!$K$7:$K$165,"travail"))</f>
        <v>0</v>
      </c>
    </row>
    <row r="27" spans="1:23" x14ac:dyDescent="0.25">
      <c r="A27" s="402" t="str">
        <f>IF('Listes déroulantes'!A23="","",'Listes déroulantes'!A23)</f>
        <v>RSC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55</v>
      </c>
      <c r="E27" s="407" t="str">
        <f>IF(A27="","",IFERROR(VLOOKUP(A27,'Liste AT'!$E$7:$E$165,1,FALSE),"NON"))</f>
        <v>NON</v>
      </c>
      <c r="F27" s="407">
        <f>IF(A27="","",COUNTIF('Liste AT'!$E$7:$E$165,E27))</f>
        <v>0</v>
      </c>
      <c r="G27" s="407">
        <f>IF(A27="","",SUMIF('Liste AT'!$E$7:$E$165,A27,'Liste AT'!$P$7:$P$165))</f>
        <v>0</v>
      </c>
      <c r="H27" s="237" t="e">
        <f t="shared" ca="1" si="11"/>
        <v>#N/A</v>
      </c>
      <c r="I27" s="237" t="e">
        <f t="shared" ca="1" si="12"/>
        <v>#N/A</v>
      </c>
      <c r="J27" s="407">
        <f>IF(A27="","",COUNTIFS('Liste AT'!$E$7:$E$165,A27,'Liste AT'!$L$7:$L$165,"avec arrêt"))</f>
        <v>0</v>
      </c>
      <c r="K27" s="407">
        <f t="shared" si="9"/>
        <v>0</v>
      </c>
      <c r="L27" s="282" t="e">
        <f t="shared" ca="1" si="13"/>
        <v>#N/A</v>
      </c>
      <c r="M27" s="282" t="e">
        <f t="shared" ca="1" si="5"/>
        <v>#N/A</v>
      </c>
      <c r="N27" s="282"/>
      <c r="O27" s="377">
        <f>IF(A27="","",MATCH(A27,Effectifs!$B$1:$B$37,0))</f>
        <v>24</v>
      </c>
      <c r="P27" s="377"/>
      <c r="Q27" s="377">
        <f>IF(A27="","",COUNTIFS('Liste AT'!$E$7:$E$165,A27,'Liste AT'!$K$7:$K$165,"=trajet"))</f>
        <v>0</v>
      </c>
      <c r="R27" s="504"/>
      <c r="S27" s="377">
        <f>IF(A27="","",COUNTIFS('Liste AT'!$E$7:$E$165,A27,'Liste AT'!$AB$7:$AB$165,"=oui"))</f>
        <v>0</v>
      </c>
      <c r="T27" s="377"/>
      <c r="U27" s="377">
        <f>IF(A27="","",COUNTIFS('Liste AT'!$E$7:$E$165,A27,'Liste AT'!$K$7:$K$165,"=trajet",'Liste AT'!$L$7:$L$165,"=avec arrêt"))</f>
        <v>0</v>
      </c>
      <c r="V27" s="377"/>
      <c r="W27" s="504">
        <f>IF(A27="","",SUMIFS('Liste AT'!$P$7:$P$165,'Liste AT'!$E$7:$E$165,A27,'Liste AT'!$K$7:$K$165,"travail"))</f>
        <v>0</v>
      </c>
    </row>
    <row r="28" spans="1:23" x14ac:dyDescent="0.25">
      <c r="A28" s="402" t="str">
        <f>IF('Listes déroulantes'!A24="","",'Listes déroulantes'!A24)</f>
        <v>DUO</v>
      </c>
      <c r="B28" s="234" t="str">
        <f>IF(A28="","",VLOOKUP(A28,'Listes déroulantes'!$A$3:$B$55,2,FALSE ))</f>
        <v>Siège</v>
      </c>
      <c r="C28" s="235">
        <f>IF(A28="","",IF(E28="NON", "01/01/2020",INDEX('Liste AT'!$I$1:$I$165,(MAX(IF('Liste AT'!$E$7:$E$165=A28,ROW('Liste AT'!$E$7:$E$165)))),1)))</f>
        <v>0</v>
      </c>
      <c r="D28" s="236">
        <f t="shared" ca="1" si="6"/>
        <v>43886</v>
      </c>
      <c r="E28" s="407" t="str">
        <f>IF(A28="","",IFERROR(VLOOKUP(A28,'Liste AT'!$E$7:$E$165,1,FALSE),"NON"))</f>
        <v>DUO</v>
      </c>
      <c r="F28" s="407">
        <f>IF(A28="","",COUNTIF('Liste AT'!$E$7:$E$165,E28))</f>
        <v>1</v>
      </c>
      <c r="G28" s="407">
        <f>IF(A28="","",SUMIF('Liste AT'!$E$7:$E$165,A28,'Liste AT'!$P$7:$P$165))</f>
        <v>0</v>
      </c>
      <c r="H28" s="237" t="e">
        <f t="shared" ca="1" si="11"/>
        <v>#N/A</v>
      </c>
      <c r="I28" s="237" t="e">
        <f t="shared" ca="1" si="12"/>
        <v>#N/A</v>
      </c>
      <c r="J28" s="407">
        <f>IF(A28="","",COUNTIFS('Liste AT'!$E$7:$E$165,A28,'Liste AT'!$L$7:$L$165,"avec arrêt"))</f>
        <v>0</v>
      </c>
      <c r="K28" s="407">
        <f t="shared" si="9"/>
        <v>1</v>
      </c>
      <c r="L28" s="282" t="e">
        <f t="shared" ca="1" si="13"/>
        <v>#N/A</v>
      </c>
      <c r="M28" s="282" t="e">
        <f t="shared" ca="1" si="5"/>
        <v>#N/A</v>
      </c>
      <c r="N28" s="282"/>
      <c r="O28" s="377">
        <f>IF(A28="","",MATCH(A28,Effectifs!$B$1:$B$37,0))</f>
        <v>25</v>
      </c>
      <c r="P28" s="377"/>
      <c r="Q28" s="377">
        <f>IF(A28="","",COUNTIFS('Liste AT'!$E$7:$E$165,A28,'Liste AT'!$K$7:$K$165,"=trajet"))</f>
        <v>1</v>
      </c>
      <c r="R28" s="504"/>
      <c r="S28" s="377">
        <f ca="1">IF(A28="","",COUNTIFS('Liste AT'!$E$7:$E$165,A28,'Liste AT'!$AB$7:$AB$165,"=oui"))</f>
        <v>1</v>
      </c>
      <c r="T28" s="377"/>
      <c r="U28" s="377">
        <f>IF(A28="","",COUNTIFS('Liste AT'!$E$7:$E$165,A28,'Liste AT'!$K$7:$K$165,"=trajet",'Liste AT'!$L$7:$L$165,"=avec arrêt"))</f>
        <v>0</v>
      </c>
      <c r="V28" s="377"/>
      <c r="W28" s="504">
        <f>IF(A28="","",SUMIFS('Liste AT'!$P$7:$P$165,'Liste AT'!$E$7:$E$165,A28,'Liste AT'!$K$7:$K$165,"travail"))</f>
        <v>0</v>
      </c>
    </row>
    <row r="29" spans="1:23" x14ac:dyDescent="0.25">
      <c r="A29" s="402" t="str">
        <f>IF('Listes déroulantes'!A25="","",'Listes déroulantes'!A25)</f>
        <v/>
      </c>
      <c r="B29" s="234" t="str">
        <f>IF(A29="","",VLOOKUP(A29,'Listes déroulantes'!$A$3:$B$55,2,FALSE ))</f>
        <v/>
      </c>
      <c r="C29" s="235" t="str">
        <f>IF(A29="","",IF(E29="NON", "01/01/2020",INDEX('Liste AT'!$I$1:$I$165,(MAX(IF('Liste AT'!$E$7:$E$165=A29,ROW('Liste AT'!$E$7:$E$165)))),1)))</f>
        <v/>
      </c>
      <c r="D29" s="236" t="str">
        <f t="shared" ca="1" si="6"/>
        <v/>
      </c>
      <c r="E29" s="407" t="str">
        <f>IF(A29="","",IFERROR(VLOOKUP(A29,'Liste AT'!$E$7:$E$165,1,FALSE),"NON"))</f>
        <v/>
      </c>
      <c r="F29" s="407" t="str">
        <f>IF(A29="","",COUNTIF('Liste AT'!$E$7:$E$165,E29))</f>
        <v/>
      </c>
      <c r="G29" s="407" t="str">
        <f>IF(A29="","",SUMIF('Liste AT'!$E$7:$E$165,A29,'Liste AT'!$O$7:$O$165))</f>
        <v/>
      </c>
      <c r="H29" s="237" t="str">
        <f t="shared" si="11"/>
        <v/>
      </c>
      <c r="I29" s="237" t="str">
        <f t="shared" si="12"/>
        <v/>
      </c>
      <c r="J29" s="407" t="str">
        <f>IF(A29="","",COUNTIFS('Liste AT'!$E$7:$E$165,A29,'Liste AT'!$L$7:$L$165,"avec arrêt"))</f>
        <v/>
      </c>
      <c r="K29" s="407" t="str">
        <f t="shared" si="9"/>
        <v/>
      </c>
      <c r="L29" s="282" t="str">
        <f t="shared" si="13"/>
        <v/>
      </c>
      <c r="M29" s="282" t="str">
        <f t="shared" ca="1" si="5"/>
        <v/>
      </c>
      <c r="N29" s="282"/>
      <c r="O29" s="377" t="str">
        <f>IF(A29="","",MATCH(A29,Effectifs!$B$1:$B$37,0))</f>
        <v/>
      </c>
      <c r="P29" s="377"/>
      <c r="Q29" s="377" t="str">
        <f>IF(A29="","",COUNTIFS('Liste AT'!$E$7:$E$165,A29,'Liste AT'!$K$7:$K$165,"=trajet"))</f>
        <v/>
      </c>
      <c r="R29" s="504"/>
      <c r="S29" s="377" t="str">
        <f>IF(A29="","",COUNTIFS('Liste AT'!$E$7:$E$165,A29,'Liste AT'!$AB$7:$AB$165,"=oui"))</f>
        <v/>
      </c>
      <c r="T29" s="377"/>
      <c r="U29" s="377" t="str">
        <f>IF(A29="","",COUNTIFS('Liste AT'!$E$7:$E$165,A29,'Liste AT'!$K$7:$K$165,"=trajet",'Liste AT'!$L$7:$L$165,"=avec arrêt"))</f>
        <v/>
      </c>
      <c r="V29" s="377"/>
      <c r="W29" s="377" t="str">
        <f>IF(A29="","",SUMIFS('Liste AT'!$O$7:$O$165,'Liste AT'!$E$7:$E$165,A29,'Liste AT'!$K$7:$K$165,"travail"))</f>
        <v/>
      </c>
    </row>
    <row r="30" spans="1:23" x14ac:dyDescent="0.25">
      <c r="A30" s="402" t="str">
        <f>IF('Listes déroulantes'!A26="","",'Listes déroulantes'!A26)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07" t="str">
        <f>IF(A30="","",IFERROR(VLOOKUP(A30,'Liste AT'!$E$7:$E$165,1,FALSE),"NON"))</f>
        <v/>
      </c>
      <c r="F30" s="407" t="str">
        <f>IF(A30="","",COUNTIF('Liste AT'!$E$7:$E$165,E30))</f>
        <v/>
      </c>
      <c r="G30" s="407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07" t="str">
        <f>IF(A30="","",COUNTIFS('Liste AT'!$E$7:$E$165,A30,'Liste AT'!$L$7:$L$165,"avec arrêt"))</f>
        <v/>
      </c>
      <c r="K30" s="407" t="str">
        <f t="shared" si="9"/>
        <v/>
      </c>
      <c r="L30" s="282" t="str">
        <f t="shared" si="13"/>
        <v/>
      </c>
      <c r="M30" s="282" t="str">
        <f t="shared" ca="1" si="5"/>
        <v/>
      </c>
      <c r="N30" s="282"/>
      <c r="O30" s="377" t="str">
        <f>IF(A30="","",MATCH(A30,Effectifs!$B$1:$B$37,0))</f>
        <v/>
      </c>
      <c r="P30" s="377"/>
      <c r="Q30" s="377" t="str">
        <f>IF(A30="","",COUNTIFS('Liste AT'!$E$7:$E$165,A30,'Liste AT'!$K$7:$K$165,"=trajet"))</f>
        <v/>
      </c>
      <c r="R30" s="504"/>
      <c r="S30" s="377" t="str">
        <f>IF(A30="","",COUNTIFS('Liste AT'!$E$7:$E$165,A30,'Liste AT'!$AB$7:$AB$165,"=oui"))</f>
        <v/>
      </c>
      <c r="T30" s="377"/>
      <c r="U30" s="377" t="str">
        <f>IF(A30="","",COUNTIFS('Liste AT'!$E$7:$E$165,A30,'Liste AT'!$K$7:$K$165,"=trajet",'Liste AT'!$L$7:$L$165,"=avec arrêt"))</f>
        <v/>
      </c>
      <c r="V30" s="377"/>
      <c r="W30" s="377" t="str">
        <f>IF(A30="","",SUMIFS('Liste AT'!$O$7:$O$165,'Liste AT'!$E$7:$E$165,A30,'Liste AT'!$K$7:$K$165,"travail"))</f>
        <v/>
      </c>
    </row>
    <row r="31" spans="1:23" x14ac:dyDescent="0.25">
      <c r="A31" s="402" t="str">
        <f>IF('Listes déroulantes'!A27="","",'Listes déroulantes'!A27)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07" t="str">
        <f>IF(A31="","",IFERROR(VLOOKUP(A31,'Liste AT'!$E$7:$E$165,1,FALSE),"NON"))</f>
        <v/>
      </c>
      <c r="F31" s="407" t="str">
        <f>IF(A31="","",COUNTIF('Liste AT'!$E$7:$E$165,E31))</f>
        <v/>
      </c>
      <c r="G31" s="407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07" t="str">
        <f>IF(A31="","",COUNTIFS('Liste AT'!$E$7:$E$165,A31,'Liste AT'!$L$7:$L$165,"avec arrêt"))</f>
        <v/>
      </c>
      <c r="K31" s="407" t="str">
        <f t="shared" si="9"/>
        <v/>
      </c>
      <c r="L31" s="282" t="str">
        <f t="shared" si="13"/>
        <v/>
      </c>
      <c r="M31" s="282" t="str">
        <f t="shared" ca="1" si="5"/>
        <v/>
      </c>
      <c r="N31" s="282"/>
      <c r="O31" s="377" t="str">
        <f>IF(A31="","",MATCH(A31,Effectifs!$B$1:$B$37,0))</f>
        <v/>
      </c>
      <c r="P31" s="377"/>
      <c r="Q31" s="377" t="str">
        <f>IF(A31="","",COUNTIFS('Liste AT'!$E$7:$E$165,A31,'Liste AT'!$K$7:$K$165,"=trajet"))</f>
        <v/>
      </c>
      <c r="R31" s="504"/>
      <c r="S31" s="377" t="str">
        <f>IF(A31="","",COUNTIFS('Liste AT'!$E$7:$E$165,A31,'Liste AT'!$AB$7:$AB$165,"=oui"))</f>
        <v/>
      </c>
      <c r="T31" s="377"/>
      <c r="U31" s="377" t="str">
        <f>IF(A31="","",COUNTIFS('Liste AT'!$E$7:$E$165,A31,'Liste AT'!$K$7:$K$165,"=trajet",'Liste AT'!$L$7:$L$165,"=avec arrêt"))</f>
        <v/>
      </c>
      <c r="V31" s="377"/>
      <c r="W31" s="377" t="str">
        <f>IF(A31="","",SUMIFS('Liste AT'!$O$7:$O$165,'Liste AT'!$E$7:$E$165,A31,'Liste AT'!$K$7:$K$165,"travail"))</f>
        <v/>
      </c>
    </row>
    <row r="32" spans="1:23" x14ac:dyDescent="0.25">
      <c r="A32" s="402" t="str">
        <f>IF('Listes déroulantes'!A28="","",'Listes déroulantes'!A28)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07" t="str">
        <f>IF(A32="","",IFERROR(VLOOKUP(A32,'Liste AT'!$E$7:$E$165,1,FALSE),"NON"))</f>
        <v/>
      </c>
      <c r="F32" s="407" t="str">
        <f>IF(A32="","",COUNTIF('Liste AT'!$E$7:$E$165,E32))</f>
        <v/>
      </c>
      <c r="G32" s="407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07" t="str">
        <f>IF(A32="","",COUNTIFS('Liste AT'!$E$7:$E$165,A32,'Liste AT'!$L$7:$L$165,"avec arrêt"))</f>
        <v/>
      </c>
      <c r="K32" s="407" t="str">
        <f t="shared" si="9"/>
        <v/>
      </c>
      <c r="L32" s="282" t="str">
        <f t="shared" si="13"/>
        <v/>
      </c>
      <c r="M32" s="282" t="str">
        <f t="shared" ca="1" si="5"/>
        <v/>
      </c>
      <c r="N32" s="282"/>
      <c r="O32" s="377" t="str">
        <f>IF(A32="","",MATCH(A32,Effectifs!$B$1:$B$37,0))</f>
        <v/>
      </c>
      <c r="P32" s="377"/>
      <c r="Q32" s="377" t="str">
        <f>IF(A32="","",COUNTIFS('Liste AT'!$E$7:$E$165,A32,'Liste AT'!$K$7:$K$165,"=trajet"))</f>
        <v/>
      </c>
      <c r="R32" s="504"/>
      <c r="S32" s="377" t="str">
        <f>IF(A32="","",COUNTIFS('Liste AT'!$E$7:$E$165,A32,'Liste AT'!$AB$7:$AB$165,"=oui"))</f>
        <v/>
      </c>
      <c r="T32" s="377"/>
      <c r="U32" s="377" t="str">
        <f>IF(A32="","",COUNTIFS('Liste AT'!$E$7:$E$165,A32,'Liste AT'!$K$7:$K$165,"=trajet",'Liste AT'!$L$7:$L$165,"=avec arrêt"))</f>
        <v/>
      </c>
      <c r="V32" s="377"/>
      <c r="W32" s="377" t="str">
        <f>IF(A32="","",SUMIFS('Liste AT'!$O$7:$O$165,'Liste AT'!$E$7:$E$165,A32,'Liste AT'!$K$7:$K$165,"travail"))</f>
        <v/>
      </c>
    </row>
    <row r="33" spans="1:23" x14ac:dyDescent="0.25">
      <c r="A33" s="402" t="str">
        <f>IF('Listes déroulantes'!A29="","",'Listes déroulantes'!A29)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07" t="str">
        <f>IF(A33="","",IFERROR(VLOOKUP(A33,'Liste AT'!$E$7:$E$165,1,FALSE),"NON"))</f>
        <v/>
      </c>
      <c r="F33" s="407" t="str">
        <f>IF(A33="","",COUNTIF('Liste AT'!$E$7:$E$165,E33))</f>
        <v/>
      </c>
      <c r="G33" s="407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07" t="str">
        <f>IF(A33="","",COUNTIFS('Liste AT'!$E$7:$E$165,A33,'Liste AT'!$L$7:$L$165,"avec arrêt"))</f>
        <v/>
      </c>
      <c r="K33" s="407" t="str">
        <f t="shared" si="9"/>
        <v/>
      </c>
      <c r="L33" s="282" t="str">
        <f t="shared" si="13"/>
        <v/>
      </c>
      <c r="M33" s="282" t="str">
        <f t="shared" ca="1" si="5"/>
        <v/>
      </c>
      <c r="N33" s="282"/>
      <c r="O33" s="377" t="str">
        <f>IF(A33="","",MATCH(A33,Effectifs!$B$1:$B$37,0))</f>
        <v/>
      </c>
      <c r="P33" s="377"/>
      <c r="Q33" s="377" t="str">
        <f>IF(A33="","",COUNTIFS('Liste AT'!$E$7:$E$165,A33,'Liste AT'!$K$7:$K$165,"=trajet"))</f>
        <v/>
      </c>
      <c r="R33" s="504"/>
      <c r="S33" s="377" t="str">
        <f>IF(A33="","",COUNTIFS('Liste AT'!$E$7:$E$165,A33,'Liste AT'!$AB$7:$AB$165,"=oui"))</f>
        <v/>
      </c>
      <c r="T33" s="377"/>
      <c r="U33" s="377" t="str">
        <f>IF(A33="","",COUNTIFS('Liste AT'!$E$7:$E$165,A33,'Liste AT'!$K$7:$K$165,"=trajet",'Liste AT'!$L$7:$L$165,"=avec arrêt"))</f>
        <v/>
      </c>
      <c r="V33" s="377"/>
      <c r="W33" s="377" t="str">
        <f>IF(A33="","",SUMIFS('Liste AT'!$O$7:$O$165,'Liste AT'!$E$7:$E$165,A33,'Liste AT'!$K$7:$K$165,"travail"))</f>
        <v/>
      </c>
    </row>
    <row r="34" spans="1:23" ht="21.75" customHeight="1" x14ac:dyDescent="0.25">
      <c r="A34" s="402" t="str">
        <f>IF('Listes déroulantes'!A30="","",'Listes déroulantes'!A30)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07" t="str">
        <f>IF(A34="","",IFERROR(VLOOKUP(A34,'Liste AT'!$E$7:$E$165,1,FALSE),"NON"))</f>
        <v/>
      </c>
      <c r="F34" s="407" t="str">
        <f>IF(A34="","",COUNTIF('Liste AT'!$E$7:$E$165,E34))</f>
        <v/>
      </c>
      <c r="G34" s="407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07" t="str">
        <f>IF(A34="","",COUNTIFS('Liste AT'!$E$7:$E$165,A34,'Liste AT'!$L$7:$L$165,"avec arrêt"))</f>
        <v/>
      </c>
      <c r="K34" s="407" t="str">
        <f t="shared" si="9"/>
        <v/>
      </c>
      <c r="L34" s="282" t="str">
        <f t="shared" si="13"/>
        <v/>
      </c>
      <c r="M34" s="282" t="str">
        <f t="shared" ca="1" si="5"/>
        <v/>
      </c>
      <c r="N34" s="282"/>
      <c r="O34" s="377" t="str">
        <f>IF(A34="","",MATCH(A34,Effectifs!$B$1:$B$37,0))</f>
        <v/>
      </c>
      <c r="P34" s="377"/>
      <c r="Q34" s="377" t="str">
        <f>IF(A34="","",COUNTIFS('Liste AT'!$E$7:$E$165,A34,'Liste AT'!$K$7:$K$165,"=trajet"))</f>
        <v/>
      </c>
      <c r="R34" s="504"/>
      <c r="S34" s="377" t="str">
        <f>IF(A34="","",COUNTIFS('Liste AT'!$E$7:$E$165,A34,'Liste AT'!$AB$7:$AB$165,"=oui"))</f>
        <v/>
      </c>
      <c r="T34" s="377"/>
      <c r="U34" s="377" t="str">
        <f>IF(A34="","",COUNTIFS('Liste AT'!$E$7:$E$165,A34,'Liste AT'!$K$7:$K$165,"=trajet",'Liste AT'!$L$7:$L$165,"=avec arrêt"))</f>
        <v/>
      </c>
      <c r="V34" s="377"/>
      <c r="W34" s="377" t="str">
        <f>IF(A34="","",SUMIFS('Liste AT'!$O$7:$O$165,'Liste AT'!$E$7:$E$165,A34,'Liste AT'!$K$7:$K$165,"travail"))</f>
        <v/>
      </c>
    </row>
    <row r="35" spans="1:23" x14ac:dyDescent="0.25">
      <c r="A35" s="402" t="str">
        <f>IF('Listes déroulantes'!A31="","",'Listes déroulantes'!A31)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07" t="str">
        <f>IF(A35="","",IFERROR(VLOOKUP(A35,'Liste AT'!$E$7:$E$165,1,FALSE),"NON"))</f>
        <v/>
      </c>
      <c r="F35" s="407" t="str">
        <f>IF(A35="","",COUNTIF('Liste AT'!$E$7:$E$165,E35))</f>
        <v/>
      </c>
      <c r="G35" s="407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07" t="str">
        <f>IF(A35="","",COUNTIFS('Liste AT'!$E$7:$E$165,A35,'Liste AT'!$L$7:$L$165,"avec arrêt"))</f>
        <v/>
      </c>
      <c r="K35" s="407" t="str">
        <f t="shared" si="9"/>
        <v/>
      </c>
      <c r="L35" s="282" t="str">
        <f t="shared" si="13"/>
        <v/>
      </c>
      <c r="M35" s="282" t="str">
        <f t="shared" ca="1" si="5"/>
        <v/>
      </c>
      <c r="N35" s="282"/>
      <c r="O35" s="377" t="str">
        <f>IF(A35="","",MATCH(A35,Effectifs!$B$1:$B$37,0))</f>
        <v/>
      </c>
      <c r="P35" s="377"/>
      <c r="Q35" s="377" t="str">
        <f>IF(A35="","",COUNTIFS('Liste AT'!$E$7:$E$165,A35,'Liste AT'!$K$7:$K$165,"=trajet"))</f>
        <v/>
      </c>
      <c r="R35" s="504"/>
      <c r="S35" s="377" t="str">
        <f>IF(A35="","",COUNTIFS('Liste AT'!$E$7:$E$165,A35,'Liste AT'!$AB$7:$AB$165,"=oui"))</f>
        <v/>
      </c>
      <c r="T35" s="377"/>
      <c r="U35" s="377" t="str">
        <f>IF(A35="","",COUNTIFS('Liste AT'!$E$7:$E$165,A35,'Liste AT'!$K$7:$K$165,"=trajet",'Liste AT'!$L$7:$L$165,"=avec arrêt"))</f>
        <v/>
      </c>
      <c r="V35" s="377"/>
      <c r="W35" s="377" t="str">
        <f>IF(A35="","",SUMIFS('Liste AT'!$O$7:$O$165,'Liste AT'!$E$7:$E$165,A35,'Liste AT'!$K$7:$K$165,"travail"))</f>
        <v/>
      </c>
    </row>
    <row r="36" spans="1:23" x14ac:dyDescent="0.25">
      <c r="A36" s="402" t="str">
        <f>IF('Listes déroulantes'!A32="","",'Listes déroulantes'!A32)</f>
        <v/>
      </c>
      <c r="B36" s="234" t="str">
        <f>IF(A36="","",VLOOKUP(A36,'Listes déroulantes'!$A$3:$B$55,2,FALSE ))</f>
        <v/>
      </c>
      <c r="C36" s="235" t="str">
        <f t="array" ref="C36">IF(A36="","",IF(E36="NON", "01/01/2018",INDEX('Liste AT'!$I$1:$I$165,(MAX(IF('Liste AT'!$E$7:$E$165=A36,ROW('Liste AT'!$E$7:$E$165)))),1)))</f>
        <v/>
      </c>
      <c r="D36" s="236" t="str">
        <f t="shared" ca="1" si="6"/>
        <v/>
      </c>
      <c r="E36" s="407" t="str">
        <f>IF(A36="","",IFERROR(VLOOKUP(A36,'Liste AT'!$E$7:$E$165,1,FALSE),"NON"))</f>
        <v/>
      </c>
      <c r="F36" s="407" t="str">
        <f>IF(A36="","",COUNTIF('Liste AT'!$E$7:$E$165,E36))</f>
        <v/>
      </c>
      <c r="G36" s="407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07" t="str">
        <f>IF(A36="","",COUNTIFS('Liste AT'!$E$7:$E$165,A36,'Liste AT'!$L$7:$L$165,"avec arrêt"))</f>
        <v/>
      </c>
      <c r="K36" s="407" t="str">
        <f t="shared" si="9"/>
        <v/>
      </c>
      <c r="L36" s="282" t="str">
        <f t="shared" si="13"/>
        <v/>
      </c>
      <c r="M36" s="282" t="str">
        <f t="shared" ca="1" si="5"/>
        <v/>
      </c>
      <c r="N36" s="282"/>
      <c r="O36" s="377" t="str">
        <f>IF(A36="","",MATCH(A36,Effectifs!$B$1:$B$37,0))</f>
        <v/>
      </c>
      <c r="P36" s="377"/>
      <c r="Q36" s="377" t="str">
        <f>IF(A36="","",COUNTIFS('Liste AT'!$E$7:$E$165,A36,'Liste AT'!$K$7:$K$165,"=trajet"))</f>
        <v/>
      </c>
      <c r="R36" s="504"/>
      <c r="S36" s="377" t="str">
        <f>IF(A36="","",COUNTIFS('Liste AT'!$E$7:$E$165,A36,'Liste AT'!$AB$7:$AB$165,"=oui"))</f>
        <v/>
      </c>
      <c r="T36" s="377"/>
      <c r="U36" s="377" t="str">
        <f>IF(A36="","",COUNTIFS('Liste AT'!$E$7:$E$165,A36,'Liste AT'!$K$7:$K$165,"=trajet",'Liste AT'!$L$7:$L$165,"=avec arrêt"))</f>
        <v/>
      </c>
      <c r="V36" s="377"/>
      <c r="W36" s="377" t="str">
        <f>IF(A36="","",SUMIFS('Liste AT'!$O$7:$O$165,'Liste AT'!$E$7:$E$165,A36,'Liste AT'!$K$7:$K$165,"travail"))</f>
        <v/>
      </c>
    </row>
    <row r="37" spans="1:23" x14ac:dyDescent="0.25">
      <c r="A37" s="402" t="str">
        <f>IF('Listes déroulantes'!A33="","",'Listes déroulantes'!A33)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07" t="str">
        <f>IF(A37="","",IFERROR(VLOOKUP(A37,'Liste AT'!$E$7:$E$165,1,FALSE),"NON"))</f>
        <v/>
      </c>
      <c r="F37" s="407" t="str">
        <f>IF(A37="","",COUNTIF('Liste AT'!$E$7:$E$165,E37))</f>
        <v/>
      </c>
      <c r="G37" s="407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07" t="str">
        <f>IF(A37="","",COUNTIFS('Liste AT'!$E$7:$E$165,A37,'Liste AT'!$L$7:$L$165,"avec arrêt"))</f>
        <v/>
      </c>
      <c r="K37" s="407" t="str">
        <f t="shared" si="9"/>
        <v/>
      </c>
      <c r="L37" s="282" t="str">
        <f t="shared" si="13"/>
        <v/>
      </c>
      <c r="M37" s="282" t="str">
        <f t="shared" ca="1" si="5"/>
        <v/>
      </c>
      <c r="N37" s="282"/>
      <c r="O37" s="377" t="str">
        <f>IF(A37="","",MATCH(A37,Effectifs!$B$1:$B$37,0))</f>
        <v/>
      </c>
      <c r="P37" s="377"/>
      <c r="Q37" s="377" t="str">
        <f>IF(A37="","",COUNTIFS('Liste AT'!$E$7:$E$165,A37,'Liste AT'!$K$7:$K$165,"=trajet"))</f>
        <v/>
      </c>
      <c r="R37" s="504"/>
      <c r="S37" s="377" t="str">
        <f>IF(A37="","",COUNTIFS('Liste AT'!$E$7:$E$165,A37,'Liste AT'!$AB$7:$AB$165,"=oui"))</f>
        <v/>
      </c>
      <c r="T37" s="377"/>
      <c r="U37" s="377" t="str">
        <f>IF(A37="","",COUNTIFS('Liste AT'!$E$7:$E$165,A37,'Liste AT'!$K$7:$K$165,"=trajet",'Liste AT'!$L$7:$L$165,"=avec arrêt"))</f>
        <v/>
      </c>
      <c r="V37" s="377"/>
      <c r="W37" s="377" t="str">
        <f>IF(A37="","",SUMIFS('Liste AT'!$O$7:$O$165,'Liste AT'!$E$7:$E$165,A37,'Liste AT'!$K$7:$K$165,"travail"))</f>
        <v/>
      </c>
    </row>
    <row r="38" spans="1:23" x14ac:dyDescent="0.25">
      <c r="A38" s="402" t="str">
        <f>IF('Listes déroulantes'!A34="","",'Listes déroulantes'!A34)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07" t="str">
        <f>IF(A38="","",IFERROR(VLOOKUP(A38,'Liste AT'!$E$7:$E$165,1,FALSE),"NON"))</f>
        <v/>
      </c>
      <c r="F38" s="407" t="str">
        <f>IF(A38="","",COUNTIF('Liste AT'!$E$7:$E$165,E38))</f>
        <v/>
      </c>
      <c r="G38" s="407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07" t="str">
        <f>IF(A38="","",COUNTIFS('Liste AT'!$E$7:$E$165,A38,'Liste AT'!$L$7:$L$165,"avec arrêt"))</f>
        <v/>
      </c>
      <c r="K38" s="407" t="str">
        <f t="shared" si="9"/>
        <v/>
      </c>
      <c r="L38" s="282" t="str">
        <f t="shared" si="13"/>
        <v/>
      </c>
      <c r="M38" s="282" t="str">
        <f t="shared" ca="1" si="5"/>
        <v/>
      </c>
      <c r="N38" s="282"/>
      <c r="O38" s="377" t="str">
        <f>IF(A38="","",MATCH(A38,Effectifs!$B$1:$B$37,0))</f>
        <v/>
      </c>
      <c r="P38" s="377"/>
      <c r="Q38" s="377" t="str">
        <f>IF(A38="","",COUNTIFS('Liste AT'!$E$7:$E$165,A38,'Liste AT'!$K$7:$K$165,"=trajet"))</f>
        <v/>
      </c>
      <c r="R38" s="504"/>
      <c r="S38" s="377" t="str">
        <f>IF(A38="","",COUNTIFS('Liste AT'!$E$7:$E$165,A38,'Liste AT'!$AB$7:$AB$165,"=oui"))</f>
        <v/>
      </c>
      <c r="T38" s="377"/>
      <c r="U38" s="377" t="str">
        <f>IF(A38="","",COUNTIFS('Liste AT'!$E$7:$E$165,A38,'Liste AT'!$K$7:$K$165,"=trajet",'Liste AT'!$L$7:$L$165,"=avec arrêt"))</f>
        <v/>
      </c>
      <c r="V38" s="377"/>
      <c r="W38" s="377" t="str">
        <f>IF(A38="","",SUMIFS('Liste AT'!$O$7:$O$165,'Liste AT'!$E$7:$E$165,A38,'Liste AT'!$K$7:$K$165,"travail"))</f>
        <v/>
      </c>
    </row>
    <row r="39" spans="1:23" x14ac:dyDescent="0.25">
      <c r="A39" s="402" t="str">
        <f>IF('Listes déroulantes'!A35="","",'Listes déroulantes'!A35)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07" t="str">
        <f>IF(A39="","",IFERROR(VLOOKUP(A39,'Liste AT'!$E$7:$E$165,1,FALSE),"NON"))</f>
        <v/>
      </c>
      <c r="F39" s="407" t="str">
        <f>IF(A39="","",COUNTIF('Liste AT'!$E$7:$E$165,E39))</f>
        <v/>
      </c>
      <c r="G39" s="407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07" t="str">
        <f>IF(A39="","",COUNTIFS('Liste AT'!$E$7:$E$165,A39,'Liste AT'!$L$7:$L$165,"avec arrêt"))</f>
        <v/>
      </c>
      <c r="K39" s="407" t="str">
        <f t="shared" si="9"/>
        <v/>
      </c>
      <c r="L39" s="282" t="str">
        <f t="shared" si="13"/>
        <v/>
      </c>
      <c r="M39" s="282" t="str">
        <f t="shared" ca="1" si="5"/>
        <v/>
      </c>
      <c r="N39" s="282"/>
      <c r="O39" s="377" t="str">
        <f>IF(A39="","",MATCH(A39,Effectifs!$B$1:$B$37,0))</f>
        <v/>
      </c>
      <c r="P39" s="377"/>
      <c r="Q39" s="377" t="str">
        <f>IF(A39="","",COUNTIFS('Liste AT'!$E$7:$E$165,A39,'Liste AT'!$K$7:$K$165,"=trajet"))</f>
        <v/>
      </c>
      <c r="R39" s="504"/>
      <c r="S39" s="377" t="str">
        <f>IF(A39="","",COUNTIFS('Liste AT'!$E$7:$E$165,A39,'Liste AT'!$AB$7:$AB$165,"=oui"))</f>
        <v/>
      </c>
      <c r="T39" s="377"/>
      <c r="U39" s="377" t="str">
        <f>IF(A39="","",COUNTIFS('Liste AT'!$E$7:$E$165,A39,'Liste AT'!$K$7:$K$165,"=trajet",'Liste AT'!$L$7:$L$165,"=avec arrêt"))</f>
        <v/>
      </c>
      <c r="V39" s="377"/>
      <c r="W39" s="377" t="str">
        <f>IF(A39="","",SUMIFS('Liste AT'!$O$7:$O$165,'Liste AT'!$E$7:$E$165,A39,'Liste AT'!$K$7:$K$165,"travail"))</f>
        <v/>
      </c>
    </row>
    <row r="40" spans="1:23" x14ac:dyDescent="0.25">
      <c r="A40" s="402" t="str">
        <f>IF('Listes déroulantes'!A36="","",'Listes déroulantes'!A36)</f>
        <v/>
      </c>
      <c r="B40" s="97"/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07" t="str">
        <f>IF(A40="","",IFERROR(VLOOKUP(A40,'Liste AT'!$E$7:$E$165,1,FALSE),"NON"))</f>
        <v/>
      </c>
      <c r="F40" s="407" t="str">
        <f>IF(A40="","",COUNTIF('Liste AT'!$E$7:$E$165,E40))</f>
        <v/>
      </c>
      <c r="G40" s="407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07" t="str">
        <f>IF(A40="","",COUNTIFS('Liste AT'!$E$7:$E$165,A40,'Liste AT'!$L$7:$L$165,"avec arrêt"))</f>
        <v/>
      </c>
      <c r="K40" s="407" t="str">
        <f t="shared" si="9"/>
        <v/>
      </c>
      <c r="L40" s="282" t="str">
        <f t="shared" si="13"/>
        <v/>
      </c>
      <c r="M40" s="282" t="str">
        <f t="shared" ca="1" si="5"/>
        <v/>
      </c>
      <c r="N40" s="282"/>
      <c r="O40" s="377" t="str">
        <f>IF(A40="","",MATCH(A40,Effectifs!$B$1:$B$37,0))</f>
        <v/>
      </c>
      <c r="P40" s="377"/>
      <c r="Q40" s="377" t="str">
        <f>IF(A40="","",COUNTIFS('Liste AT'!$E$7:$E$165,A40,'Liste AT'!$K$7:$K$165,"=trajet"))</f>
        <v/>
      </c>
      <c r="R40" s="504"/>
      <c r="S40" s="377" t="str">
        <f>IF(A40="","",COUNTIFS('Liste AT'!$E$7:$E$165,A40,'Liste AT'!$AB$7:$AB$165,"=oui"))</f>
        <v/>
      </c>
      <c r="T40" s="377"/>
      <c r="U40" s="377" t="str">
        <f>IF(A40="","",COUNTIFS('Liste AT'!$E$7:$E$165,A40,'Liste AT'!$K$7:$K$165,"=trajet",'Liste AT'!$L$7:$L$165,"=avec arrêt"))</f>
        <v/>
      </c>
      <c r="V40" s="377"/>
      <c r="W40" s="377" t="str">
        <f>IF(A40="","",SUMIFS('Liste AT'!$O$7:$O$165,'Liste AT'!$E$7:$E$165,A40,'Liste AT'!$K$7:$K$165,"travail"))</f>
        <v/>
      </c>
    </row>
    <row r="41" spans="1:23" x14ac:dyDescent="0.25">
      <c r="A41" s="402" t="str">
        <f>IF('Listes déroulantes'!A37="","",'Listes déroulantes'!A37)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07" t="str">
        <f>IF(A41="","",IFERROR(VLOOKUP(A41,'Liste AT'!$E$7:$E$165,1,FALSE),"NON"))</f>
        <v/>
      </c>
      <c r="F41" s="407" t="str">
        <f>IF(A41="","",COUNTIF('Liste AT'!$E$7:$E$165,E41))</f>
        <v/>
      </c>
      <c r="G41" s="407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07" t="str">
        <f>IF(A41="","",COUNTIFS('Liste AT'!$E$7:$E$165,A41,'Liste AT'!$L$7:$L$165,"avec arrêt"))</f>
        <v/>
      </c>
      <c r="K41" s="407" t="str">
        <f t="shared" si="9"/>
        <v/>
      </c>
      <c r="L41" s="282" t="str">
        <f t="shared" si="13"/>
        <v/>
      </c>
      <c r="M41" s="282" t="str">
        <f t="shared" ca="1" si="5"/>
        <v/>
      </c>
      <c r="N41" s="282"/>
      <c r="O41" s="377" t="str">
        <f>IF(A41="","",MATCH(A41,Effectifs!$B$1:$B$37,0))</f>
        <v/>
      </c>
      <c r="P41" s="377"/>
      <c r="Q41" s="377" t="str">
        <f>IF(A41="","",COUNTIFS('Liste AT'!$E$7:$E$165,A41,'Liste AT'!$K$7:$K$165,"=trajet"))</f>
        <v/>
      </c>
      <c r="R41" s="504"/>
      <c r="S41" s="377" t="str">
        <f>IF(A41="","",COUNTIFS('Liste AT'!$E$7:$E$165,A41,'Liste AT'!$AB$7:$AB$165,"=oui"))</f>
        <v/>
      </c>
      <c r="T41" s="377"/>
      <c r="U41" s="377"/>
      <c r="V41" s="377"/>
      <c r="W41" s="377">
        <f>SUMIFS('Liste AT'!$O$7:$O$165,'Liste AT'!$F$7:$F$165,A41,'Liste AT'!$K$7:$K$165,"travail")</f>
        <v>0</v>
      </c>
    </row>
    <row r="42" spans="1:23" x14ac:dyDescent="0.25">
      <c r="A42" s="402" t="str">
        <f>IF('Listes déroulantes'!A38="","",'Listes déroulantes'!A38)</f>
        <v/>
      </c>
      <c r="B42" s="97"/>
      <c r="C42" s="97"/>
      <c r="D42" s="97"/>
      <c r="E42" s="407"/>
      <c r="F42" s="407"/>
      <c r="G42" s="407"/>
      <c r="H42" s="97"/>
      <c r="I42" s="97"/>
      <c r="J42" s="407"/>
      <c r="K42" s="407"/>
      <c r="L42" s="282"/>
      <c r="M42" s="97"/>
      <c r="N42" s="282"/>
      <c r="O42" s="377"/>
      <c r="P42" s="377"/>
      <c r="Q42" s="377"/>
      <c r="R42" s="504"/>
      <c r="S42" s="377"/>
      <c r="T42" s="377"/>
      <c r="U42" s="377"/>
      <c r="V42" s="377"/>
      <c r="W42" s="377">
        <f>SUMIFS('Liste AT'!$O$7:$O$165,'Liste AT'!$F$7:$F$165,A42,'Liste AT'!$K$7:$K$165,"travail")</f>
        <v>0</v>
      </c>
    </row>
    <row r="43" spans="1:23" x14ac:dyDescent="0.25">
      <c r="A43" s="402" t="str">
        <f>IF('Listes déroulantes'!A39="","",'Listes déroulantes'!A39)</f>
        <v/>
      </c>
      <c r="B43" s="97"/>
      <c r="C43" s="97"/>
      <c r="D43" s="97"/>
      <c r="E43" s="407"/>
      <c r="F43" s="407"/>
      <c r="G43" s="407"/>
      <c r="H43" s="97"/>
      <c r="I43" s="97"/>
      <c r="J43" s="407"/>
      <c r="K43" s="407"/>
      <c r="L43" s="282"/>
      <c r="M43" s="97"/>
      <c r="N43" s="282"/>
      <c r="O43" s="377"/>
      <c r="P43" s="377"/>
      <c r="Q43" s="377"/>
      <c r="R43" s="504"/>
      <c r="S43" s="377"/>
      <c r="T43" s="377"/>
      <c r="U43" s="377"/>
      <c r="V43" s="377"/>
      <c r="W43" s="377">
        <f>SUMIFS('Liste AT'!$O$7:$O$165,'Liste AT'!$F$7:$F$165,A43,'Liste AT'!$K$7:$K$165,"travail")</f>
        <v>0</v>
      </c>
    </row>
    <row r="44" spans="1:23" x14ac:dyDescent="0.25">
      <c r="A44" s="402"/>
      <c r="B44" s="97"/>
      <c r="C44" s="97"/>
      <c r="D44" s="97"/>
      <c r="E44" s="407"/>
      <c r="F44" s="407"/>
      <c r="G44" s="407"/>
      <c r="H44" s="97"/>
      <c r="I44" s="97"/>
      <c r="J44" s="407"/>
      <c r="K44" s="407"/>
      <c r="L44" s="282"/>
      <c r="M44" s="97"/>
      <c r="N44" s="282"/>
      <c r="O44" s="377"/>
      <c r="P44" s="377"/>
      <c r="Q44" s="377"/>
      <c r="R44" s="504"/>
      <c r="S44" s="377"/>
      <c r="T44" s="377"/>
      <c r="U44" s="377"/>
      <c r="V44" s="377"/>
      <c r="W44" s="377">
        <f>SUMIFS('Liste AT'!$O$7:$O$165,'Liste AT'!$F$7:$F$165,A44,'Liste AT'!$K$7:$K$165,"travail")</f>
        <v>0</v>
      </c>
    </row>
    <row r="45" spans="1:23" x14ac:dyDescent="0.25">
      <c r="A45" s="404"/>
      <c r="B45" s="97"/>
      <c r="C45" s="97"/>
      <c r="D45" s="97"/>
      <c r="E45" s="407"/>
      <c r="F45" s="407"/>
      <c r="G45" s="407"/>
      <c r="H45" s="97"/>
      <c r="I45" s="97"/>
      <c r="J45" s="407"/>
      <c r="K45" s="407"/>
      <c r="L45" s="282"/>
      <c r="M45" s="97"/>
      <c r="N45" s="282"/>
      <c r="O45" s="377"/>
      <c r="P45" s="377"/>
      <c r="Q45" s="377"/>
      <c r="R45" s="504"/>
      <c r="S45" s="377"/>
      <c r="T45" s="377"/>
      <c r="U45" s="377"/>
      <c r="V45" s="377"/>
      <c r="W45" s="377">
        <f>SUMIFS('Liste AT'!$O$7:$O$165,'Liste AT'!$F$7:$F$165,A45,'Liste AT'!$K$7:$K$165,"travail")</f>
        <v>0</v>
      </c>
    </row>
    <row r="46" spans="1:23" x14ac:dyDescent="0.25">
      <c r="A46" s="404"/>
      <c r="B46" s="97"/>
      <c r="C46" s="97"/>
      <c r="D46" s="97"/>
      <c r="E46" s="407"/>
      <c r="F46" s="407"/>
      <c r="G46" s="407"/>
      <c r="H46" s="97"/>
      <c r="I46" s="97"/>
      <c r="J46" s="407"/>
      <c r="K46" s="407"/>
      <c r="L46" s="282"/>
      <c r="M46" s="97"/>
      <c r="N46" s="282"/>
      <c r="O46" s="377"/>
      <c r="P46" s="377"/>
      <c r="Q46" s="377"/>
      <c r="R46" s="504"/>
      <c r="S46" s="377"/>
      <c r="T46" s="377"/>
      <c r="U46" s="377"/>
      <c r="V46" s="377"/>
      <c r="W46" s="377">
        <f>SUMIFS('Liste AT'!$O$7:$O$165,'Liste AT'!$F$7:$F$165,A46,'Liste AT'!$K$7:$K$165,"travail")</f>
        <v>0</v>
      </c>
    </row>
    <row r="47" spans="1:23" x14ac:dyDescent="0.25">
      <c r="A47" s="404"/>
      <c r="B47" s="97"/>
      <c r="C47" s="97"/>
      <c r="D47" s="97"/>
      <c r="E47" s="407"/>
      <c r="F47" s="407"/>
      <c r="G47" s="407"/>
      <c r="H47" s="97"/>
      <c r="I47" s="97"/>
      <c r="J47" s="407"/>
      <c r="K47" s="407"/>
      <c r="L47" s="282"/>
      <c r="M47" s="97"/>
      <c r="N47" s="282"/>
      <c r="O47" s="377"/>
      <c r="P47" s="377"/>
      <c r="Q47" s="377"/>
      <c r="R47" s="504"/>
      <c r="S47" s="377"/>
      <c r="T47" s="377"/>
      <c r="U47" s="377"/>
      <c r="V47" s="377"/>
      <c r="W47" s="377">
        <f>SUMIFS('Liste AT'!$O$7:$O$165,'Liste AT'!$F$7:$F$165,A47,'Liste AT'!$K$7:$K$165,"travail")</f>
        <v>0</v>
      </c>
    </row>
    <row r="48" spans="1:23" x14ac:dyDescent="0.25">
      <c r="A48" s="404"/>
      <c r="B48" s="97"/>
      <c r="C48" s="97"/>
      <c r="D48" s="97"/>
      <c r="E48" s="407"/>
      <c r="F48" s="407"/>
      <c r="G48" s="407"/>
      <c r="H48" s="97"/>
      <c r="I48" s="97"/>
      <c r="J48" s="407"/>
      <c r="K48" s="407"/>
      <c r="L48" s="282"/>
      <c r="M48" s="97"/>
      <c r="N48" s="282"/>
      <c r="O48" s="377"/>
      <c r="P48" s="377"/>
      <c r="Q48" s="377"/>
      <c r="R48" s="504"/>
      <c r="S48" s="377"/>
      <c r="T48" s="377"/>
      <c r="U48" s="377"/>
      <c r="V48" s="377"/>
      <c r="W48" s="377">
        <f>SUMIFS('Liste AT'!$O$7:$O$165,'Liste AT'!$F$7:$F$165,A48,'Liste AT'!$K$7:$K$165,"travail")</f>
        <v>0</v>
      </c>
    </row>
    <row r="49" spans="1:23" x14ac:dyDescent="0.25">
      <c r="A49" s="404"/>
      <c r="B49" s="97"/>
      <c r="C49" s="97"/>
      <c r="D49" s="97"/>
      <c r="E49" s="407"/>
      <c r="F49" s="407"/>
      <c r="G49" s="407"/>
      <c r="H49" s="97"/>
      <c r="I49" s="97"/>
      <c r="J49" s="407"/>
      <c r="K49" s="407"/>
      <c r="L49" s="282"/>
      <c r="M49" s="97"/>
      <c r="N49" s="282"/>
      <c r="O49" s="377"/>
      <c r="P49" s="377"/>
      <c r="Q49" s="377"/>
      <c r="R49" s="504"/>
      <c r="S49" s="377"/>
      <c r="T49" s="377"/>
      <c r="U49" s="377"/>
      <c r="V49" s="377"/>
      <c r="W49" s="377">
        <f>SUMIFS('Liste AT'!$O$7:$O$165,'Liste AT'!$F$7:$F$165,A49,'Liste AT'!$K$7:$K$165,"travail")</f>
        <v>0</v>
      </c>
    </row>
    <row r="50" spans="1:23" x14ac:dyDescent="0.25">
      <c r="A50" s="404"/>
      <c r="B50" s="97"/>
      <c r="C50" s="97"/>
      <c r="D50" s="97"/>
      <c r="E50" s="407"/>
      <c r="F50" s="407"/>
      <c r="G50" s="407"/>
      <c r="H50" s="97"/>
      <c r="I50" s="97"/>
      <c r="J50" s="407"/>
      <c r="K50" s="407"/>
      <c r="L50" s="282"/>
      <c r="M50" s="97"/>
      <c r="N50" s="282"/>
      <c r="O50" s="377"/>
      <c r="P50" s="377"/>
      <c r="Q50" s="377"/>
      <c r="R50" s="504"/>
      <c r="S50" s="377"/>
      <c r="T50" s="377"/>
      <c r="U50" s="377"/>
      <c r="V50" s="377"/>
      <c r="W50" s="377">
        <f>SUMIFS('Liste AT'!$O$7:$O$165,'Liste AT'!$F$7:$F$165,A50,'Liste AT'!$K$7:$K$165,"travail")</f>
        <v>0</v>
      </c>
    </row>
    <row r="51" spans="1:23" x14ac:dyDescent="0.25">
      <c r="A51" s="404"/>
      <c r="B51" s="97"/>
      <c r="C51" s="97"/>
      <c r="D51" s="97"/>
      <c r="E51" s="407"/>
      <c r="F51" s="407"/>
      <c r="G51" s="407"/>
      <c r="H51" s="97"/>
      <c r="I51" s="97"/>
      <c r="J51" s="407"/>
      <c r="K51" s="407"/>
      <c r="L51" s="282"/>
      <c r="M51" s="97"/>
      <c r="N51" s="282"/>
      <c r="O51" s="377"/>
      <c r="P51" s="377"/>
      <c r="Q51" s="377"/>
      <c r="R51" s="504"/>
      <c r="S51" s="377"/>
      <c r="T51" s="377"/>
      <c r="U51" s="377"/>
      <c r="V51" s="377"/>
      <c r="W51" s="377">
        <f>SUMIFS('Liste AT'!$O$7:$O$165,'Liste AT'!$F$7:$F$165,A51,'Liste AT'!$K$7:$K$165,"travail")</f>
        <v>0</v>
      </c>
    </row>
    <row r="52" spans="1:23" x14ac:dyDescent="0.25">
      <c r="A52" s="405" t="s">
        <v>910</v>
      </c>
      <c r="B52" s="238" t="e">
        <f>IF(A52="","",VLOOKUP(A52,'Listes déroulantes'!$A$3:$B$39,2,FALSE ))</f>
        <v>#N/A</v>
      </c>
      <c r="C52" s="239" t="e">
        <f>MAX(C2:C35)</f>
        <v>#VALUE!</v>
      </c>
      <c r="D52" s="225">
        <f ca="1">MIN(D2:D35)</f>
        <v>5</v>
      </c>
      <c r="E52" s="409"/>
      <c r="F52" s="409">
        <f>SUM(F2:F5)</f>
        <v>6</v>
      </c>
      <c r="G52" s="409">
        <f>SUM(G2:G5)</f>
        <v>15</v>
      </c>
      <c r="H52" s="225" t="e">
        <f ca="1">((J52-U52)*1000000/(M52*(1607*$X$1/12)))</f>
        <v>#N/A</v>
      </c>
      <c r="I52" s="225" t="e">
        <f ca="1">G52*1000/(M52*(1607*$X$1/12))</f>
        <v>#N/A</v>
      </c>
      <c r="J52" s="409">
        <f>SUM(J2:J5)</f>
        <v>2</v>
      </c>
      <c r="K52" s="409">
        <f>SUM(K2:K5)</f>
        <v>4</v>
      </c>
      <c r="L52" s="282" t="e">
        <f ca="1">(J52-U52)*1000000/(M52*(1607*$X$1/12))</f>
        <v>#N/A</v>
      </c>
      <c r="M52" s="225" t="e">
        <f ca="1">SUM(M2:M5)</f>
        <v>#N/A</v>
      </c>
      <c r="N52" s="370" t="e">
        <f ca="1">((J52-U52)*1000)/M52</f>
        <v>#N/A</v>
      </c>
      <c r="O52" s="411"/>
      <c r="P52" s="411"/>
      <c r="Q52" s="411"/>
      <c r="R52" s="508"/>
      <c r="S52" s="377" t="e">
        <f>DCOUNT('Liste AT'!$B$6:$AH$58,,#REF!)</f>
        <v>#REF!</v>
      </c>
      <c r="T52" s="377"/>
      <c r="U52" s="377">
        <f>COUNTIFS('Liste AT'!L7:L65,"avec arrêt",'Liste AT'!K7:K65,"trajet")</f>
        <v>1</v>
      </c>
      <c r="V52" s="377"/>
      <c r="W52" s="377">
        <f>SUM(W2:W5)</f>
        <v>8</v>
      </c>
    </row>
    <row r="53" spans="1:23" x14ac:dyDescent="0.25">
      <c r="A53" s="404"/>
      <c r="B53" s="97"/>
      <c r="C53" s="97"/>
      <c r="D53" s="97"/>
      <c r="E53" s="407"/>
      <c r="F53" s="407"/>
      <c r="G53" s="407"/>
      <c r="H53" s="97"/>
      <c r="I53" s="97"/>
      <c r="J53" s="407"/>
      <c r="K53" s="407"/>
      <c r="L53" s="97"/>
      <c r="M53" s="97"/>
      <c r="N53" s="282"/>
      <c r="O53" s="377"/>
      <c r="P53" s="377"/>
      <c r="Q53" s="377"/>
      <c r="R53" s="504"/>
      <c r="S53" s="377"/>
      <c r="T53" s="377"/>
      <c r="U53" s="377"/>
      <c r="V53" s="377"/>
      <c r="W53" s="377">
        <f>SUMIFS('Liste AT'!$O$7:$O$165,'Liste AT'!$F$7:$F$165,A53,'Liste AT'!$K$7:$K$165,"travail")</f>
        <v>0</v>
      </c>
    </row>
    <row r="54" spans="1:23" x14ac:dyDescent="0.25">
      <c r="A54" s="404"/>
      <c r="B54" s="97"/>
      <c r="C54" s="97"/>
      <c r="D54" s="97"/>
      <c r="E54" s="407"/>
      <c r="F54" s="407"/>
      <c r="G54" s="407"/>
      <c r="H54" s="97"/>
      <c r="I54" s="97"/>
      <c r="J54" s="407"/>
      <c r="K54" s="407"/>
      <c r="L54" s="97"/>
      <c r="M54" s="97"/>
      <c r="N54" s="282"/>
      <c r="O54" s="377"/>
      <c r="P54" s="377"/>
      <c r="Q54" s="377"/>
      <c r="R54" s="504"/>
      <c r="S54" s="377"/>
      <c r="T54" s="377"/>
      <c r="U54" s="377"/>
      <c r="V54" s="377"/>
      <c r="W54" s="377">
        <f>SUMIFS('Liste AT'!$O$7:$O$165,'Liste AT'!$F$7:$F$165,A54,'Liste AT'!$K$7:$K$165,"travail")</f>
        <v>0</v>
      </c>
    </row>
    <row r="55" spans="1:23" x14ac:dyDescent="0.25">
      <c r="A55" s="404"/>
      <c r="B55" s="97"/>
      <c r="C55" s="97"/>
      <c r="D55" s="97"/>
      <c r="E55" s="407"/>
      <c r="F55" s="407"/>
      <c r="G55" s="407"/>
      <c r="H55" s="97"/>
      <c r="I55" s="97"/>
      <c r="J55" s="407"/>
      <c r="K55" s="407"/>
      <c r="L55" s="97"/>
      <c r="M55" s="97"/>
      <c r="N55" s="282"/>
      <c r="O55" s="377"/>
      <c r="P55" s="377"/>
      <c r="Q55" s="377"/>
      <c r="R55" s="504"/>
      <c r="S55" s="377"/>
      <c r="T55" s="377"/>
      <c r="U55" s="377"/>
      <c r="V55" s="377"/>
      <c r="W55" s="377">
        <f>SUMIFS('Liste AT'!$O$7:$O$165,'Liste AT'!$F$7:$F$165,A55,'Liste AT'!$K$7:$K$165,"travail")</f>
        <v>0</v>
      </c>
    </row>
    <row r="56" spans="1:23" x14ac:dyDescent="0.25">
      <c r="A56" s="404"/>
      <c r="B56" s="97"/>
      <c r="C56" s="97"/>
      <c r="D56" s="97"/>
      <c r="E56" s="407"/>
      <c r="F56" s="407"/>
      <c r="G56" s="407"/>
      <c r="H56" s="97"/>
      <c r="I56" s="97"/>
      <c r="J56" s="407"/>
      <c r="K56" s="407"/>
      <c r="L56" s="97"/>
      <c r="M56" s="97"/>
      <c r="N56" s="282"/>
      <c r="O56" s="377"/>
      <c r="P56" s="377"/>
      <c r="Q56" s="377"/>
      <c r="R56" s="504"/>
      <c r="S56" s="377"/>
      <c r="T56" s="377"/>
      <c r="U56" s="377"/>
      <c r="V56" s="377"/>
      <c r="W56" s="377">
        <f>SUMIFS('Liste AT'!$O$7:$O$165,'Liste AT'!$F$7:$F$165,A56,'Liste AT'!$K$7:$K$165,"travail")</f>
        <v>0</v>
      </c>
    </row>
    <row r="57" spans="1:23" x14ac:dyDescent="0.25">
      <c r="A57" s="404"/>
      <c r="B57" s="97"/>
      <c r="C57" s="97"/>
      <c r="D57" s="97"/>
      <c r="E57" s="407"/>
      <c r="F57" s="407"/>
      <c r="G57" s="407"/>
      <c r="H57" s="97"/>
      <c r="I57" s="97"/>
      <c r="J57" s="407"/>
      <c r="K57" s="407"/>
      <c r="L57" s="97"/>
      <c r="M57" s="97"/>
      <c r="N57" s="282"/>
      <c r="O57" s="377"/>
      <c r="P57" s="377"/>
      <c r="Q57" s="377"/>
      <c r="R57" s="504"/>
      <c r="S57" s="377"/>
      <c r="T57" s="377"/>
      <c r="U57" s="377"/>
      <c r="V57" s="377"/>
      <c r="W57" s="377">
        <f>SUMIFS('Liste AT'!$O$7:$O$165,'Liste AT'!$F$7:$F$165,A57,'Liste AT'!$K$7:$K$165,"travail")</f>
        <v>0</v>
      </c>
    </row>
    <row r="58" spans="1:23" x14ac:dyDescent="0.25">
      <c r="A58" s="404"/>
      <c r="B58" s="97"/>
      <c r="C58" s="97"/>
      <c r="D58" s="97"/>
      <c r="E58" s="407"/>
      <c r="F58" s="407"/>
      <c r="G58" s="407"/>
      <c r="H58" s="97"/>
      <c r="I58" s="97"/>
      <c r="J58" s="407"/>
      <c r="K58" s="407"/>
      <c r="L58" s="97"/>
      <c r="M58" s="97"/>
      <c r="N58" s="282"/>
      <c r="O58" s="377"/>
      <c r="P58" s="377"/>
      <c r="Q58" s="377"/>
      <c r="R58" s="504"/>
      <c r="S58" s="377"/>
      <c r="T58" s="377"/>
      <c r="U58" s="377"/>
      <c r="V58" s="377"/>
      <c r="W58" s="377">
        <f>SUMIFS('Liste AT'!$O$7:$O$165,'Liste AT'!$F$7:$F$165,A58,'Liste AT'!$K$7:$K$165,"travail")</f>
        <v>0</v>
      </c>
    </row>
    <row r="59" spans="1:23" x14ac:dyDescent="0.25">
      <c r="A59" s="404"/>
      <c r="B59" s="97"/>
      <c r="C59" s="97"/>
      <c r="D59" s="97"/>
      <c r="E59" s="407"/>
      <c r="F59" s="407"/>
      <c r="G59" s="407"/>
      <c r="H59" s="97"/>
      <c r="I59" s="97"/>
      <c r="J59" s="407"/>
      <c r="K59" s="407"/>
      <c r="L59" s="97"/>
      <c r="M59" s="97"/>
      <c r="N59" s="282"/>
      <c r="O59" s="377"/>
      <c r="P59" s="377"/>
      <c r="Q59" s="377"/>
      <c r="R59" s="504"/>
      <c r="S59" s="377"/>
      <c r="T59" s="377"/>
      <c r="U59" s="377"/>
      <c r="V59" s="377"/>
      <c r="W59" s="377">
        <f>SUMIFS('Liste AT'!$O$7:$O$165,'Liste AT'!$F$7:$F$165,A59,'Liste AT'!$K$7:$K$165,"travail")</f>
        <v>0</v>
      </c>
    </row>
    <row r="60" spans="1:23" x14ac:dyDescent="0.25">
      <c r="A60" s="404"/>
      <c r="B60" s="97"/>
      <c r="C60" s="97"/>
      <c r="D60" s="97"/>
      <c r="E60" s="407"/>
      <c r="F60" s="407"/>
      <c r="G60" s="407"/>
      <c r="H60" s="97"/>
      <c r="I60" s="97"/>
      <c r="J60" s="407"/>
      <c r="K60" s="407"/>
      <c r="L60" s="97"/>
      <c r="M60" s="97"/>
      <c r="N60" s="282"/>
      <c r="O60" s="377"/>
      <c r="P60" s="377"/>
      <c r="Q60" s="377"/>
      <c r="R60" s="504"/>
      <c r="S60" s="377"/>
      <c r="T60" s="377"/>
      <c r="U60" s="377"/>
      <c r="V60" s="377"/>
      <c r="W60" s="377">
        <f>SUMIFS('Liste AT'!$O$7:$O$165,'Liste AT'!$F$7:$F$165,A60,'Liste AT'!$K$7:$K$165,"travail")</f>
        <v>0</v>
      </c>
    </row>
    <row r="61" spans="1:23" x14ac:dyDescent="0.25">
      <c r="A61" s="404"/>
      <c r="B61" s="97"/>
      <c r="C61" s="97"/>
      <c r="D61" s="97"/>
      <c r="E61" s="407"/>
      <c r="F61" s="407"/>
      <c r="G61" s="407"/>
      <c r="H61" s="97"/>
      <c r="I61" s="97"/>
      <c r="J61" s="407"/>
      <c r="K61" s="407"/>
      <c r="L61" s="97"/>
      <c r="M61" s="97"/>
      <c r="N61" s="282"/>
      <c r="O61" s="377"/>
      <c r="P61" s="377"/>
      <c r="Q61" s="377"/>
      <c r="R61" s="504"/>
      <c r="S61" s="377"/>
      <c r="T61" s="377"/>
      <c r="U61" s="377"/>
      <c r="V61" s="415"/>
      <c r="W61" s="378">
        <f>SUMIFS('Liste AT'!$O$7:$O$165,'Liste AT'!$F$7:$F$165,A61,'Liste AT'!$K$7:$K$165,"travail")</f>
        <v>0</v>
      </c>
    </row>
    <row r="62" spans="1:23" x14ac:dyDescent="0.25">
      <c r="A62" s="404"/>
      <c r="B62" s="97"/>
      <c r="C62" s="97"/>
      <c r="D62" s="97"/>
      <c r="E62" s="407"/>
      <c r="F62" s="407"/>
      <c r="G62" s="407"/>
      <c r="H62" s="97"/>
      <c r="I62" s="97"/>
      <c r="J62" s="407"/>
      <c r="K62" s="407"/>
      <c r="L62" s="97"/>
      <c r="M62" s="97"/>
      <c r="N62" s="282"/>
      <c r="O62" s="377"/>
      <c r="P62" s="377"/>
      <c r="Q62" s="377"/>
      <c r="R62" s="504"/>
      <c r="S62" s="377"/>
      <c r="T62" s="377"/>
      <c r="U62" s="377"/>
      <c r="V62" s="415"/>
      <c r="W62" s="378">
        <f>SUMIFS('Liste AT'!$O$7:$O$165,'Liste AT'!$F$7:$F$165,A62,'Liste AT'!$K$7:$K$165,"travail")</f>
        <v>0</v>
      </c>
    </row>
    <row r="63" spans="1:23" x14ac:dyDescent="0.25">
      <c r="A63" s="404"/>
      <c r="B63" s="97"/>
      <c r="C63" s="97"/>
      <c r="D63" s="97"/>
      <c r="E63" s="407"/>
      <c r="F63" s="407"/>
      <c r="G63" s="407"/>
      <c r="H63" s="97"/>
      <c r="I63" s="97"/>
      <c r="J63" s="407"/>
      <c r="K63" s="407"/>
      <c r="L63" s="97"/>
      <c r="M63" s="97"/>
      <c r="N63" s="282"/>
      <c r="O63" s="377"/>
      <c r="P63" s="377"/>
      <c r="Q63" s="377"/>
      <c r="R63" s="504"/>
      <c r="S63" s="377"/>
      <c r="T63" s="377"/>
      <c r="U63" s="377"/>
      <c r="V63" s="415"/>
      <c r="W63" s="378">
        <f>SUMIFS('Liste AT'!$O$7:$O$165,'Liste AT'!$F$7:$F$165,A63,'Liste AT'!$K$7:$K$165,"travail")</f>
        <v>0</v>
      </c>
    </row>
    <row r="64" spans="1:23" x14ac:dyDescent="0.25">
      <c r="A64" s="404"/>
      <c r="B64" s="97"/>
      <c r="C64" s="97"/>
      <c r="D64" s="97"/>
      <c r="E64" s="407"/>
      <c r="F64" s="407"/>
      <c r="G64" s="407"/>
      <c r="H64" s="97"/>
      <c r="I64" s="97"/>
      <c r="J64" s="407"/>
      <c r="K64" s="407"/>
      <c r="L64" s="97"/>
      <c r="M64" s="97"/>
      <c r="N64" s="282"/>
      <c r="O64" s="377"/>
      <c r="P64" s="377"/>
      <c r="Q64" s="377"/>
      <c r="R64" s="504"/>
      <c r="S64" s="377"/>
      <c r="T64" s="377"/>
      <c r="U64" s="377"/>
      <c r="V64" s="415"/>
      <c r="W64" s="378">
        <f>SUMIFS('Liste AT'!$O$7:$O$165,'Liste AT'!$F$7:$F$165,A64,'Liste AT'!$K$7:$K$165,"travail")</f>
        <v>0</v>
      </c>
    </row>
    <row r="65" spans="1:23" x14ac:dyDescent="0.25">
      <c r="A65" s="404"/>
      <c r="B65" s="97"/>
      <c r="C65" s="97"/>
      <c r="D65" s="97"/>
      <c r="E65" s="407"/>
      <c r="F65" s="407"/>
      <c r="G65" s="407"/>
      <c r="H65" s="97"/>
      <c r="I65" s="97"/>
      <c r="J65" s="407"/>
      <c r="K65" s="407"/>
      <c r="L65" s="97"/>
      <c r="M65" s="97"/>
      <c r="N65" s="282"/>
      <c r="O65" s="377"/>
      <c r="P65" s="377"/>
      <c r="Q65" s="377"/>
      <c r="R65" s="504"/>
      <c r="S65" s="377"/>
      <c r="T65" s="377"/>
      <c r="U65" s="377"/>
      <c r="V65" s="415"/>
      <c r="W65" s="378">
        <f>SUMIFS('Liste AT'!$O$7:$O$165,'Liste AT'!$F$7:$F$165,A65,'Liste AT'!$K$7:$K$165,"travail")</f>
        <v>0</v>
      </c>
    </row>
    <row r="66" spans="1:23" x14ac:dyDescent="0.25">
      <c r="A66" s="404"/>
      <c r="B66" s="97"/>
      <c r="C66" s="97"/>
      <c r="D66" s="97"/>
      <c r="E66" s="407"/>
      <c r="F66" s="407"/>
      <c r="G66" s="407"/>
      <c r="H66" s="97"/>
      <c r="I66" s="97"/>
      <c r="J66" s="407"/>
      <c r="K66" s="407"/>
      <c r="L66" s="97"/>
      <c r="M66" s="97"/>
      <c r="N66" s="282"/>
      <c r="O66" s="377"/>
      <c r="P66" s="377"/>
      <c r="Q66" s="377"/>
      <c r="R66" s="504"/>
      <c r="S66" s="377"/>
      <c r="T66" s="377"/>
      <c r="U66" s="377"/>
      <c r="V66" s="415"/>
      <c r="W66" s="378">
        <f>SUMIFS('Liste AT'!$O$7:$O$165,'Liste AT'!$F$7:$F$165,A66,'Liste AT'!$K$7:$K$165,"travail")</f>
        <v>0</v>
      </c>
    </row>
    <row r="67" spans="1:23" x14ac:dyDescent="0.25">
      <c r="A67" s="404"/>
      <c r="B67" s="97"/>
      <c r="C67" s="97"/>
      <c r="D67" s="97"/>
      <c r="E67" s="407"/>
      <c r="F67" s="407"/>
      <c r="G67" s="407"/>
      <c r="H67" s="97"/>
      <c r="I67" s="97"/>
      <c r="J67" s="407"/>
      <c r="K67" s="407"/>
      <c r="L67" s="97"/>
      <c r="M67" s="97"/>
      <c r="N67" s="282"/>
      <c r="O67" s="377"/>
      <c r="P67" s="377"/>
      <c r="Q67" s="377"/>
      <c r="R67" s="504"/>
      <c r="S67" s="377"/>
      <c r="T67" s="377"/>
      <c r="U67" s="377"/>
      <c r="V67" s="415"/>
      <c r="W67" s="378">
        <f>SUMIFS('Liste AT'!$O$7:$O$165,'Liste AT'!$F$7:$F$165,A67,'Liste AT'!$K$7:$K$165,"travail")</f>
        <v>0</v>
      </c>
    </row>
    <row r="68" spans="1:23" x14ac:dyDescent="0.25">
      <c r="A68" s="404"/>
      <c r="B68" s="97"/>
      <c r="C68" s="97"/>
      <c r="D68" s="97"/>
      <c r="E68" s="407"/>
      <c r="F68" s="407"/>
      <c r="G68" s="407"/>
      <c r="H68" s="97"/>
      <c r="I68" s="97"/>
      <c r="J68" s="407"/>
      <c r="K68" s="407"/>
      <c r="L68" s="97"/>
      <c r="M68" s="97"/>
      <c r="N68" s="282"/>
      <c r="O68" s="377"/>
      <c r="P68" s="377"/>
      <c r="Q68" s="377"/>
      <c r="R68" s="504"/>
      <c r="S68" s="377"/>
      <c r="T68" s="377"/>
      <c r="U68" s="377"/>
      <c r="V68" s="415"/>
      <c r="W68" s="378">
        <f>SUMIFS('Liste AT'!$O$7:$O$165,'Liste AT'!$F$7:$F$165,A68,'Liste AT'!$K$7:$K$165,"travail")</f>
        <v>0</v>
      </c>
    </row>
    <row r="69" spans="1:23" x14ac:dyDescent="0.25">
      <c r="A69" s="404"/>
      <c r="B69" s="97"/>
      <c r="C69" s="97"/>
      <c r="D69" s="97"/>
      <c r="E69" s="407"/>
      <c r="F69" s="407"/>
      <c r="G69" s="407"/>
      <c r="H69" s="97"/>
      <c r="I69" s="97"/>
      <c r="J69" s="407"/>
      <c r="K69" s="407"/>
      <c r="L69" s="97"/>
      <c r="M69" s="97"/>
      <c r="N69" s="282"/>
      <c r="O69" s="377"/>
      <c r="P69" s="377"/>
      <c r="Q69" s="377"/>
      <c r="R69" s="504"/>
      <c r="S69" s="377"/>
      <c r="T69" s="377"/>
      <c r="U69" s="377"/>
      <c r="V69" s="415"/>
      <c r="W69" s="378">
        <f>SUMIFS('Liste AT'!$O$7:$O$165,'Liste AT'!$F$7:$F$165,A69,'Liste AT'!$K$7:$K$165,"travail")</f>
        <v>0</v>
      </c>
    </row>
    <row r="70" spans="1:23" x14ac:dyDescent="0.25">
      <c r="A70" s="404"/>
      <c r="B70" s="97"/>
      <c r="C70" s="97"/>
      <c r="D70" s="97"/>
      <c r="E70" s="407"/>
      <c r="F70" s="407"/>
      <c r="G70" s="407"/>
      <c r="H70" s="97"/>
      <c r="I70" s="97"/>
      <c r="J70" s="407"/>
      <c r="K70" s="407"/>
      <c r="L70" s="97"/>
      <c r="M70" s="97"/>
      <c r="N70" s="282"/>
      <c r="O70" s="377"/>
      <c r="P70" s="377"/>
      <c r="Q70" s="377"/>
      <c r="R70" s="504"/>
      <c r="S70" s="377"/>
      <c r="T70" s="377"/>
      <c r="U70" s="377"/>
      <c r="V70" s="415"/>
      <c r="W70" s="378">
        <f>SUMIFS('Liste AT'!$O$7:$O$165,'Liste AT'!$F$7:$F$165,A70,'Liste AT'!$K$7:$K$165,"travail")</f>
        <v>0</v>
      </c>
    </row>
    <row r="71" spans="1:23" x14ac:dyDescent="0.25">
      <c r="A71" s="404"/>
      <c r="B71" s="97"/>
      <c r="C71" s="97"/>
      <c r="D71" s="97"/>
      <c r="E71" s="407"/>
      <c r="F71" s="407"/>
      <c r="G71" s="407"/>
      <c r="H71" s="97"/>
      <c r="I71" s="97"/>
      <c r="J71" s="407"/>
      <c r="K71" s="407"/>
      <c r="L71" s="97"/>
      <c r="M71" s="97"/>
      <c r="N71" s="282"/>
      <c r="O71" s="377"/>
      <c r="P71" s="377"/>
      <c r="Q71" s="377"/>
      <c r="R71" s="504"/>
      <c r="S71" s="377"/>
      <c r="T71" s="377"/>
      <c r="U71" s="377"/>
      <c r="V71" s="415"/>
      <c r="W71" s="378">
        <f>SUMIFS('Liste AT'!$O$7:$O$165,'Liste AT'!$F$7:$F$165,A71,'Liste AT'!$K$7:$K$165,"travail")</f>
        <v>0</v>
      </c>
    </row>
    <row r="72" spans="1:23" x14ac:dyDescent="0.25">
      <c r="A72" s="404"/>
      <c r="B72" s="97"/>
      <c r="C72" s="97"/>
      <c r="D72" s="97"/>
      <c r="E72" s="407"/>
      <c r="F72" s="407"/>
      <c r="G72" s="407"/>
      <c r="H72" s="97"/>
      <c r="I72" s="97"/>
      <c r="J72" s="407"/>
      <c r="K72" s="407"/>
      <c r="L72" s="97"/>
      <c r="M72" s="97"/>
      <c r="N72" s="282"/>
      <c r="O72" s="377"/>
      <c r="P72" s="377"/>
      <c r="Q72" s="377"/>
      <c r="R72" s="504"/>
      <c r="S72" s="377"/>
      <c r="T72" s="377"/>
      <c r="U72" s="377"/>
      <c r="V72" s="415"/>
    </row>
    <row r="73" spans="1:23" x14ac:dyDescent="0.25">
      <c r="A73" s="404"/>
      <c r="B73" s="97"/>
      <c r="C73" s="97"/>
      <c r="D73" s="97"/>
      <c r="E73" s="407"/>
      <c r="F73" s="407"/>
      <c r="G73" s="407"/>
      <c r="H73" s="97"/>
      <c r="I73" s="97"/>
      <c r="J73" s="407"/>
      <c r="K73" s="407"/>
      <c r="L73" s="97"/>
      <c r="M73" s="97"/>
      <c r="N73" s="282"/>
      <c r="O73" s="377"/>
      <c r="P73" s="377"/>
      <c r="Q73" s="377"/>
      <c r="R73" s="504"/>
      <c r="S73" s="377"/>
      <c r="T73" s="415"/>
    </row>
    <row r="74" spans="1:23" x14ac:dyDescent="0.25">
      <c r="A74" s="404"/>
      <c r="B74" s="97"/>
      <c r="C74" s="97"/>
      <c r="D74" s="97"/>
      <c r="E74" s="407"/>
      <c r="F74" s="407"/>
      <c r="G74" s="407"/>
      <c r="H74" s="97"/>
      <c r="I74" s="97"/>
      <c r="J74" s="407"/>
      <c r="K74" s="407"/>
      <c r="L74" s="97"/>
      <c r="M74" s="97"/>
      <c r="N74" s="282"/>
      <c r="O74" s="377"/>
      <c r="P74" s="377"/>
      <c r="Q74" s="377"/>
      <c r="R74" s="504"/>
      <c r="S74" s="377"/>
      <c r="T74" s="415"/>
    </row>
    <row r="75" spans="1:23" x14ac:dyDescent="0.25">
      <c r="A75" s="404"/>
      <c r="B75" s="97"/>
      <c r="C75" s="97"/>
      <c r="D75" s="97"/>
      <c r="E75" s="407"/>
      <c r="F75" s="407"/>
      <c r="G75" s="407"/>
      <c r="H75" s="97"/>
      <c r="I75" s="97"/>
      <c r="J75" s="407"/>
      <c r="K75" s="407"/>
      <c r="L75" s="97"/>
      <c r="M75" s="97"/>
      <c r="N75" s="282"/>
      <c r="O75" s="377"/>
      <c r="P75" s="377"/>
      <c r="Q75" s="377"/>
      <c r="R75" s="504"/>
      <c r="S75" s="377"/>
      <c r="T75" s="415"/>
    </row>
    <row r="76" spans="1:23" x14ac:dyDescent="0.25">
      <c r="A76" s="404"/>
      <c r="B76" s="97"/>
      <c r="C76" s="97"/>
      <c r="D76" s="97"/>
      <c r="E76" s="407"/>
      <c r="F76" s="407"/>
      <c r="G76" s="407"/>
      <c r="H76" s="97"/>
      <c r="I76" s="97"/>
      <c r="J76" s="407"/>
      <c r="K76" s="407"/>
      <c r="L76" s="97"/>
      <c r="M76" s="97"/>
      <c r="N76" s="282"/>
      <c r="O76" s="377"/>
      <c r="P76" s="377"/>
      <c r="Q76" s="377"/>
      <c r="R76" s="504"/>
      <c r="S76" s="377"/>
      <c r="T76" s="415"/>
    </row>
    <row r="77" spans="1:23" x14ac:dyDescent="0.25">
      <c r="A77" s="404"/>
      <c r="B77" s="97"/>
      <c r="C77" s="97"/>
      <c r="D77" s="97"/>
      <c r="E77" s="407"/>
      <c r="F77" s="407"/>
      <c r="G77" s="407"/>
      <c r="H77" s="97"/>
      <c r="I77" s="97"/>
      <c r="J77" s="407"/>
      <c r="K77" s="407"/>
      <c r="L77" s="97"/>
      <c r="M77" s="97"/>
      <c r="N77" s="282"/>
      <c r="O77" s="377"/>
      <c r="P77" s="377"/>
      <c r="Q77" s="377"/>
      <c r="R77" s="504"/>
      <c r="S77" s="377"/>
      <c r="T77" s="415"/>
    </row>
    <row r="78" spans="1:23" x14ac:dyDescent="0.25">
      <c r="A78" s="404"/>
      <c r="B78" s="97"/>
      <c r="C78" s="97"/>
      <c r="D78" s="97"/>
      <c r="E78" s="407"/>
      <c r="F78" s="407"/>
      <c r="G78" s="407"/>
      <c r="H78" s="97"/>
      <c r="I78" s="97"/>
      <c r="J78" s="407"/>
      <c r="K78" s="407"/>
      <c r="L78" s="97"/>
      <c r="M78" s="97"/>
      <c r="N78" s="282"/>
      <c r="O78" s="377"/>
      <c r="P78" s="377"/>
      <c r="Q78" s="377"/>
      <c r="R78" s="504"/>
      <c r="S78" s="377"/>
      <c r="T78" s="415"/>
    </row>
    <row r="79" spans="1:23" x14ac:dyDescent="0.25">
      <c r="A79" s="404"/>
      <c r="B79" s="97"/>
      <c r="C79" s="97"/>
      <c r="D79" s="97"/>
      <c r="E79" s="407"/>
      <c r="F79" s="407"/>
      <c r="G79" s="407"/>
      <c r="H79" s="97"/>
      <c r="I79" s="97"/>
      <c r="J79" s="407"/>
      <c r="K79" s="407"/>
      <c r="L79" s="97"/>
      <c r="M79" s="97"/>
      <c r="N79" s="282"/>
      <c r="O79" s="377"/>
      <c r="P79" s="377"/>
      <c r="Q79" s="377"/>
      <c r="R79" s="504"/>
      <c r="S79" s="377"/>
      <c r="T79" s="415"/>
    </row>
    <row r="80" spans="1:23" x14ac:dyDescent="0.25">
      <c r="A80" s="404"/>
      <c r="B80" s="97"/>
      <c r="C80" s="97"/>
      <c r="D80" s="97"/>
      <c r="E80" s="407"/>
      <c r="F80" s="407"/>
      <c r="G80" s="407"/>
      <c r="H80" s="97"/>
      <c r="I80" s="97"/>
      <c r="J80" s="407"/>
      <c r="K80" s="407"/>
      <c r="L80" s="97"/>
      <c r="M80" s="97"/>
      <c r="N80" s="282"/>
      <c r="O80" s="377"/>
      <c r="P80" s="377"/>
      <c r="Q80" s="377"/>
      <c r="R80" s="504"/>
      <c r="S80" s="377"/>
      <c r="T80" s="415"/>
    </row>
    <row r="81" spans="1:20" x14ac:dyDescent="0.25">
      <c r="A81" s="404"/>
      <c r="B81" s="97"/>
      <c r="C81" s="97"/>
      <c r="D81" s="97"/>
      <c r="E81" s="407"/>
      <c r="F81" s="407"/>
      <c r="G81" s="407"/>
      <c r="H81" s="97"/>
      <c r="I81" s="97"/>
      <c r="J81" s="407"/>
      <c r="K81" s="407"/>
      <c r="L81" s="97"/>
      <c r="M81" s="97"/>
      <c r="N81" s="282"/>
      <c r="O81" s="377"/>
      <c r="P81" s="377"/>
      <c r="Q81" s="377"/>
      <c r="R81" s="504"/>
      <c r="S81" s="377"/>
      <c r="T81" s="415"/>
    </row>
    <row r="82" spans="1:20" x14ac:dyDescent="0.25">
      <c r="A82" s="404"/>
      <c r="B82" s="97"/>
      <c r="C82" s="97"/>
      <c r="D82" s="97"/>
      <c r="E82" s="407"/>
      <c r="F82" s="407"/>
      <c r="G82" s="407"/>
      <c r="H82" s="97"/>
      <c r="I82" s="97"/>
      <c r="J82" s="407"/>
      <c r="K82" s="407"/>
      <c r="L82" s="97"/>
      <c r="M82" s="97"/>
      <c r="N82" s="282"/>
      <c r="O82" s="377"/>
      <c r="P82" s="377"/>
      <c r="Q82" s="377"/>
      <c r="R82" s="504"/>
      <c r="S82" s="377"/>
      <c r="T82" s="415"/>
    </row>
    <row r="83" spans="1:20" x14ac:dyDescent="0.25">
      <c r="A83" s="404"/>
      <c r="B83" s="97"/>
      <c r="C83" s="97"/>
      <c r="D83" s="97"/>
      <c r="E83" s="407"/>
      <c r="F83" s="407"/>
      <c r="G83" s="407"/>
      <c r="H83" s="97"/>
      <c r="I83" s="97"/>
      <c r="J83" s="407"/>
      <c r="K83" s="407"/>
      <c r="L83" s="97"/>
      <c r="M83" s="97"/>
      <c r="N83" s="282"/>
      <c r="O83" s="377"/>
      <c r="P83" s="377"/>
      <c r="Q83" s="377"/>
      <c r="R83" s="504"/>
      <c r="S83" s="377"/>
      <c r="T83" s="415"/>
    </row>
    <row r="84" spans="1:20" x14ac:dyDescent="0.25">
      <c r="A84" s="404"/>
      <c r="B84" s="97"/>
      <c r="C84" s="97"/>
      <c r="D84" s="97"/>
      <c r="E84" s="407"/>
      <c r="F84" s="407"/>
      <c r="G84" s="407"/>
      <c r="H84" s="97"/>
      <c r="I84" s="97"/>
      <c r="J84" s="407"/>
      <c r="K84" s="407"/>
      <c r="L84" s="97"/>
      <c r="M84" s="97"/>
      <c r="N84" s="282"/>
      <c r="O84" s="377"/>
      <c r="P84" s="377"/>
      <c r="Q84" s="377"/>
      <c r="R84" s="504"/>
      <c r="S84" s="377"/>
      <c r="T84" s="415"/>
    </row>
    <row r="85" spans="1:20" x14ac:dyDescent="0.25">
      <c r="A85" s="404"/>
      <c r="B85" s="97"/>
      <c r="C85" s="97"/>
      <c r="D85" s="97"/>
      <c r="E85" s="407"/>
      <c r="F85" s="407"/>
      <c r="G85" s="407"/>
      <c r="H85" s="97"/>
      <c r="I85" s="97"/>
      <c r="J85" s="407"/>
      <c r="K85" s="407"/>
      <c r="L85" s="97"/>
      <c r="M85" s="97"/>
      <c r="N85" s="282"/>
      <c r="O85" s="377"/>
      <c r="P85" s="377"/>
      <c r="Q85" s="377"/>
      <c r="R85" s="504"/>
      <c r="S85" s="377"/>
      <c r="T85" s="415"/>
    </row>
    <row r="86" spans="1:20" x14ac:dyDescent="0.25">
      <c r="A86" s="404"/>
      <c r="B86" s="97"/>
      <c r="C86" s="97"/>
      <c r="D86" s="97"/>
      <c r="E86" s="407"/>
      <c r="F86" s="407"/>
      <c r="G86" s="407"/>
      <c r="H86" s="97"/>
      <c r="I86" s="97"/>
      <c r="J86" s="407"/>
      <c r="K86" s="407"/>
      <c r="L86" s="97"/>
      <c r="M86" s="97"/>
      <c r="N86" s="282"/>
      <c r="O86" s="377"/>
      <c r="P86" s="377"/>
      <c r="Q86" s="377"/>
      <c r="R86" s="504"/>
      <c r="S86" s="377"/>
      <c r="T86" s="415"/>
    </row>
    <row r="87" spans="1:20" x14ac:dyDescent="0.25">
      <c r="A87" s="404"/>
      <c r="B87" s="97"/>
      <c r="C87" s="97"/>
      <c r="D87" s="97"/>
      <c r="E87" s="407"/>
      <c r="F87" s="407"/>
      <c r="G87" s="407"/>
      <c r="H87" s="97"/>
      <c r="I87" s="97"/>
      <c r="J87" s="407"/>
      <c r="K87" s="407"/>
      <c r="L87" s="97"/>
      <c r="M87" s="97"/>
      <c r="N87" s="282"/>
      <c r="O87" s="377"/>
      <c r="P87" s="377"/>
      <c r="Q87" s="377"/>
      <c r="R87" s="504"/>
      <c r="S87" s="377"/>
      <c r="T87" s="415"/>
    </row>
    <row r="88" spans="1:20" x14ac:dyDescent="0.25">
      <c r="A88" s="404"/>
      <c r="B88" s="97"/>
      <c r="C88" s="97"/>
      <c r="D88" s="97"/>
      <c r="E88" s="407"/>
      <c r="F88" s="407"/>
      <c r="G88" s="407"/>
      <c r="H88" s="97"/>
      <c r="I88" s="97"/>
      <c r="J88" s="407"/>
      <c r="K88" s="407"/>
      <c r="L88" s="97"/>
      <c r="M88" s="97"/>
      <c r="N88" s="282"/>
      <c r="O88" s="377"/>
      <c r="P88" s="377"/>
      <c r="Q88" s="377"/>
      <c r="R88" s="504"/>
      <c r="S88" s="377"/>
      <c r="T88" s="415"/>
    </row>
    <row r="89" spans="1:20" x14ac:dyDescent="0.25">
      <c r="A89" s="404"/>
      <c r="B89" s="97"/>
      <c r="C89" s="97"/>
      <c r="D89" s="97"/>
      <c r="E89" s="407"/>
      <c r="F89" s="407"/>
      <c r="G89" s="407"/>
      <c r="H89" s="97"/>
      <c r="I89" s="97"/>
      <c r="J89" s="407"/>
      <c r="K89" s="407"/>
      <c r="L89" s="97"/>
      <c r="M89" s="97"/>
      <c r="N89" s="282"/>
      <c r="O89" s="377"/>
      <c r="P89" s="377"/>
      <c r="Q89" s="377"/>
      <c r="R89" s="504"/>
      <c r="S89" s="377"/>
      <c r="T89" s="415"/>
    </row>
    <row r="90" spans="1:20" x14ac:dyDescent="0.25">
      <c r="A90" s="404"/>
      <c r="B90" s="97"/>
      <c r="C90" s="97"/>
      <c r="D90" s="97"/>
      <c r="E90" s="407"/>
      <c r="F90" s="407"/>
      <c r="G90" s="407"/>
      <c r="H90" s="97"/>
      <c r="I90" s="97"/>
      <c r="J90" s="407"/>
      <c r="K90" s="407"/>
      <c r="L90" s="97"/>
      <c r="M90" s="97"/>
      <c r="N90" s="282"/>
      <c r="O90" s="377"/>
      <c r="P90" s="377"/>
      <c r="Q90" s="377"/>
      <c r="R90" s="504"/>
      <c r="S90" s="377"/>
      <c r="T90" s="415"/>
    </row>
    <row r="91" spans="1:20" x14ac:dyDescent="0.25">
      <c r="A91" s="404"/>
      <c r="B91" s="97"/>
      <c r="C91" s="97"/>
      <c r="D91" s="97"/>
      <c r="E91" s="407"/>
      <c r="F91" s="407"/>
      <c r="G91" s="407"/>
      <c r="H91" s="97"/>
      <c r="I91" s="97"/>
      <c r="J91" s="407"/>
      <c r="K91" s="407"/>
      <c r="L91" s="97"/>
      <c r="M91" s="97"/>
      <c r="N91" s="282"/>
      <c r="O91" s="377"/>
      <c r="P91" s="377"/>
      <c r="Q91" s="377"/>
      <c r="R91" s="504"/>
      <c r="S91" s="377"/>
      <c r="T91" s="415"/>
    </row>
    <row r="92" spans="1:20" x14ac:dyDescent="0.25">
      <c r="A92" s="404"/>
      <c r="B92" s="97"/>
      <c r="C92" s="97"/>
      <c r="D92" s="97"/>
      <c r="E92" s="407"/>
      <c r="F92" s="407"/>
      <c r="G92" s="407"/>
      <c r="H92" s="97"/>
      <c r="I92" s="97"/>
      <c r="J92" s="407"/>
      <c r="K92" s="407"/>
      <c r="L92" s="97"/>
      <c r="M92" s="97"/>
      <c r="N92" s="282"/>
      <c r="O92" s="377"/>
      <c r="P92" s="377"/>
      <c r="Q92" s="377"/>
      <c r="R92" s="504"/>
      <c r="S92" s="377"/>
      <c r="T92" s="415"/>
    </row>
    <row r="93" spans="1:20" x14ac:dyDescent="0.25">
      <c r="A93" s="404"/>
      <c r="B93" s="97"/>
      <c r="C93" s="97"/>
      <c r="D93" s="97"/>
      <c r="E93" s="407"/>
      <c r="F93" s="407"/>
      <c r="G93" s="407"/>
      <c r="H93" s="97"/>
      <c r="I93" s="97"/>
      <c r="J93" s="407"/>
      <c r="K93" s="407"/>
      <c r="L93" s="97"/>
      <c r="M93" s="97"/>
      <c r="N93" s="282"/>
      <c r="O93" s="377"/>
      <c r="P93" s="377"/>
      <c r="Q93" s="377"/>
      <c r="R93" s="504"/>
      <c r="S93" s="377"/>
      <c r="T93" s="415"/>
    </row>
    <row r="94" spans="1:20" x14ac:dyDescent="0.25">
      <c r="A94" s="404"/>
      <c r="B94" s="97"/>
      <c r="C94" s="97"/>
      <c r="D94" s="97"/>
      <c r="E94" s="407"/>
      <c r="F94" s="407"/>
      <c r="G94" s="407"/>
      <c r="H94" s="97"/>
      <c r="I94" s="97"/>
      <c r="J94" s="407"/>
      <c r="K94" s="407"/>
      <c r="L94" s="97"/>
      <c r="M94" s="97"/>
      <c r="N94" s="282"/>
      <c r="O94" s="377"/>
      <c r="P94" s="377"/>
      <c r="Q94" s="377"/>
      <c r="R94" s="504"/>
      <c r="S94" s="377"/>
      <c r="T94" s="415"/>
    </row>
    <row r="95" spans="1:20" x14ac:dyDescent="0.25">
      <c r="A95" s="404"/>
      <c r="B95" s="97"/>
      <c r="C95" s="97"/>
      <c r="D95" s="97"/>
      <c r="E95" s="407"/>
      <c r="F95" s="407"/>
      <c r="G95" s="407"/>
      <c r="H95" s="97"/>
      <c r="I95" s="97"/>
      <c r="J95" s="407"/>
      <c r="K95" s="407"/>
      <c r="L95" s="97"/>
      <c r="M95" s="97"/>
      <c r="N95" s="282"/>
      <c r="O95" s="377"/>
      <c r="P95" s="377"/>
      <c r="Q95" s="377"/>
      <c r="R95" s="504"/>
      <c r="S95" s="377"/>
      <c r="T95" s="415"/>
    </row>
    <row r="96" spans="1:20" x14ac:dyDescent="0.25">
      <c r="A96" s="404"/>
      <c r="B96" s="97"/>
      <c r="C96" s="97"/>
      <c r="D96" s="97"/>
      <c r="E96" s="407"/>
      <c r="F96" s="407"/>
      <c r="G96" s="407"/>
      <c r="H96" s="97"/>
      <c r="I96" s="97"/>
      <c r="J96" s="407"/>
      <c r="K96" s="407"/>
      <c r="L96" s="97"/>
      <c r="M96" s="97"/>
      <c r="N96" s="282"/>
      <c r="O96" s="377"/>
      <c r="P96" s="377"/>
      <c r="Q96" s="377"/>
      <c r="R96" s="504"/>
      <c r="S96" s="377"/>
      <c r="T96" s="415"/>
    </row>
    <row r="97" spans="1:20" x14ac:dyDescent="0.25">
      <c r="A97" s="404"/>
      <c r="B97" s="97"/>
      <c r="C97" s="97"/>
      <c r="D97" s="97"/>
      <c r="E97" s="407"/>
      <c r="F97" s="407"/>
      <c r="G97" s="407"/>
      <c r="H97" s="97"/>
      <c r="I97" s="97"/>
      <c r="J97" s="407"/>
      <c r="K97" s="407"/>
      <c r="L97" s="97"/>
      <c r="M97" s="97"/>
      <c r="N97" s="282"/>
      <c r="O97" s="377"/>
      <c r="P97" s="377"/>
      <c r="Q97" s="377"/>
      <c r="R97" s="504"/>
      <c r="S97" s="377"/>
      <c r="T97" s="415"/>
    </row>
    <row r="98" spans="1:20" x14ac:dyDescent="0.25">
      <c r="A98" s="404"/>
      <c r="B98" s="97"/>
      <c r="C98" s="97"/>
      <c r="D98" s="97"/>
      <c r="E98" s="407"/>
      <c r="F98" s="407"/>
      <c r="G98" s="407"/>
      <c r="H98" s="97"/>
      <c r="I98" s="97"/>
      <c r="J98" s="407"/>
      <c r="K98" s="407"/>
      <c r="L98" s="97"/>
      <c r="M98" s="97"/>
      <c r="N98" s="282"/>
      <c r="O98" s="377"/>
      <c r="P98" s="377"/>
      <c r="Q98" s="377"/>
      <c r="R98" s="504"/>
      <c r="S98" s="377"/>
      <c r="T98" s="415"/>
    </row>
    <row r="99" spans="1:20" x14ac:dyDescent="0.25">
      <c r="A99" s="404"/>
      <c r="B99" s="97"/>
      <c r="C99" s="97"/>
      <c r="D99" s="97"/>
      <c r="E99" s="407"/>
      <c r="F99" s="407"/>
      <c r="G99" s="407"/>
      <c r="H99" s="97"/>
      <c r="I99" s="97"/>
      <c r="J99" s="407"/>
      <c r="K99" s="407"/>
      <c r="L99" s="97"/>
      <c r="M99" s="97"/>
      <c r="N99" s="282"/>
      <c r="O99" s="377"/>
      <c r="P99" s="377"/>
      <c r="Q99" s="377"/>
      <c r="R99" s="504"/>
      <c r="S99" s="377"/>
      <c r="T99" s="415"/>
    </row>
  </sheetData>
  <autoFilter ref="A1:S1"/>
  <conditionalFormatting sqref="B2:B44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2020-02-25T10:19:34Z</dcterms:modified>
</cp:coreProperties>
</file>