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340" windowWidth="24030" windowHeight="4785" tabRatio="710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Listes déroulantes" sheetId="2" r:id="rId6"/>
    <sheet name="Effectifs" sheetId="9" r:id="rId7"/>
    <sheet name="Stats AT BDD" sheetId="41" r:id="rId8"/>
    <sheet name="Feuil1" sheetId="44" r:id="rId9"/>
  </sheets>
  <definedNames>
    <definedName name="_xlnm._FilterDatabase" localSheetId="6" hidden="1">Effectifs!$A$2:$O$2</definedName>
    <definedName name="_xlnm._FilterDatabase" localSheetId="2" hidden="1">'Liste AT'!$A$6:$AH$297</definedName>
    <definedName name="_xlnm._FilterDatabase" localSheetId="5" hidden="1">'Listes déroulantes'!$A$304:$B$304</definedName>
    <definedName name="_xlnm._FilterDatabase" localSheetId="3" hidden="1">'Programmation et suivi VP&amp;Icare'!$A$1:$K$44</definedName>
    <definedName name="_xlnm._FilterDatabase" localSheetId="7" hidden="1">'Stats AT BDD'!$A$1:$R$1</definedName>
    <definedName name="_xlnm._FilterDatabase" localSheetId="1" hidden="1">'Suivi des DPx'!$A$7:$AL$47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'Stats AT BDD'!$X$2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déroulantes'!$C$2:$C$5</definedName>
    <definedName name="UO_ESV">'Listes déroulantes'!$C$2:$C$6</definedName>
    <definedName name="_xlnm.Print_Area" localSheetId="1">'Suivi des DPx'!$A$5:$R$83</definedName>
    <definedName name="_xlnm.Print_Area" localSheetId="4">'Suivi du PAS 2020'!$A$2:$Q$31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3" i="1" l="1"/>
  <c r="F2" i="41" l="1"/>
  <c r="E4" i="41"/>
  <c r="E3" i="41"/>
  <c r="E2" i="41"/>
  <c r="B2" i="41"/>
  <c r="B3" i="41"/>
  <c r="B4" i="41"/>
  <c r="B9" i="41" l="1"/>
  <c r="P2" i="41"/>
  <c r="P8" i="1" l="1"/>
  <c r="P9" i="1" l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7" i="1"/>
  <c r="V3" i="41" l="1"/>
  <c r="V4" i="41"/>
  <c r="V2" i="41"/>
  <c r="Q10" i="41"/>
  <c r="Q11" i="41"/>
  <c r="Q15" i="41"/>
  <c r="Q9" i="41"/>
  <c r="Q2" i="41"/>
  <c r="Q3" i="41"/>
  <c r="Q4" i="41"/>
  <c r="G2" i="41" l="1"/>
  <c r="O8" i="1"/>
  <c r="J3" i="41"/>
  <c r="J4" i="41"/>
  <c r="J2" i="41"/>
  <c r="G3" i="41"/>
  <c r="G4" i="41"/>
  <c r="E29" i="9" l="1"/>
  <c r="F29" i="9"/>
  <c r="G29" i="9"/>
  <c r="H29" i="9"/>
  <c r="I29" i="9"/>
  <c r="J29" i="9"/>
  <c r="K29" i="9"/>
  <c r="L29" i="9"/>
  <c r="M29" i="9"/>
  <c r="N29" i="9"/>
  <c r="O29" i="9"/>
  <c r="E28" i="9"/>
  <c r="F28" i="9"/>
  <c r="G28" i="9"/>
  <c r="H28" i="9"/>
  <c r="I28" i="9"/>
  <c r="J28" i="9"/>
  <c r="K28" i="9"/>
  <c r="L28" i="9"/>
  <c r="M28" i="9"/>
  <c r="N28" i="9"/>
  <c r="O28" i="9"/>
  <c r="E27" i="9"/>
  <c r="F27" i="9"/>
  <c r="G27" i="9"/>
  <c r="H27" i="9"/>
  <c r="I27" i="9"/>
  <c r="J27" i="9"/>
  <c r="K27" i="9"/>
  <c r="L27" i="9"/>
  <c r="M27" i="9"/>
  <c r="N27" i="9"/>
  <c r="O27" i="9"/>
  <c r="D29" i="9"/>
  <c r="D28" i="9"/>
  <c r="D27" i="9"/>
  <c r="S20" i="9"/>
  <c r="D44" i="42"/>
  <c r="E44" i="42"/>
  <c r="B45" i="42"/>
  <c r="D45" i="42"/>
  <c r="E45" i="42"/>
  <c r="B46" i="42"/>
  <c r="D46" i="42"/>
  <c r="E46" i="42"/>
  <c r="B47" i="42"/>
  <c r="D47" i="42"/>
  <c r="E47" i="42"/>
  <c r="S3" i="41"/>
  <c r="S4" i="41"/>
  <c r="S2" i="41"/>
  <c r="R3" i="41" l="1"/>
  <c r="R4" i="41"/>
  <c r="R2" i="41"/>
  <c r="P3" i="41"/>
  <c r="P4" i="41"/>
  <c r="O3" i="41"/>
  <c r="O4" i="41"/>
  <c r="O2" i="41"/>
  <c r="U3" i="41"/>
  <c r="D9" i="42" s="1"/>
  <c r="D10" i="42" s="1"/>
  <c r="U4" i="41"/>
  <c r="E9" i="42" s="1"/>
  <c r="E10" i="42" s="1"/>
  <c r="U2" i="41"/>
  <c r="T3" i="41"/>
  <c r="T4" i="41"/>
  <c r="T2" i="41"/>
  <c r="L2" i="41" s="1"/>
  <c r="C9" i="42" l="1"/>
  <c r="C10" i="42" s="1"/>
  <c r="B9" i="42"/>
  <c r="B10" i="42" s="1"/>
  <c r="E14" i="42"/>
  <c r="D14" i="42"/>
  <c r="B14" i="42" l="1"/>
  <c r="E11" i="42" l="1"/>
  <c r="D11" i="42"/>
  <c r="E12" i="42"/>
  <c r="D12" i="42"/>
  <c r="A5" i="41"/>
  <c r="Q12" i="41" s="1"/>
  <c r="A6" i="41"/>
  <c r="Q13" i="41" s="1"/>
  <c r="A7" i="41"/>
  <c r="Q14" i="41" s="1"/>
  <c r="G7" i="41" l="1"/>
  <c r="H7" i="41"/>
  <c r="I7" i="41"/>
  <c r="H6" i="41"/>
  <c r="I6" i="41"/>
  <c r="O6" i="41"/>
  <c r="U6" i="41"/>
  <c r="R6" i="41"/>
  <c r="V6" i="41"/>
  <c r="T5" i="41"/>
  <c r="I5" i="41"/>
  <c r="H5" i="41"/>
  <c r="O5" i="41"/>
  <c r="V5" i="41"/>
  <c r="U5" i="41"/>
  <c r="R5" i="41"/>
  <c r="G6" i="41"/>
  <c r="B11" i="42"/>
  <c r="B19" i="42"/>
  <c r="G5" i="41"/>
  <c r="B12" i="42"/>
  <c r="P5" i="41"/>
  <c r="B20" i="42"/>
  <c r="C5" i="41"/>
  <c r="F6" i="41"/>
  <c r="C7" i="41"/>
  <c r="F5" i="41"/>
  <c r="T6" i="41"/>
  <c r="F7" i="41"/>
  <c r="C6" i="41"/>
  <c r="P6" i="41"/>
  <c r="J37" i="42"/>
  <c r="I37" i="42"/>
  <c r="J25" i="42"/>
  <c r="I25" i="42"/>
  <c r="J23" i="42"/>
  <c r="I23" i="42"/>
  <c r="J21" i="42"/>
  <c r="I21" i="42"/>
  <c r="J19" i="42"/>
  <c r="I19" i="42"/>
  <c r="J17" i="42"/>
  <c r="I17" i="42"/>
  <c r="J15" i="42"/>
  <c r="I15" i="42"/>
  <c r="J13" i="42"/>
  <c r="I13" i="42"/>
  <c r="J11" i="42"/>
  <c r="I11" i="42"/>
  <c r="J9" i="42"/>
  <c r="I9" i="42"/>
  <c r="J7" i="42"/>
  <c r="I7" i="42"/>
  <c r="A24" i="28" l="1"/>
  <c r="B24" i="28"/>
  <c r="C24" i="28"/>
  <c r="D24" i="28"/>
  <c r="V22" i="42" l="1"/>
  <c r="V17" i="42"/>
  <c r="V23" i="42"/>
  <c r="V18" i="42"/>
  <c r="V26" i="42"/>
  <c r="V20" i="42"/>
  <c r="V27" i="42"/>
  <c r="V11" i="42"/>
  <c r="V10" i="42"/>
  <c r="A28" i="41"/>
  <c r="A33" i="41"/>
  <c r="V28" i="41" l="1"/>
  <c r="H28" i="41"/>
  <c r="L28" i="41"/>
  <c r="J28" i="41"/>
  <c r="G28" i="41"/>
  <c r="V19" i="42"/>
  <c r="V12" i="42"/>
  <c r="V28" i="42"/>
  <c r="V24" i="42"/>
  <c r="P13" i="42"/>
  <c r="P11" i="42"/>
  <c r="P12" i="42"/>
  <c r="P33" i="42"/>
  <c r="P29" i="42"/>
  <c r="P25" i="42"/>
  <c r="P21" i="42"/>
  <c r="O31" i="24"/>
  <c r="M31" i="24" s="1"/>
  <c r="O32" i="24"/>
  <c r="M32" i="24" s="1"/>
  <c r="K19" i="42" l="1"/>
  <c r="P14" i="42"/>
  <c r="P10" i="42"/>
  <c r="P30" i="42"/>
  <c r="P28" i="42"/>
  <c r="P26" i="42"/>
  <c r="P24" i="42"/>
  <c r="P22" i="42"/>
  <c r="P20" i="42"/>
  <c r="P34" i="42"/>
  <c r="P32" i="42"/>
  <c r="Q13" i="42" l="1"/>
  <c r="Q12" i="42"/>
  <c r="AE7" i="1" l="1"/>
  <c r="AG7" i="1" s="1"/>
  <c r="AE8" i="1"/>
  <c r="AG8" i="1" s="1"/>
  <c r="AE9" i="1"/>
  <c r="AG9" i="1" s="1"/>
  <c r="AE10" i="1"/>
  <c r="AG10" i="1" s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AC37" i="10" l="1"/>
  <c r="AC38" i="10"/>
  <c r="AL47" i="10" l="1"/>
  <c r="AL46" i="10"/>
  <c r="AL44" i="10"/>
  <c r="AL43" i="10"/>
  <c r="AL42" i="10"/>
  <c r="AL41" i="10"/>
  <c r="AL40" i="10"/>
  <c r="AL39" i="10"/>
  <c r="AL35" i="10"/>
  <c r="AL28" i="10"/>
  <c r="AL17" i="10"/>
  <c r="AL8" i="10"/>
  <c r="AL27" i="10"/>
  <c r="AL26" i="10"/>
  <c r="AL23" i="10"/>
  <c r="AL22" i="10"/>
  <c r="AL21" i="10"/>
  <c r="AL20" i="10"/>
  <c r="AL16" i="10"/>
  <c r="AL15" i="10"/>
  <c r="AL14" i="10"/>
  <c r="AL13" i="10"/>
  <c r="AL12" i="10"/>
  <c r="AL11" i="10"/>
  <c r="AC13" i="10"/>
  <c r="AC15" i="10"/>
  <c r="AC16" i="10"/>
  <c r="AC20" i="10"/>
  <c r="AC21" i="10"/>
  <c r="AC22" i="10"/>
  <c r="AC23" i="10"/>
  <c r="AC26" i="10"/>
  <c r="AC27" i="10"/>
  <c r="AC29" i="10"/>
  <c r="AC30" i="10"/>
  <c r="AC31" i="10"/>
  <c r="AC8" i="10"/>
  <c r="AC18" i="10"/>
  <c r="AC17" i="10"/>
  <c r="AC10" i="10"/>
  <c r="AC9" i="10"/>
  <c r="AC25" i="10"/>
  <c r="AC28" i="10"/>
  <c r="AC35" i="10"/>
  <c r="AC36" i="10"/>
  <c r="AC39" i="10"/>
  <c r="AC40" i="10"/>
  <c r="AC41" i="10"/>
  <c r="AC42" i="10"/>
  <c r="AC43" i="10"/>
  <c r="AC44" i="10"/>
  <c r="AC45" i="10"/>
  <c r="AC46" i="10"/>
  <c r="AC47" i="10"/>
  <c r="AC12" i="10"/>
  <c r="AC11" i="10"/>
  <c r="W10" i="42" l="1"/>
  <c r="AB7" i="1" l="1"/>
  <c r="AB8" i="1"/>
  <c r="AB9" i="1"/>
  <c r="AB10" i="1"/>
  <c r="AB11" i="1"/>
  <c r="AB12" i="1"/>
  <c r="AB13" i="1"/>
  <c r="AB14" i="1"/>
  <c r="AB15" i="1"/>
  <c r="AB19" i="1"/>
  <c r="O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B21" i="42" l="1"/>
  <c r="B24" i="42" l="1"/>
  <c r="A22" i="41" l="1"/>
  <c r="A23" i="41"/>
  <c r="A24" i="41"/>
  <c r="A25" i="41"/>
  <c r="A26" i="41"/>
  <c r="A27" i="41"/>
  <c r="A29" i="41"/>
  <c r="A30" i="41"/>
  <c r="A31" i="41"/>
  <c r="A32" i="41"/>
  <c r="B32" i="41" s="1"/>
  <c r="A34" i="41"/>
  <c r="R34" i="41" s="1"/>
  <c r="A35" i="41"/>
  <c r="A36" i="41"/>
  <c r="H36" i="41" s="1"/>
  <c r="A37" i="41"/>
  <c r="H37" i="41" s="1"/>
  <c r="A38" i="41"/>
  <c r="B38" i="41" s="1"/>
  <c r="A39" i="41"/>
  <c r="F39" i="41" s="1"/>
  <c r="A40" i="41"/>
  <c r="M40" i="41" s="1"/>
  <c r="A41" i="41"/>
  <c r="A42" i="41"/>
  <c r="A43" i="41"/>
  <c r="B5" i="41"/>
  <c r="V23" i="41" l="1"/>
  <c r="H23" i="41"/>
  <c r="Q26" i="41"/>
  <c r="V19" i="41"/>
  <c r="Q18" i="41"/>
  <c r="V11" i="41"/>
  <c r="V25" i="41"/>
  <c r="H25" i="41"/>
  <c r="V21" i="41"/>
  <c r="Q28" i="41"/>
  <c r="V17" i="41"/>
  <c r="Q24" i="41"/>
  <c r="V13" i="41"/>
  <c r="Q20" i="41"/>
  <c r="V24" i="41"/>
  <c r="H24" i="41"/>
  <c r="Q27" i="41"/>
  <c r="V20" i="41"/>
  <c r="Q23" i="41"/>
  <c r="V16" i="41"/>
  <c r="Q19" i="41"/>
  <c r="V12" i="41"/>
  <c r="V27" i="41"/>
  <c r="H27" i="41"/>
  <c r="Q22" i="41"/>
  <c r="V15" i="41"/>
  <c r="V9" i="41"/>
  <c r="Q16" i="41"/>
  <c r="V26" i="41"/>
  <c r="H26" i="41"/>
  <c r="V22" i="41"/>
  <c r="H22" i="41"/>
  <c r="V18" i="41"/>
  <c r="Q25" i="41"/>
  <c r="V14" i="41"/>
  <c r="Q21" i="41"/>
  <c r="V10" i="41"/>
  <c r="Q17" i="41"/>
  <c r="G25" i="41"/>
  <c r="J25" i="41"/>
  <c r="L24" i="41"/>
  <c r="J24" i="41"/>
  <c r="G24" i="41"/>
  <c r="J27" i="41"/>
  <c r="G27" i="41"/>
  <c r="J23" i="41"/>
  <c r="G23" i="41"/>
  <c r="G26" i="41"/>
  <c r="J26" i="41"/>
  <c r="L22" i="41"/>
  <c r="G22" i="41"/>
  <c r="J22" i="41"/>
  <c r="J9" i="41"/>
  <c r="G9" i="41"/>
  <c r="G18" i="41"/>
  <c r="J18" i="41"/>
  <c r="G14" i="41"/>
  <c r="J14" i="41"/>
  <c r="J21" i="41"/>
  <c r="G21" i="41"/>
  <c r="J17" i="41"/>
  <c r="G17" i="41"/>
  <c r="J13" i="41"/>
  <c r="G13" i="41"/>
  <c r="G20" i="41"/>
  <c r="J20" i="41"/>
  <c r="G16" i="41"/>
  <c r="J16" i="41"/>
  <c r="G12" i="41"/>
  <c r="J12" i="41"/>
  <c r="G19" i="41"/>
  <c r="J19" i="41"/>
  <c r="J15" i="41"/>
  <c r="G15" i="41"/>
  <c r="G11" i="41"/>
  <c r="J11" i="41"/>
  <c r="G10" i="41"/>
  <c r="J10" i="41"/>
  <c r="B13" i="41"/>
  <c r="P31" i="41"/>
  <c r="L31" i="41"/>
  <c r="P26" i="41"/>
  <c r="L26" i="41"/>
  <c r="R25" i="41"/>
  <c r="L25" i="41"/>
  <c r="R29" i="41"/>
  <c r="L29" i="41"/>
  <c r="T12" i="41"/>
  <c r="P9" i="41"/>
  <c r="T30" i="41"/>
  <c r="L30" i="41"/>
  <c r="R27" i="41"/>
  <c r="L27" i="41"/>
  <c r="C23" i="41"/>
  <c r="L23" i="41"/>
  <c r="R11" i="41"/>
  <c r="B20" i="41"/>
  <c r="P21" i="41"/>
  <c r="C24" i="41"/>
  <c r="T16" i="41"/>
  <c r="B19" i="41"/>
  <c r="P15" i="41"/>
  <c r="P22" i="41"/>
  <c r="C22" i="41"/>
  <c r="R14" i="41"/>
  <c r="R7" i="41"/>
  <c r="B7" i="41"/>
  <c r="E6" i="41"/>
  <c r="D6" i="41"/>
  <c r="B6" i="41"/>
  <c r="B15" i="41"/>
  <c r="B14" i="41"/>
  <c r="F41" i="41"/>
  <c r="B12" i="41"/>
  <c r="B25" i="41"/>
  <c r="B33" i="41"/>
  <c r="B24" i="41"/>
  <c r="G40" i="41"/>
  <c r="B36" i="41"/>
  <c r="B17" i="41"/>
  <c r="P40" i="41"/>
  <c r="B29" i="41"/>
  <c r="I36" i="41"/>
  <c r="B26" i="41"/>
  <c r="B11" i="41"/>
  <c r="T36" i="41"/>
  <c r="B37" i="41"/>
  <c r="T25" i="41"/>
  <c r="B39" i="41"/>
  <c r="B30" i="41"/>
  <c r="B21" i="41"/>
  <c r="C36" i="41" a="1"/>
  <c r="C36" i="41" s="1"/>
  <c r="D36" i="41" s="1"/>
  <c r="L39" i="41"/>
  <c r="R24" i="41"/>
  <c r="B31" i="41"/>
  <c r="E7" i="41"/>
  <c r="I37" i="41"/>
  <c r="L40" i="41"/>
  <c r="P41" i="41"/>
  <c r="P27" i="41"/>
  <c r="P16" i="41"/>
  <c r="R36" i="41"/>
  <c r="T37" i="41"/>
  <c r="B18" i="41"/>
  <c r="C40" i="41" a="1"/>
  <c r="C40" i="41" s="1"/>
  <c r="D40" i="41" s="1"/>
  <c r="F40" i="41"/>
  <c r="K40" i="41"/>
  <c r="P34" i="41"/>
  <c r="R30" i="41"/>
  <c r="R17" i="41"/>
  <c r="T31" i="41"/>
  <c r="T18" i="41"/>
  <c r="V39" i="41"/>
  <c r="C39" i="41" a="1"/>
  <c r="C39" i="41" s="1"/>
  <c r="D39" i="41" s="1"/>
  <c r="F36" i="41"/>
  <c r="K39" i="41"/>
  <c r="M39" i="41"/>
  <c r="R9" i="41"/>
  <c r="T38" i="41"/>
  <c r="P38" i="41"/>
  <c r="I38" i="41"/>
  <c r="H38" i="41"/>
  <c r="R38" i="41"/>
  <c r="M38" i="41"/>
  <c r="L38" i="41"/>
  <c r="K38" i="41"/>
  <c r="F38" i="41"/>
  <c r="T32" i="41"/>
  <c r="P32" i="41"/>
  <c r="R32" i="41"/>
  <c r="T28" i="41"/>
  <c r="P28" i="41"/>
  <c r="R28" i="41"/>
  <c r="T23" i="41"/>
  <c r="P23" i="41"/>
  <c r="R23" i="41"/>
  <c r="T19" i="41"/>
  <c r="P19" i="41"/>
  <c r="T13" i="41"/>
  <c r="P13" i="41"/>
  <c r="E9" i="41"/>
  <c r="C9" i="41" s="1"/>
  <c r="E38" i="41"/>
  <c r="E35" i="41"/>
  <c r="E32" i="41"/>
  <c r="E28" i="41"/>
  <c r="E23" i="41"/>
  <c r="E19" i="41"/>
  <c r="C19" i="41" s="1"/>
  <c r="E13" i="41"/>
  <c r="C13" i="41" s="1"/>
  <c r="E10" i="41"/>
  <c r="C10" i="41" s="1"/>
  <c r="J32" i="41"/>
  <c r="R41" i="41"/>
  <c r="M41" i="41"/>
  <c r="L41" i="41"/>
  <c r="K41" i="41"/>
  <c r="R37" i="41"/>
  <c r="M37" i="41"/>
  <c r="L37" i="41"/>
  <c r="K37" i="41"/>
  <c r="V37" i="41"/>
  <c r="R22" i="41"/>
  <c r="R18" i="41"/>
  <c r="E41" i="41"/>
  <c r="E37" i="41"/>
  <c r="E34" i="41"/>
  <c r="E31" i="41"/>
  <c r="E27" i="41"/>
  <c r="E22" i="41"/>
  <c r="E18" i="41"/>
  <c r="C18" i="41" s="1"/>
  <c r="E16" i="41"/>
  <c r="C16" i="41" s="1"/>
  <c r="G38" i="41"/>
  <c r="J37" i="41"/>
  <c r="J31" i="41"/>
  <c r="V38" i="41"/>
  <c r="B35" i="41"/>
  <c r="B28" i="41"/>
  <c r="B23" i="41"/>
  <c r="B10" i="41"/>
  <c r="D7" i="41"/>
  <c r="T7" i="41"/>
  <c r="J7" i="41"/>
  <c r="V40" i="41"/>
  <c r="J40" i="41"/>
  <c r="V36" i="41"/>
  <c r="J36" i="41"/>
  <c r="J30" i="41"/>
  <c r="R15" i="41"/>
  <c r="C38" i="41" a="1"/>
  <c r="C38" i="41" s="1"/>
  <c r="D38" i="41" s="1"/>
  <c r="E40" i="41"/>
  <c r="E36" i="41"/>
  <c r="E30" i="41"/>
  <c r="E26" i="41"/>
  <c r="E25" i="41"/>
  <c r="E21" i="41"/>
  <c r="C21" i="41" s="1"/>
  <c r="E15" i="41"/>
  <c r="C15" i="41" s="1"/>
  <c r="E12" i="41"/>
  <c r="C12" i="41" s="1"/>
  <c r="G37" i="41"/>
  <c r="H41" i="41"/>
  <c r="I41" i="41"/>
  <c r="J35" i="41"/>
  <c r="K36" i="41"/>
  <c r="L36" i="41"/>
  <c r="M36" i="41"/>
  <c r="P37" i="41"/>
  <c r="P18" i="41"/>
  <c r="R40" i="41"/>
  <c r="R26" i="41"/>
  <c r="R21" i="41"/>
  <c r="T9" i="41"/>
  <c r="T34" i="41"/>
  <c r="T27" i="41"/>
  <c r="T22" i="41"/>
  <c r="V7" i="41"/>
  <c r="T35" i="41"/>
  <c r="P35" i="41"/>
  <c r="R35" i="41"/>
  <c r="T10" i="41"/>
  <c r="P10" i="41"/>
  <c r="J38" i="41"/>
  <c r="R10" i="41"/>
  <c r="J6" i="41"/>
  <c r="K6" i="41"/>
  <c r="B34" i="41"/>
  <c r="B27" i="41"/>
  <c r="B22" i="41"/>
  <c r="B16" i="41"/>
  <c r="J39" i="41"/>
  <c r="T39" i="41"/>
  <c r="P39" i="41"/>
  <c r="I39" i="41"/>
  <c r="H39" i="41"/>
  <c r="G39" i="41"/>
  <c r="J33" i="41"/>
  <c r="T33" i="41"/>
  <c r="P33" i="41"/>
  <c r="J29" i="41"/>
  <c r="T29" i="41"/>
  <c r="P29" i="41"/>
  <c r="T24" i="41"/>
  <c r="P24" i="41"/>
  <c r="T20" i="41"/>
  <c r="P20" i="41"/>
  <c r="T17" i="41"/>
  <c r="P17" i="41"/>
  <c r="T14" i="41"/>
  <c r="P14" i="41"/>
  <c r="T11" i="41"/>
  <c r="P11" i="41"/>
  <c r="C41" i="41" a="1"/>
  <c r="C41" i="41" s="1"/>
  <c r="D41" i="41" s="1"/>
  <c r="C37" i="41" a="1"/>
  <c r="C37" i="41" s="1"/>
  <c r="D37" i="41" s="1"/>
  <c r="E39" i="41"/>
  <c r="E33" i="41"/>
  <c r="E29" i="41"/>
  <c r="E24" i="41"/>
  <c r="E20" i="41"/>
  <c r="C20" i="41" s="1"/>
  <c r="E17" i="41"/>
  <c r="C17" i="41" s="1"/>
  <c r="E14" i="41"/>
  <c r="C14" i="41" s="1"/>
  <c r="E11" i="41"/>
  <c r="C11" i="41" s="1"/>
  <c r="K7" i="41"/>
  <c r="F37" i="41"/>
  <c r="G41" i="41"/>
  <c r="G36" i="41"/>
  <c r="H40" i="41"/>
  <c r="I40" i="41"/>
  <c r="J41" i="41"/>
  <c r="J34" i="41"/>
  <c r="P7" i="41"/>
  <c r="P36" i="41"/>
  <c r="P30" i="41"/>
  <c r="P25" i="41"/>
  <c r="P12" i="41"/>
  <c r="R39" i="41"/>
  <c r="R33" i="41"/>
  <c r="R19" i="41"/>
  <c r="R13" i="41"/>
  <c r="T40" i="41"/>
  <c r="T26" i="41"/>
  <c r="T21" i="41"/>
  <c r="T15" i="41"/>
  <c r="T27" i="42"/>
  <c r="T26" i="42"/>
  <c r="T23" i="42"/>
  <c r="T22" i="42"/>
  <c r="T20" i="42"/>
  <c r="T18" i="42"/>
  <c r="T17" i="42"/>
  <c r="T11" i="42"/>
  <c r="W27" i="42"/>
  <c r="W26" i="42"/>
  <c r="W23" i="42"/>
  <c r="W22" i="42"/>
  <c r="W20" i="42"/>
  <c r="W18" i="42"/>
  <c r="W17" i="42"/>
  <c r="W11" i="42"/>
  <c r="T10" i="42"/>
  <c r="K37" i="42"/>
  <c r="K20" i="42" s="1"/>
  <c r="K25" i="42"/>
  <c r="K23" i="42"/>
  <c r="K21" i="42"/>
  <c r="K17" i="42"/>
  <c r="K15" i="42"/>
  <c r="K13" i="42"/>
  <c r="K11" i="42"/>
  <c r="K9" i="42"/>
  <c r="K7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B40" i="42"/>
  <c r="M26" i="41"/>
  <c r="M6" i="41"/>
  <c r="M7" i="41"/>
  <c r="F9" i="41" l="1"/>
  <c r="L6" i="41"/>
  <c r="L7" i="41"/>
  <c r="K10" i="42"/>
  <c r="K18" i="42"/>
  <c r="K26" i="42"/>
  <c r="C29" i="41"/>
  <c r="D29" i="41" s="1"/>
  <c r="F21" i="41"/>
  <c r="K21" i="41" s="1"/>
  <c r="F10" i="41"/>
  <c r="F12" i="41"/>
  <c r="F25" i="41"/>
  <c r="C25" i="41"/>
  <c r="F16" i="41"/>
  <c r="F13" i="41"/>
  <c r="F28" i="41"/>
  <c r="C28" i="41"/>
  <c r="D11" i="41"/>
  <c r="D24" i="41"/>
  <c r="F15" i="41"/>
  <c r="F26" i="41"/>
  <c r="C26" i="41"/>
  <c r="D26" i="41" s="1"/>
  <c r="F18" i="41"/>
  <c r="F31" i="41"/>
  <c r="C31" i="41"/>
  <c r="F32" i="41"/>
  <c r="C32" i="41"/>
  <c r="D17" i="41"/>
  <c r="F23" i="41"/>
  <c r="D20" i="41"/>
  <c r="C33" i="41"/>
  <c r="D33" i="41" s="1"/>
  <c r="F27" i="41"/>
  <c r="C27" i="41"/>
  <c r="D14" i="41"/>
  <c r="F30" i="41"/>
  <c r="C30" i="41"/>
  <c r="F22" i="41"/>
  <c r="F34" i="41"/>
  <c r="C34" i="41"/>
  <c r="F19" i="41"/>
  <c r="D19" i="41"/>
  <c r="F35" i="41"/>
  <c r="K35" i="41" s="1"/>
  <c r="C35" i="41"/>
  <c r="D35" i="41" s="1"/>
  <c r="K16" i="42"/>
  <c r="K24" i="42"/>
  <c r="K8" i="42"/>
  <c r="K12" i="42"/>
  <c r="K14" i="42"/>
  <c r="K22" i="42"/>
  <c r="W24" i="42"/>
  <c r="K26" i="41" l="1"/>
  <c r="D25" i="41"/>
  <c r="K19" i="41"/>
  <c r="K15" i="41"/>
  <c r="K16" i="41"/>
  <c r="K23" i="41"/>
  <c r="F24" i="41"/>
  <c r="K24" i="41" s="1"/>
  <c r="D30" i="41"/>
  <c r="K25" i="41"/>
  <c r="K32" i="41"/>
  <c r="D34" i="41"/>
  <c r="K12" i="41"/>
  <c r="K31" i="41"/>
  <c r="K9" i="41"/>
  <c r="D22" i="41"/>
  <c r="D27" i="41"/>
  <c r="K10" i="41"/>
  <c r="K18" i="41"/>
  <c r="K28" i="41"/>
  <c r="D16" i="41"/>
  <c r="D21" i="41"/>
  <c r="K30" i="41"/>
  <c r="F11" i="41"/>
  <c r="K11" i="41" s="1"/>
  <c r="D10" i="41"/>
  <c r="D23" i="41"/>
  <c r="K27" i="41"/>
  <c r="F14" i="41"/>
  <c r="K14" i="41" s="1"/>
  <c r="K13" i="41"/>
  <c r="D18" i="41"/>
  <c r="D31" i="41"/>
  <c r="D13" i="41"/>
  <c r="D28" i="41"/>
  <c r="K22" i="41"/>
  <c r="K34" i="41"/>
  <c r="D9" i="41"/>
  <c r="F20" i="41"/>
  <c r="K20" i="41" s="1"/>
  <c r="F33" i="41"/>
  <c r="K33" i="41" s="1"/>
  <c r="D15" i="41"/>
  <c r="D32" i="41"/>
  <c r="F17" i="41"/>
  <c r="K17" i="41" s="1"/>
  <c r="F29" i="41"/>
  <c r="K29" i="41" s="1"/>
  <c r="D12" i="41"/>
  <c r="W19" i="42"/>
  <c r="W28" i="42"/>
  <c r="W12" i="42"/>
  <c r="M25" i="41"/>
  <c r="M33" i="41"/>
  <c r="M24" i="41"/>
  <c r="M22" i="41"/>
  <c r="M35" i="41"/>
  <c r="M28" i="41"/>
  <c r="M29" i="41"/>
  <c r="M30" i="41"/>
  <c r="M34" i="41"/>
  <c r="M31" i="41"/>
  <c r="M27" i="41"/>
  <c r="M32" i="41"/>
  <c r="M23" i="41"/>
  <c r="M21" i="41"/>
  <c r="M17" i="41"/>
  <c r="M16" i="41"/>
  <c r="M15" i="41"/>
  <c r="M14" i="41"/>
  <c r="M10" i="41"/>
  <c r="M20" i="41"/>
  <c r="M19" i="41"/>
  <c r="M13" i="41"/>
  <c r="M11" i="41"/>
  <c r="M18" i="41"/>
  <c r="M9" i="41"/>
  <c r="L21" i="41" l="1"/>
  <c r="H21" i="41"/>
  <c r="L17" i="41"/>
  <c r="H17" i="41"/>
  <c r="I17" i="41"/>
  <c r="I16" i="41"/>
  <c r="H16" i="41"/>
  <c r="L16" i="41"/>
  <c r="L15" i="41"/>
  <c r="I15" i="41"/>
  <c r="H15" i="41"/>
  <c r="H14" i="41"/>
  <c r="I14" i="41"/>
  <c r="L14" i="41"/>
  <c r="H20" i="41"/>
  <c r="H18" i="41"/>
  <c r="H19" i="41"/>
  <c r="H10" i="41"/>
  <c r="H13" i="41"/>
  <c r="H11" i="41"/>
  <c r="H9" i="41"/>
  <c r="L13" i="41"/>
  <c r="L11" i="41"/>
  <c r="L20" i="41"/>
  <c r="L18" i="41"/>
  <c r="L19" i="41"/>
  <c r="L10" i="41"/>
  <c r="I13" i="41"/>
  <c r="I11" i="41"/>
  <c r="I20" i="41"/>
  <c r="I18" i="41"/>
  <c r="I19" i="41"/>
  <c r="I10" i="41"/>
  <c r="L9" i="41"/>
  <c r="I9" i="41"/>
  <c r="M5" i="41"/>
  <c r="M4" i="41"/>
  <c r="M12" i="41"/>
  <c r="H12" i="41" l="1"/>
  <c r="H4" i="41"/>
  <c r="L12" i="41"/>
  <c r="I12" i="41"/>
  <c r="L4" i="41"/>
  <c r="I4" i="41"/>
  <c r="V34" i="41"/>
  <c r="G34" i="41"/>
  <c r="T52" i="41" l="1"/>
  <c r="P40" i="42" l="1"/>
  <c r="P39" i="42"/>
  <c r="P38" i="42"/>
  <c r="Q26" i="42" l="1"/>
  <c r="Q38" i="42"/>
  <c r="Q39" i="42"/>
  <c r="Q40" i="42"/>
  <c r="Q32" i="42"/>
  <c r="Q28" i="42"/>
  <c r="Q25" i="42"/>
  <c r="Q24" i="42"/>
  <c r="Q22" i="42"/>
  <c r="Q20" i="42"/>
  <c r="Q30" i="42"/>
  <c r="Q29" i="42"/>
  <c r="Q33" i="42"/>
  <c r="Q34" i="42"/>
  <c r="Q21" i="42"/>
  <c r="T19" i="42"/>
  <c r="J18" i="42"/>
  <c r="I26" i="42"/>
  <c r="I22" i="42"/>
  <c r="I18" i="42"/>
  <c r="I14" i="42"/>
  <c r="I10" i="42"/>
  <c r="J22" i="42" l="1"/>
  <c r="J10" i="42"/>
  <c r="J26" i="42"/>
  <c r="J14" i="42"/>
  <c r="T28" i="42"/>
  <c r="J12" i="42"/>
  <c r="J16" i="42"/>
  <c r="J20" i="42"/>
  <c r="J24" i="42"/>
  <c r="T12" i="42"/>
  <c r="I12" i="42"/>
  <c r="I16" i="42"/>
  <c r="I20" i="42"/>
  <c r="I24" i="42"/>
  <c r="I8" i="42"/>
  <c r="J8" i="42"/>
  <c r="T24" i="42"/>
  <c r="Q11" i="42"/>
  <c r="Q14" i="42"/>
  <c r="Q10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O82" i="1"/>
  <c r="Z82" i="1"/>
  <c r="AB82" i="1" s="1"/>
  <c r="O83" i="1"/>
  <c r="Z83" i="1"/>
  <c r="AB83" i="1" s="1"/>
  <c r="O84" i="1"/>
  <c r="Z84" i="1"/>
  <c r="AB84" i="1" s="1"/>
  <c r="O85" i="1"/>
  <c r="Z85" i="1"/>
  <c r="AB85" i="1" s="1"/>
  <c r="O86" i="1"/>
  <c r="Z86" i="1"/>
  <c r="AB86" i="1" s="1"/>
  <c r="O87" i="1"/>
  <c r="Z87" i="1"/>
  <c r="AB87" i="1" s="1"/>
  <c r="O88" i="1"/>
  <c r="Z88" i="1"/>
  <c r="AB88" i="1" s="1"/>
  <c r="O89" i="1"/>
  <c r="Z89" i="1"/>
  <c r="AB89" i="1" s="1"/>
  <c r="O90" i="1"/>
  <c r="Z90" i="1"/>
  <c r="AB90" i="1" s="1"/>
  <c r="O91" i="1"/>
  <c r="Z91" i="1"/>
  <c r="AB91" i="1" s="1"/>
  <c r="O92" i="1"/>
  <c r="Z92" i="1"/>
  <c r="AB92" i="1" s="1"/>
  <c r="O93" i="1"/>
  <c r="Z93" i="1"/>
  <c r="AB93" i="1" s="1"/>
  <c r="O94" i="1"/>
  <c r="Z94" i="1"/>
  <c r="AB94" i="1" s="1"/>
  <c r="O95" i="1"/>
  <c r="Z95" i="1"/>
  <c r="AB95" i="1" s="1"/>
  <c r="O96" i="1"/>
  <c r="Z96" i="1"/>
  <c r="AB96" i="1" s="1"/>
  <c r="O97" i="1"/>
  <c r="Z97" i="1"/>
  <c r="AB97" i="1" s="1"/>
  <c r="O98" i="1"/>
  <c r="Z98" i="1"/>
  <c r="AB98" i="1" s="1"/>
  <c r="O99" i="1"/>
  <c r="Z99" i="1"/>
  <c r="AB99" i="1" s="1"/>
  <c r="O100" i="1"/>
  <c r="Z100" i="1"/>
  <c r="AB100" i="1" s="1"/>
  <c r="O101" i="1"/>
  <c r="Z101" i="1"/>
  <c r="AB101" i="1" s="1"/>
  <c r="O102" i="1"/>
  <c r="Z102" i="1"/>
  <c r="AB102" i="1" s="1"/>
  <c r="O103" i="1"/>
  <c r="Z103" i="1"/>
  <c r="AB103" i="1" s="1"/>
  <c r="O104" i="1"/>
  <c r="Z104" i="1"/>
  <c r="AB104" i="1" s="1"/>
  <c r="O105" i="1"/>
  <c r="Z105" i="1"/>
  <c r="AB105" i="1" s="1"/>
  <c r="O106" i="1"/>
  <c r="Z106" i="1"/>
  <c r="AB106" i="1" s="1"/>
  <c r="O107" i="1"/>
  <c r="Z107" i="1"/>
  <c r="AB107" i="1" s="1"/>
  <c r="O108" i="1"/>
  <c r="Z108" i="1"/>
  <c r="AB108" i="1" s="1"/>
  <c r="O109" i="1"/>
  <c r="Z109" i="1"/>
  <c r="AB109" i="1" s="1"/>
  <c r="O110" i="1"/>
  <c r="Z110" i="1"/>
  <c r="AB110" i="1" s="1"/>
  <c r="O111" i="1"/>
  <c r="Z111" i="1"/>
  <c r="AB111" i="1" s="1"/>
  <c r="O112" i="1"/>
  <c r="Z112" i="1"/>
  <c r="AB112" i="1" s="1"/>
  <c r="O113" i="1"/>
  <c r="Z113" i="1"/>
  <c r="AB113" i="1" s="1"/>
  <c r="O114" i="1"/>
  <c r="Z114" i="1"/>
  <c r="AB114" i="1" s="1"/>
  <c r="O115" i="1"/>
  <c r="Z115" i="1"/>
  <c r="AB115" i="1" s="1"/>
  <c r="O116" i="1"/>
  <c r="Z116" i="1"/>
  <c r="AB116" i="1" s="1"/>
  <c r="O117" i="1"/>
  <c r="Z117" i="1"/>
  <c r="AB117" i="1" s="1"/>
  <c r="O118" i="1"/>
  <c r="Z118" i="1"/>
  <c r="AB118" i="1" s="1"/>
  <c r="O119" i="1"/>
  <c r="Z119" i="1"/>
  <c r="AB119" i="1" s="1"/>
  <c r="O120" i="1"/>
  <c r="Z120" i="1"/>
  <c r="AB120" i="1" s="1"/>
  <c r="O121" i="1"/>
  <c r="Z121" i="1"/>
  <c r="AB121" i="1" s="1"/>
  <c r="O122" i="1"/>
  <c r="Z122" i="1"/>
  <c r="AB122" i="1" s="1"/>
  <c r="O123" i="1"/>
  <c r="Z123" i="1"/>
  <c r="AB123" i="1" s="1"/>
  <c r="O124" i="1"/>
  <c r="Z124" i="1"/>
  <c r="AB124" i="1" s="1"/>
  <c r="O125" i="1"/>
  <c r="Z125" i="1"/>
  <c r="AB125" i="1" s="1"/>
  <c r="O126" i="1"/>
  <c r="Z126" i="1"/>
  <c r="AB126" i="1" s="1"/>
  <c r="O127" i="1"/>
  <c r="Z127" i="1"/>
  <c r="AB127" i="1" s="1"/>
  <c r="O128" i="1"/>
  <c r="Z128" i="1"/>
  <c r="AB128" i="1" s="1"/>
  <c r="O129" i="1"/>
  <c r="Z129" i="1"/>
  <c r="AB129" i="1" s="1"/>
  <c r="O130" i="1"/>
  <c r="Z130" i="1"/>
  <c r="AB130" i="1" s="1"/>
  <c r="O131" i="1"/>
  <c r="Z131" i="1"/>
  <c r="AB131" i="1" s="1"/>
  <c r="O132" i="1"/>
  <c r="Z132" i="1"/>
  <c r="AB132" i="1" s="1"/>
  <c r="O133" i="1"/>
  <c r="Z133" i="1"/>
  <c r="AB133" i="1" s="1"/>
  <c r="O134" i="1"/>
  <c r="Z134" i="1"/>
  <c r="AB134" i="1" s="1"/>
  <c r="O135" i="1"/>
  <c r="Z135" i="1"/>
  <c r="AB135" i="1" s="1"/>
  <c r="O136" i="1"/>
  <c r="Z136" i="1"/>
  <c r="AB136" i="1" s="1"/>
  <c r="O137" i="1"/>
  <c r="Z137" i="1"/>
  <c r="AB137" i="1" s="1"/>
  <c r="O138" i="1"/>
  <c r="Z138" i="1"/>
  <c r="AB138" i="1" s="1"/>
  <c r="O139" i="1"/>
  <c r="Z139" i="1"/>
  <c r="AB139" i="1" s="1"/>
  <c r="O140" i="1"/>
  <c r="Z140" i="1"/>
  <c r="AB140" i="1" s="1"/>
  <c r="O141" i="1"/>
  <c r="Z141" i="1"/>
  <c r="AB141" i="1" s="1"/>
  <c r="O142" i="1"/>
  <c r="Z142" i="1"/>
  <c r="AB142" i="1" s="1"/>
  <c r="O143" i="1"/>
  <c r="Z143" i="1"/>
  <c r="AB143" i="1" s="1"/>
  <c r="O144" i="1"/>
  <c r="Z144" i="1"/>
  <c r="AB144" i="1" s="1"/>
  <c r="O145" i="1"/>
  <c r="Z145" i="1"/>
  <c r="AB145" i="1" s="1"/>
  <c r="O146" i="1"/>
  <c r="Z146" i="1"/>
  <c r="AB146" i="1" s="1"/>
  <c r="O147" i="1"/>
  <c r="Z147" i="1"/>
  <c r="AB147" i="1" s="1"/>
  <c r="O148" i="1"/>
  <c r="Z148" i="1"/>
  <c r="AB148" i="1" s="1"/>
  <c r="O149" i="1"/>
  <c r="Z149" i="1"/>
  <c r="AB149" i="1" s="1"/>
  <c r="O150" i="1"/>
  <c r="Z150" i="1"/>
  <c r="AB150" i="1" s="1"/>
  <c r="O151" i="1"/>
  <c r="Z151" i="1"/>
  <c r="AB151" i="1" s="1"/>
  <c r="O152" i="1"/>
  <c r="Z152" i="1"/>
  <c r="AB152" i="1" s="1"/>
  <c r="O153" i="1"/>
  <c r="Z153" i="1"/>
  <c r="AB153" i="1" s="1"/>
  <c r="O154" i="1"/>
  <c r="Z154" i="1"/>
  <c r="AB154" i="1" s="1"/>
  <c r="O155" i="1"/>
  <c r="Z155" i="1"/>
  <c r="AB155" i="1" s="1"/>
  <c r="O156" i="1"/>
  <c r="Z156" i="1"/>
  <c r="AB156" i="1" s="1"/>
  <c r="O157" i="1"/>
  <c r="Z157" i="1"/>
  <c r="AB157" i="1" s="1"/>
  <c r="O158" i="1"/>
  <c r="Z158" i="1"/>
  <c r="AB158" i="1" s="1"/>
  <c r="O159" i="1"/>
  <c r="Z159" i="1"/>
  <c r="AB159" i="1" s="1"/>
  <c r="O160" i="1"/>
  <c r="Z160" i="1"/>
  <c r="AB160" i="1" s="1"/>
  <c r="O161" i="1"/>
  <c r="Z161" i="1"/>
  <c r="AB161" i="1" s="1"/>
  <c r="O162" i="1"/>
  <c r="Z162" i="1"/>
  <c r="AB162" i="1" s="1"/>
  <c r="O163" i="1"/>
  <c r="Z163" i="1"/>
  <c r="AB163" i="1" s="1"/>
  <c r="O164" i="1"/>
  <c r="Z164" i="1"/>
  <c r="AB164" i="1" s="1"/>
  <c r="O165" i="1"/>
  <c r="Z165" i="1"/>
  <c r="AB165" i="1" s="1"/>
  <c r="O166" i="1"/>
  <c r="Z166" i="1"/>
  <c r="AB166" i="1" s="1"/>
  <c r="O167" i="1"/>
  <c r="Z167" i="1"/>
  <c r="AB167" i="1" s="1"/>
  <c r="O168" i="1"/>
  <c r="Z168" i="1"/>
  <c r="AB168" i="1" s="1"/>
  <c r="O169" i="1"/>
  <c r="Z169" i="1"/>
  <c r="AB169" i="1" s="1"/>
  <c r="O170" i="1"/>
  <c r="Z170" i="1"/>
  <c r="AB170" i="1" s="1"/>
  <c r="O171" i="1"/>
  <c r="Z171" i="1"/>
  <c r="AB171" i="1" s="1"/>
  <c r="O172" i="1"/>
  <c r="Z172" i="1"/>
  <c r="AB172" i="1" s="1"/>
  <c r="O173" i="1"/>
  <c r="Z173" i="1"/>
  <c r="AB173" i="1" s="1"/>
  <c r="O174" i="1"/>
  <c r="Z174" i="1"/>
  <c r="AB174" i="1" s="1"/>
  <c r="O175" i="1"/>
  <c r="Z175" i="1"/>
  <c r="AB175" i="1" s="1"/>
  <c r="O176" i="1"/>
  <c r="Z176" i="1"/>
  <c r="AB176" i="1" s="1"/>
  <c r="O177" i="1"/>
  <c r="Z177" i="1"/>
  <c r="AB177" i="1" s="1"/>
  <c r="O178" i="1"/>
  <c r="Z178" i="1"/>
  <c r="AB178" i="1" s="1"/>
  <c r="O179" i="1"/>
  <c r="Z179" i="1"/>
  <c r="AB179" i="1" s="1"/>
  <c r="O180" i="1"/>
  <c r="Z180" i="1"/>
  <c r="AB180" i="1" s="1"/>
  <c r="O181" i="1"/>
  <c r="Z181" i="1"/>
  <c r="AB181" i="1" s="1"/>
  <c r="O182" i="1"/>
  <c r="Z182" i="1"/>
  <c r="AB182" i="1" s="1"/>
  <c r="O183" i="1"/>
  <c r="Z183" i="1"/>
  <c r="AB183" i="1" s="1"/>
  <c r="O184" i="1"/>
  <c r="Z184" i="1"/>
  <c r="AB184" i="1" s="1"/>
  <c r="O185" i="1"/>
  <c r="Z185" i="1"/>
  <c r="AB185" i="1" s="1"/>
  <c r="O186" i="1"/>
  <c r="Z186" i="1"/>
  <c r="AB186" i="1" s="1"/>
  <c r="O187" i="1"/>
  <c r="Z187" i="1"/>
  <c r="AB187" i="1" s="1"/>
  <c r="O188" i="1"/>
  <c r="Z188" i="1"/>
  <c r="AB188" i="1" s="1"/>
  <c r="O189" i="1"/>
  <c r="Z189" i="1"/>
  <c r="AB189" i="1" s="1"/>
  <c r="O190" i="1"/>
  <c r="Z190" i="1"/>
  <c r="AB190" i="1" s="1"/>
  <c r="O191" i="1"/>
  <c r="Z191" i="1"/>
  <c r="AB191" i="1" s="1"/>
  <c r="O192" i="1"/>
  <c r="Z192" i="1"/>
  <c r="AB192" i="1" s="1"/>
  <c r="O193" i="1"/>
  <c r="Z193" i="1"/>
  <c r="AB193" i="1" s="1"/>
  <c r="O194" i="1"/>
  <c r="Z194" i="1"/>
  <c r="AB194" i="1" s="1"/>
  <c r="O195" i="1"/>
  <c r="Z195" i="1"/>
  <c r="AB195" i="1" s="1"/>
  <c r="O196" i="1"/>
  <c r="Z196" i="1"/>
  <c r="AB196" i="1" s="1"/>
  <c r="O197" i="1"/>
  <c r="Z197" i="1"/>
  <c r="AB197" i="1" s="1"/>
  <c r="O198" i="1"/>
  <c r="Z198" i="1"/>
  <c r="AB198" i="1" s="1"/>
  <c r="O199" i="1"/>
  <c r="Z199" i="1"/>
  <c r="AB199" i="1" s="1"/>
  <c r="O200" i="1"/>
  <c r="Z200" i="1"/>
  <c r="AB200" i="1" s="1"/>
  <c r="O201" i="1"/>
  <c r="Z201" i="1"/>
  <c r="AB201" i="1" s="1"/>
  <c r="O202" i="1"/>
  <c r="Z202" i="1"/>
  <c r="AB202" i="1" s="1"/>
  <c r="O203" i="1"/>
  <c r="Z203" i="1"/>
  <c r="AB203" i="1" s="1"/>
  <c r="O204" i="1"/>
  <c r="Z204" i="1"/>
  <c r="AB204" i="1" s="1"/>
  <c r="O205" i="1"/>
  <c r="Z205" i="1"/>
  <c r="AB205" i="1" s="1"/>
  <c r="O206" i="1"/>
  <c r="Z206" i="1"/>
  <c r="AB206" i="1" s="1"/>
  <c r="O207" i="1"/>
  <c r="Z207" i="1"/>
  <c r="AB207" i="1" s="1"/>
  <c r="O208" i="1"/>
  <c r="Z208" i="1"/>
  <c r="AB208" i="1" s="1"/>
  <c r="O209" i="1"/>
  <c r="Z209" i="1"/>
  <c r="AB209" i="1" s="1"/>
  <c r="O210" i="1"/>
  <c r="Z210" i="1"/>
  <c r="AB210" i="1" s="1"/>
  <c r="O211" i="1"/>
  <c r="Z211" i="1"/>
  <c r="AB211" i="1" s="1"/>
  <c r="O212" i="1"/>
  <c r="Z212" i="1"/>
  <c r="AB212" i="1" s="1"/>
  <c r="O213" i="1"/>
  <c r="Z213" i="1"/>
  <c r="AB213" i="1" s="1"/>
  <c r="O214" i="1"/>
  <c r="Z214" i="1"/>
  <c r="AB214" i="1" s="1"/>
  <c r="O215" i="1"/>
  <c r="Z215" i="1"/>
  <c r="AB215" i="1" s="1"/>
  <c r="O216" i="1"/>
  <c r="Z216" i="1"/>
  <c r="AB216" i="1" s="1"/>
  <c r="O217" i="1"/>
  <c r="Z217" i="1"/>
  <c r="AB217" i="1" s="1"/>
  <c r="O218" i="1"/>
  <c r="Z218" i="1"/>
  <c r="AB218" i="1" s="1"/>
  <c r="O219" i="1"/>
  <c r="Z219" i="1"/>
  <c r="AB219" i="1" s="1"/>
  <c r="O220" i="1"/>
  <c r="Z220" i="1"/>
  <c r="AB220" i="1" s="1"/>
  <c r="O221" i="1"/>
  <c r="Z221" i="1"/>
  <c r="AB221" i="1" s="1"/>
  <c r="O222" i="1"/>
  <c r="Z222" i="1"/>
  <c r="AB222" i="1" s="1"/>
  <c r="O223" i="1"/>
  <c r="Z223" i="1"/>
  <c r="AB223" i="1" s="1"/>
  <c r="O224" i="1"/>
  <c r="Z224" i="1"/>
  <c r="AB224" i="1" s="1"/>
  <c r="O225" i="1"/>
  <c r="Z225" i="1"/>
  <c r="AB225" i="1" s="1"/>
  <c r="O226" i="1"/>
  <c r="Z226" i="1"/>
  <c r="AB226" i="1" s="1"/>
  <c r="O227" i="1"/>
  <c r="Z227" i="1"/>
  <c r="AB227" i="1" s="1"/>
  <c r="O228" i="1"/>
  <c r="Z228" i="1"/>
  <c r="AB228" i="1" s="1"/>
  <c r="O229" i="1"/>
  <c r="Z229" i="1"/>
  <c r="AB229" i="1" s="1"/>
  <c r="O230" i="1"/>
  <c r="Z230" i="1"/>
  <c r="AB230" i="1" s="1"/>
  <c r="O231" i="1"/>
  <c r="Z231" i="1"/>
  <c r="AB231" i="1" s="1"/>
  <c r="O232" i="1"/>
  <c r="Z232" i="1"/>
  <c r="AB232" i="1" s="1"/>
  <c r="O233" i="1"/>
  <c r="Z233" i="1"/>
  <c r="AB233" i="1" s="1"/>
  <c r="O234" i="1"/>
  <c r="Z234" i="1"/>
  <c r="AB234" i="1" s="1"/>
  <c r="O235" i="1"/>
  <c r="Z235" i="1"/>
  <c r="AB235" i="1" s="1"/>
  <c r="O236" i="1"/>
  <c r="Z236" i="1"/>
  <c r="AB236" i="1" s="1"/>
  <c r="O237" i="1"/>
  <c r="Z237" i="1"/>
  <c r="AB237" i="1" s="1"/>
  <c r="O238" i="1"/>
  <c r="Z238" i="1"/>
  <c r="AB238" i="1" s="1"/>
  <c r="O239" i="1"/>
  <c r="Z239" i="1"/>
  <c r="AB239" i="1" s="1"/>
  <c r="O240" i="1"/>
  <c r="Z240" i="1"/>
  <c r="AB240" i="1" s="1"/>
  <c r="O241" i="1"/>
  <c r="Z241" i="1"/>
  <c r="AB241" i="1" s="1"/>
  <c r="O242" i="1"/>
  <c r="Z242" i="1"/>
  <c r="AB242" i="1" s="1"/>
  <c r="O243" i="1"/>
  <c r="Z243" i="1"/>
  <c r="AB243" i="1" s="1"/>
  <c r="O244" i="1"/>
  <c r="Z244" i="1"/>
  <c r="AB244" i="1" s="1"/>
  <c r="O245" i="1"/>
  <c r="Z245" i="1"/>
  <c r="AB245" i="1" s="1"/>
  <c r="O246" i="1"/>
  <c r="Z246" i="1"/>
  <c r="AB246" i="1" s="1"/>
  <c r="O247" i="1"/>
  <c r="Z247" i="1"/>
  <c r="AB247" i="1" s="1"/>
  <c r="O248" i="1"/>
  <c r="Z248" i="1"/>
  <c r="AB248" i="1" s="1"/>
  <c r="O249" i="1"/>
  <c r="Z249" i="1"/>
  <c r="AB249" i="1" s="1"/>
  <c r="O250" i="1"/>
  <c r="Z250" i="1"/>
  <c r="AB250" i="1" s="1"/>
  <c r="O251" i="1"/>
  <c r="Z251" i="1"/>
  <c r="AB251" i="1" s="1"/>
  <c r="O252" i="1"/>
  <c r="Z252" i="1"/>
  <c r="AB252" i="1" s="1"/>
  <c r="O253" i="1"/>
  <c r="Z253" i="1"/>
  <c r="AB253" i="1" s="1"/>
  <c r="O254" i="1"/>
  <c r="Z254" i="1"/>
  <c r="AB254" i="1" s="1"/>
  <c r="O255" i="1"/>
  <c r="Z255" i="1"/>
  <c r="AB255" i="1" s="1"/>
  <c r="O256" i="1"/>
  <c r="Z256" i="1"/>
  <c r="AB256" i="1" s="1"/>
  <c r="O257" i="1"/>
  <c r="Z257" i="1"/>
  <c r="AB257" i="1" s="1"/>
  <c r="O258" i="1"/>
  <c r="Z258" i="1"/>
  <c r="AB258" i="1" s="1"/>
  <c r="O259" i="1"/>
  <c r="Z259" i="1"/>
  <c r="AB259" i="1" s="1"/>
  <c r="O260" i="1"/>
  <c r="Z260" i="1"/>
  <c r="AB260" i="1" s="1"/>
  <c r="O261" i="1"/>
  <c r="Z261" i="1"/>
  <c r="AB261" i="1" s="1"/>
  <c r="O262" i="1"/>
  <c r="Z262" i="1"/>
  <c r="AB262" i="1" s="1"/>
  <c r="O263" i="1"/>
  <c r="Z263" i="1"/>
  <c r="AB263" i="1" s="1"/>
  <c r="O264" i="1"/>
  <c r="Z264" i="1"/>
  <c r="AB264" i="1" s="1"/>
  <c r="O265" i="1"/>
  <c r="Z265" i="1"/>
  <c r="AB265" i="1" s="1"/>
  <c r="O266" i="1"/>
  <c r="Z266" i="1"/>
  <c r="AB266" i="1" s="1"/>
  <c r="O267" i="1"/>
  <c r="Z267" i="1"/>
  <c r="AB267" i="1" s="1"/>
  <c r="O268" i="1"/>
  <c r="Z268" i="1"/>
  <c r="AB268" i="1" s="1"/>
  <c r="O269" i="1"/>
  <c r="Z269" i="1"/>
  <c r="AB269" i="1" s="1"/>
  <c r="O270" i="1"/>
  <c r="Z270" i="1"/>
  <c r="AB270" i="1" s="1"/>
  <c r="O271" i="1"/>
  <c r="Z271" i="1"/>
  <c r="AB271" i="1" s="1"/>
  <c r="O272" i="1"/>
  <c r="Z272" i="1"/>
  <c r="AB272" i="1" s="1"/>
  <c r="O273" i="1"/>
  <c r="Z273" i="1"/>
  <c r="AB273" i="1" s="1"/>
  <c r="O274" i="1"/>
  <c r="Z274" i="1"/>
  <c r="AB274" i="1" s="1"/>
  <c r="O275" i="1"/>
  <c r="Z275" i="1"/>
  <c r="AB275" i="1" s="1"/>
  <c r="O276" i="1"/>
  <c r="Z276" i="1"/>
  <c r="AB276" i="1" s="1"/>
  <c r="O277" i="1"/>
  <c r="Z277" i="1"/>
  <c r="AB277" i="1" s="1"/>
  <c r="O278" i="1"/>
  <c r="Z278" i="1"/>
  <c r="AB278" i="1" s="1"/>
  <c r="O279" i="1"/>
  <c r="Z279" i="1"/>
  <c r="AB279" i="1" s="1"/>
  <c r="O280" i="1"/>
  <c r="Z280" i="1"/>
  <c r="AB280" i="1" s="1"/>
  <c r="O281" i="1"/>
  <c r="Z281" i="1"/>
  <c r="AB281" i="1" s="1"/>
  <c r="O282" i="1"/>
  <c r="Z282" i="1"/>
  <c r="AB282" i="1" s="1"/>
  <c r="O283" i="1"/>
  <c r="Z283" i="1"/>
  <c r="AB283" i="1" s="1"/>
  <c r="O284" i="1"/>
  <c r="Z284" i="1"/>
  <c r="AB284" i="1" s="1"/>
  <c r="O285" i="1"/>
  <c r="Z285" i="1"/>
  <c r="AB285" i="1" s="1"/>
  <c r="O286" i="1"/>
  <c r="Z286" i="1"/>
  <c r="AB286" i="1" s="1"/>
  <c r="O287" i="1"/>
  <c r="Z287" i="1"/>
  <c r="AB287" i="1" s="1"/>
  <c r="O288" i="1"/>
  <c r="Z288" i="1"/>
  <c r="AB288" i="1" s="1"/>
  <c r="O289" i="1"/>
  <c r="Z289" i="1"/>
  <c r="AB289" i="1" s="1"/>
  <c r="O290" i="1"/>
  <c r="Z290" i="1"/>
  <c r="AB290" i="1" s="1"/>
  <c r="O291" i="1"/>
  <c r="Z291" i="1"/>
  <c r="AB291" i="1" s="1"/>
  <c r="O292" i="1"/>
  <c r="Z292" i="1"/>
  <c r="AB292" i="1" s="1"/>
  <c r="O293" i="1"/>
  <c r="Z293" i="1"/>
  <c r="AB293" i="1" s="1"/>
  <c r="O294" i="1"/>
  <c r="Z294" i="1"/>
  <c r="AB294" i="1" s="1"/>
  <c r="O295" i="1"/>
  <c r="Z295" i="1"/>
  <c r="AB295" i="1" s="1"/>
  <c r="O296" i="1"/>
  <c r="Z296" i="1"/>
  <c r="AB296" i="1" s="1"/>
  <c r="O297" i="1"/>
  <c r="Z297" i="1"/>
  <c r="AB297" i="1" s="1"/>
  <c r="E1" i="42"/>
  <c r="E21" i="42" l="1"/>
  <c r="E20" i="42"/>
  <c r="D21" i="42"/>
  <c r="F4" i="41"/>
  <c r="E7" i="42" s="1"/>
  <c r="E8" i="42" s="1"/>
  <c r="E5" i="41"/>
  <c r="F3" i="41"/>
  <c r="D7" i="42" s="1"/>
  <c r="D8" i="42" s="1"/>
  <c r="J5" i="41"/>
  <c r="E25" i="42"/>
  <c r="E29" i="42"/>
  <c r="E33" i="42"/>
  <c r="E37" i="42"/>
  <c r="E24" i="42"/>
  <c r="D27" i="42"/>
  <c r="D31" i="42"/>
  <c r="D35" i="42"/>
  <c r="D39" i="42"/>
  <c r="V45" i="41"/>
  <c r="V49" i="41"/>
  <c r="E26" i="42"/>
  <c r="E30" i="42"/>
  <c r="E34" i="42"/>
  <c r="E38" i="42"/>
  <c r="D28" i="42"/>
  <c r="D32" i="42"/>
  <c r="D36" i="42"/>
  <c r="D40" i="42"/>
  <c r="V48" i="41"/>
  <c r="V51" i="41"/>
  <c r="V60" i="41"/>
  <c r="V70" i="41"/>
  <c r="V50" i="41"/>
  <c r="V55" i="41"/>
  <c r="V59" i="41"/>
  <c r="V63" i="41"/>
  <c r="V67" i="41"/>
  <c r="V71" i="41"/>
  <c r="V58" i="41"/>
  <c r="V66" i="41"/>
  <c r="E27" i="42"/>
  <c r="E31" i="42"/>
  <c r="E35" i="42"/>
  <c r="E39" i="42"/>
  <c r="D25" i="42"/>
  <c r="D29" i="42"/>
  <c r="D33" i="42"/>
  <c r="D37" i="42"/>
  <c r="V47" i="41"/>
  <c r="D24" i="42"/>
  <c r="E28" i="42"/>
  <c r="E32" i="42"/>
  <c r="E36" i="42"/>
  <c r="E40" i="42"/>
  <c r="D26" i="42"/>
  <c r="D30" i="42"/>
  <c r="D34" i="42"/>
  <c r="D38" i="42"/>
  <c r="V44" i="41"/>
  <c r="V56" i="41"/>
  <c r="V64" i="41"/>
  <c r="V46" i="41"/>
  <c r="V53" i="41"/>
  <c r="V57" i="41"/>
  <c r="V61" i="41"/>
  <c r="V65" i="41"/>
  <c r="V69" i="41"/>
  <c r="V54" i="41"/>
  <c r="V62" i="41"/>
  <c r="V68" i="41"/>
  <c r="B7" i="42" l="1"/>
  <c r="B8" i="42" s="1"/>
  <c r="C7" i="42"/>
  <c r="C8" i="42" s="1"/>
  <c r="C3" i="41"/>
  <c r="D3" i="41" s="1"/>
  <c r="E16" i="42" s="1"/>
  <c r="C4" i="41"/>
  <c r="D4" i="41" s="1"/>
  <c r="D16" i="42" s="1"/>
  <c r="C2" i="41"/>
  <c r="K5" i="41"/>
  <c r="D5" i="41"/>
  <c r="J52" i="41"/>
  <c r="D20" i="42"/>
  <c r="N4" i="41"/>
  <c r="H30" i="41"/>
  <c r="H34" i="41"/>
  <c r="H31" i="41"/>
  <c r="H32" i="41"/>
  <c r="L34" i="41"/>
  <c r="L32" i="41"/>
  <c r="H35" i="41"/>
  <c r="L35" i="41"/>
  <c r="I26" i="41"/>
  <c r="H33" i="41"/>
  <c r="L33" i="41"/>
  <c r="H29" i="41"/>
  <c r="I34" i="41"/>
  <c r="I27" i="41"/>
  <c r="B52" i="41"/>
  <c r="K4" i="41" l="1"/>
  <c r="K3" i="41"/>
  <c r="D2" i="41"/>
  <c r="B16" i="42" s="1"/>
  <c r="C52" i="41"/>
  <c r="F52" i="41"/>
  <c r="K2" i="41"/>
  <c r="K52" i="41" s="1"/>
  <c r="L5" i="41"/>
  <c r="I24" i="41"/>
  <c r="I25" i="41"/>
  <c r="I22" i="41"/>
  <c r="I23" i="41"/>
  <c r="I21" i="41"/>
  <c r="AP5" i="10"/>
  <c r="AP3" i="10"/>
  <c r="AP2" i="10"/>
  <c r="AU79" i="10"/>
  <c r="AU91" i="10"/>
  <c r="AU73" i="10"/>
  <c r="AU76" i="10"/>
  <c r="AU94" i="10"/>
  <c r="AW102" i="10"/>
  <c r="AW99" i="10"/>
  <c r="AU102" i="10"/>
  <c r="AU99" i="10"/>
  <c r="AW94" i="10"/>
  <c r="AW91" i="10"/>
  <c r="AW88" i="10"/>
  <c r="AU88" i="10"/>
  <c r="AW85" i="10"/>
  <c r="AU85" i="10"/>
  <c r="AW82" i="10"/>
  <c r="AU82" i="10"/>
  <c r="AW79" i="10"/>
  <c r="AW76" i="10"/>
  <c r="AW73" i="10"/>
  <c r="R12" i="41"/>
  <c r="V32" i="41"/>
  <c r="I32" i="41" s="1"/>
  <c r="AK55" i="10"/>
  <c r="AK54" i="10"/>
  <c r="AK53" i="10"/>
  <c r="AI55" i="10"/>
  <c r="AI54" i="10"/>
  <c r="AI53" i="10"/>
  <c r="AE55" i="10"/>
  <c r="AE54" i="10"/>
  <c r="AE53" i="10"/>
  <c r="O29" i="24"/>
  <c r="M29" i="24" s="1"/>
  <c r="O30" i="24"/>
  <c r="M30" i="24" s="1"/>
  <c r="O33" i="24"/>
  <c r="M33" i="24" s="1"/>
  <c r="M3" i="41"/>
  <c r="N2" i="41" l="1"/>
  <c r="H3" i="41"/>
  <c r="H2" i="41"/>
  <c r="D17" i="42"/>
  <c r="L3" i="41"/>
  <c r="I3" i="41"/>
  <c r="I2" i="41"/>
  <c r="D52" i="41"/>
  <c r="R31" i="41"/>
  <c r="R16" i="41"/>
  <c r="G32" i="41"/>
  <c r="V30" i="41"/>
  <c r="I30" i="41" s="1"/>
  <c r="G30" i="41"/>
  <c r="G29" i="41"/>
  <c r="V29" i="41"/>
  <c r="I29" i="41" s="1"/>
  <c r="I28" i="41"/>
  <c r="V35" i="41"/>
  <c r="I35" i="41" s="1"/>
  <c r="G35" i="41"/>
  <c r="G31" i="41"/>
  <c r="V31" i="41"/>
  <c r="I31" i="41" s="1"/>
  <c r="V41" i="41"/>
  <c r="V42" i="41"/>
  <c r="V43" i="41"/>
  <c r="V33" i="41"/>
  <c r="I33" i="41" s="1"/>
  <c r="G33" i="41"/>
  <c r="AP11" i="10"/>
  <c r="AW105" i="10" s="1"/>
  <c r="AP7" i="10"/>
  <c r="M52" i="41"/>
  <c r="H52" i="41" s="1"/>
  <c r="N3" i="41"/>
  <c r="O30" i="9"/>
  <c r="G30" i="9"/>
  <c r="F30" i="9"/>
  <c r="E30" i="9"/>
  <c r="I30" i="9"/>
  <c r="M30" i="9"/>
  <c r="R20" i="41"/>
  <c r="E17" i="42"/>
  <c r="E18" i="42"/>
  <c r="H30" i="9"/>
  <c r="N30" i="9"/>
  <c r="D30" i="9"/>
  <c r="AI59" i="10"/>
  <c r="AI58" i="10"/>
  <c r="AI60" i="10"/>
  <c r="L30" i="9"/>
  <c r="K30" i="9"/>
  <c r="J30" i="9"/>
  <c r="R52" i="41"/>
  <c r="D18" i="42" l="1"/>
  <c r="G52" i="41"/>
  <c r="I52" i="41" s="1"/>
  <c r="B18" i="42" s="1"/>
  <c r="L52" i="41"/>
  <c r="B17" i="42" s="1"/>
  <c r="N52" i="41"/>
  <c r="V52" i="41"/>
  <c r="D19" i="42"/>
  <c r="AW89" i="10"/>
  <c r="AW95" i="10"/>
  <c r="AW103" i="10"/>
  <c r="AU86" i="10"/>
  <c r="AU95" i="10"/>
  <c r="AU105" i="10"/>
  <c r="AU83" i="10"/>
  <c r="AW80" i="10"/>
  <c r="AW100" i="10"/>
  <c r="AU89" i="10"/>
  <c r="AU74" i="10"/>
  <c r="AW92" i="10"/>
  <c r="AW86" i="10"/>
  <c r="AU100" i="10"/>
  <c r="AU92" i="10"/>
  <c r="AU103" i="10"/>
  <c r="AW77" i="10"/>
  <c r="AU80" i="10"/>
  <c r="AW74" i="10"/>
  <c r="AW83" i="10"/>
  <c r="AU77" i="10"/>
  <c r="E19" i="42"/>
  <c r="B44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Y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J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J24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pénibilité des agents du Siège sont stockées dans mr_nel_eev_pole_rh </t>
        </r>
      </text>
    </comment>
    <comment ref="AJ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J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<sst xmlns="http://schemas.openxmlformats.org/spreadsheetml/2006/main" count="2364" uniqueCount="1214">
  <si>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</si>
  <si>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</si>
  <si>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</si>
  <si>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</si>
  <si>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</si>
  <si>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</si>
  <si>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</si>
  <si>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</si>
  <si>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</si>
  <si>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</si>
  <si>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</si>
  <si>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</si>
  <si>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</si>
  <si>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</si>
  <si>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</si>
  <si>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</si>
  <si>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</si>
  <si>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</si>
  <si>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</si>
  <si>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</si>
  <si>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</si>
  <si>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</si>
  <si>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</si>
  <si>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</si>
  <si>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</si>
  <si>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</si>
  <si>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</si>
  <si>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</si>
  <si>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</si>
  <si>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</si>
  <si>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</si>
  <si>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</si>
  <si>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</si>
  <si>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</si>
  <si>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</si>
  <si>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</si>
  <si>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</si>
  <si>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</si>
  <si>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</si>
  <si>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</si>
  <si>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</si>
  <si>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</si>
  <si>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</si>
  <si>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</si>
  <si>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</si>
  <si>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</si>
  <si>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</si>
  <si>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</si>
  <si>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</si>
  <si>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</si>
  <si>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</si>
  <si>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</si>
  <si>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</si>
  <si>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</si>
  <si>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</si>
  <si>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</si>
  <si>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</si>
  <si>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</si>
  <si>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</si>
  <si>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</si>
  <si>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</si>
  <si>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</si>
  <si>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</si>
  <si>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</si>
  <si>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</si>
  <si>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</si>
  <si>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</si>
  <si>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</si>
  <si>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</si>
  <si>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</si>
  <si>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</si>
  <si>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</si>
  <si>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</si>
  <si>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</si>
  <si>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</si>
  <si>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</si>
  <si>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</si>
  <si>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</si>
  <si>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</si>
  <si>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</si>
  <si>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</si>
  <si>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</si>
  <si>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</si>
  <si>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</si>
  <si>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</si>
  <si>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</si>
  <si>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</si>
  <si>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</si>
  <si>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</si>
  <si>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</si>
  <si>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</si>
  <si>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</si>
  <si>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</si>
  <si>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</si>
  <si>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</si>
  <si>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</si>
  <si>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</si>
  <si>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</si>
  <si>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</si>
  <si>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</si>
  <si>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</si>
  <si>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</si>
  <si>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</si>
  <si>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</si>
  <si>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</si>
  <si>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</si>
  <si>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</si>
  <si>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</si>
  <si>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</si>
  <si>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</si>
  <si>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</si>
  <si>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</si>
  <si>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</si>
  <si>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</si>
  <si>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</si>
  <si>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</si>
  <si>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</si>
  <si>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</si>
  <si>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</si>
  <si>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</si>
  <si>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</si>
  <si>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</si>
  <si>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</si>
  <si>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</si>
  <si>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</si>
  <si>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</si>
  <si>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</si>
  <si>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</si>
  <si>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</si>
  <si>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</si>
  <si>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</si>
  <si>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</si>
  <si>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</si>
  <si>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</si>
  <si>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</si>
  <si>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</si>
  <si>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</si>
  <si>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</si>
  <si>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</si>
  <si>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</si>
  <si>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</si>
  <si>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</si>
  <si>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</si>
  <si>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</si>
  <si>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</si>
  <si>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</si>
  <si>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</si>
  <si>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</si>
  <si>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</si>
  <si>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</si>
  <si>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</si>
  <si>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</si>
  <si>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</si>
  <si>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</si>
  <si>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</si>
  <si>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</si>
  <si>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</si>
  <si>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</si>
  <si>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</si>
  <si>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</si>
  <si>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</si>
  <si>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</si>
  <si>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</si>
  <si>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</si>
  <si>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</si>
  <si>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</si>
  <si>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</si>
  <si>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</si>
  <si>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</si>
  <si>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</si>
  <si>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</si>
  <si>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</si>
  <si>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</si>
  <si>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</si>
  <si>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</si>
  <si>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</si>
  <si>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</si>
  <si>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</si>
  <si>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</si>
  <si>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</si>
  <si>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</si>
  <si>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</si>
  <si>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</si>
  <si>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</si>
  <si>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</si>
  <si>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</si>
  <si>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</si>
  <si>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</si>
  <si>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</si>
  <si>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</si>
  <si>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</si>
  <si>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</si>
  <si>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</si>
  <si>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</si>
  <si>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</si>
  <si>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</si>
  <si>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</si>
  <si>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</si>
  <si>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</si>
  <si>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</si>
  <si>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</si>
  <si>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</si>
  <si>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</si>
  <si>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</si>
  <si>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</si>
  <si>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</si>
  <si>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</si>
  <si>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</si>
  <si>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</si>
  <si>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</si>
  <si>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</si>
  <si>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</si>
  <si>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</si>
  <si>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</si>
  <si>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</si>
  <si>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</si>
  <si>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</si>
  <si>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</si>
  <si>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</si>
  <si>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</si>
  <si>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</si>
  <si>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</si>
  <si>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</si>
  <si>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</si>
  <si>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</si>
  <si>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</si>
  <si>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</si>
  <si>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</si>
  <si>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</si>
  <si>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</si>
  <si>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</si>
  <si>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</si>
  <si>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</si>
  <si>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</si>
  <si>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</si>
  <si>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</si>
  <si>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</si>
  <si>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</si>
  <si>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</si>
  <si>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</si>
  <si>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</si>
  <si>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</si>
  <si>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</si>
  <si>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</si>
  <si>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</si>
  <si>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</si>
  <si>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</si>
  <si>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</si>
  <si>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</si>
  <si>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</si>
  <si>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</si>
  <si>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</si>
  <si>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</si>
  <si>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</si>
  <si>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</si>
  <si>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</si>
  <si>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</si>
  <si>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</si>
  <si>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</si>
  <si>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</si>
  <si>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</si>
  <si>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</si>
  <si>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</si>
  <si>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</si>
  <si>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</si>
  <si>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</si>
  <si>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</si>
  <si>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</si>
  <si>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</si>
  <si>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</si>
  <si>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</si>
  <si>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</si>
  <si>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</si>
  <si>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</si>
  <si>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</si>
  <si>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</si>
  <si>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</si>
  <si>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</si>
  <si>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</si>
  <si>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</si>
  <si>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</si>
  <si>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</si>
  <si>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</si>
  <si>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</si>
  <si>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</si>
  <si>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</si>
  <si>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</si>
  <si>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</si>
  <si>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</si>
  <si>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</si>
  <si>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</si>
  <si>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</si>
  <si>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</si>
  <si>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</si>
  <si>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</si>
  <si>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</si>
  <si>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</si>
  <si>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</si>
  <si>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</si>
  <si>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</si>
  <si>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</si>
  <si>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</si>
  <si>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</si>
  <si>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</si>
  <si>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</si>
  <si>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</si>
  <si>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</si>
  <si>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</si>
  <si>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</si>
  <si>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</si>
  <si>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</si>
  <si>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</si>
  <si>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</si>
  <si>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</si>
  <si>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</si>
  <si>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</si>
  <si>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</si>
  <si>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</si>
  <si>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</si>
  <si>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</si>
  <si>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</si>
  <si>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</si>
  <si>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</si>
  <si>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</si>
  <si>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</si>
  <si>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</si>
  <si>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</si>
  <si>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</si>
  <si>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</si>
  <si>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</si>
  <si>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</si>
  <si>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</si>
  <si>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</si>
  <si>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</si>
  <si>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</si>
  <si>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</si>
  <si>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</si>
  <si>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</si>
  <si>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</si>
  <si>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</si>
  <si>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</si>
  <si>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</si>
  <si>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</si>
  <si>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</si>
  <si>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</si>
  <si>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</si>
  <si>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</si>
  <si>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</si>
  <si>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</si>
  <si>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</si>
  <si>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</si>
  <si>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</si>
  <si>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</si>
  <si>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</si>
  <si>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</si>
  <si>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</si>
  <si>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</si>
  <si>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</si>
  <si>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</si>
  <si>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</si>
  <si>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</si>
  <si>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</si>
  <si>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</si>
  <si>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</si>
  <si>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</si>
  <si>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</si>
  <si>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</si>
  <si>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</si>
  <si>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</si>
  <si>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</si>
  <si>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</si>
  <si>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</si>
  <si>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</si>
  <si>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</si>
  <si>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</si>
  <si>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</si>
  <si>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</si>
  <si>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</si>
  <si>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</si>
  <si>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</si>
  <si>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</si>
  <si>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</si>
  <si>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</si>
  <si>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</si>
  <si>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</si>
  <si>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</si>
  <si>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</si>
  <si>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</si>
  <si>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</si>
  <si>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</si>
  <si>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</si>
  <si>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</si>
  <si>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</si>
  <si>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</si>
  <si>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</si>
  <si>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</si>
  <si>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</si>
  <si>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</si>
  <si>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</si>
  <si>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</si>
  <si>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</si>
  <si>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</si>
  <si>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</si>
  <si>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</si>
  <si>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</si>
  <si>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</si>
  <si>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</si>
  <si>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</si>
  <si>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</si>
  <si>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</si>
  <si>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</si>
  <si>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</si>
  <si>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</si>
  <si>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</si>
  <si>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</si>
  <si>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</si>
  <si>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</si>
  <si>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</si>
  <si>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</si>
  <si>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</si>
  <si>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</si>
  <si>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</si>
  <si>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</si>
  <si>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</si>
  <si>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</si>
  <si>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</si>
  <si>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</si>
  <si>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</si>
  <si>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</si>
  <si>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</si>
  <si>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</si>
  <si>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</si>
  <si>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</si>
  <si>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</si>
  <si>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</si>
  <si>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</si>
  <si>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</si>
  <si>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</si>
  <si>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</si>
  <si>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</si>
  <si>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</si>
  <si>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</si>
  <si>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</si>
  <si>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</si>
  <si>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</si>
  <si>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</si>
  <si>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</si>
  <si>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</si>
  <si>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</si>
  <si>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</si>
  <si>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</si>
  <si>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</si>
  <si>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</si>
  <si>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</si>
  <si>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</si>
  <si>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</si>
  <si>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</si>
  <si>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</si>
  <si>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</si>
  <si>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</si>
  <si>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</si>
  <si>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</si>
  <si>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</si>
  <si>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</si>
  <si>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</si>
  <si>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</si>
  <si>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</si>
  <si>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</si>
  <si>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</si>
  <si>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</si>
  <si>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</si>
  <si>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</si>
  <si>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</si>
  <si>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</si>
  <si>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</si>
  <si>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</si>
  <si>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</si>
  <si>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</si>
  <si>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</si>
  <si>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</si>
  <si>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</si>
  <si>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</si>
  <si>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</si>
  <si>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</si>
  <si>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</si>
  <si>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</si>
  <si>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</si>
  <si>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</si>
  <si>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</si>
  <si>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</si>
  <si>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</si>
  <si>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</si>
  <si>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</si>
  <si>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</si>
  <si>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</si>
  <si>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</si>
  <si>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</si>
  <si>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</si>
  <si>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</si>
  <si>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</si>
  <si>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</si>
  <si>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</si>
  <si>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</si>
  <si>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</si>
  <si>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</si>
  <si>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</si>
  <si>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</si>
  <si>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</si>
  <si>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</si>
  <si>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</si>
  <si>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</si>
  <si>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</si>
  <si>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</si>
  <si>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</si>
  <si>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</si>
  <si>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</si>
  <si>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</si>
  <si>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</si>
  <si>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</si>
  <si>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</si>
  <si>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</si>
  <si>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</si>
  <si>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</si>
  <si>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</si>
  <si>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</si>
  <si>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</si>
  <si>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</si>
  <si>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</si>
  <si>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</si>
  <si>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</si>
  <si>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</si>
  <si>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</si>
  <si>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</si>
  <si>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</si>
  <si>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</si>
  <si>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</si>
  <si>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</si>
  <si>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</si>
  <si>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</si>
  <si>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</si>
  <si>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</si>
  <si>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</si>
  <si>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</si>
  <si>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</si>
  <si>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</si>
  <si>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</si>
  <si>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</si>
  <si>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</si>
  <si>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</si>
  <si>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</si>
  <si>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</si>
  <si>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</si>
  <si>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</si>
  <si>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</si>
  <si>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</si>
  <si>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Sécurité Incendie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</si>
  <si>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</si>
  <si>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</si>
  <si>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</si>
  <si>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</si>
  <si>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</si>
  <si>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</si>
  <si>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</si>
  <si>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</si>
  <si>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</si>
  <si>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</si>
  <si>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</si>
  <si>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</si>
  <si>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</si>
  <si>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</si>
  <si>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</si>
  <si>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</si>
  <si>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</si>
  <si>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</si>
  <si>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</si>
  <si>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</si>
  <si>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</si>
  <si>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</si>
  <si>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</si>
  <si>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</si>
  <si>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</si>
  <si>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</si>
  <si>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</si>
  <si>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</si>
  <si>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</si>
  <si>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</si>
  <si>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</si>
  <si>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</si>
  <si>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</si>
  <si>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</si>
  <si>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</si>
  <si>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Regles de calcul</t>
  </si>
  <si>
    <t>St Raphaël / Valescure</t>
  </si>
  <si>
    <t>KN2 prévu</t>
  </si>
  <si>
    <t>Filière 26</t>
  </si>
  <si>
    <t>SIMON</t>
  </si>
  <si>
    <t>06 14 01 11 39</t>
  </si>
  <si>
    <t>06 01 00 07 61</t>
  </si>
  <si>
    <t>BIOT</t>
  </si>
  <si>
    <t>KN2</t>
  </si>
  <si>
    <t>SCHNEIDER</t>
  </si>
  <si>
    <t>Patricia</t>
  </si>
  <si>
    <t>Nicolas</t>
  </si>
  <si>
    <t>ANAP (Information)</t>
  </si>
  <si>
    <t>06 26 96 08 84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</si>
  <si>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</si>
  <si>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</si>
  <si>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</si>
  <si>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</si>
  <si>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</si>
  <si>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</si>
  <si>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Nb D'accidents</t>
  </si>
  <si>
    <t>Pourcentage</t>
  </si>
  <si>
    <t>Année en cours</t>
  </si>
  <si>
    <t>Taux de fréquence</t>
  </si>
  <si>
    <t>AT avec arret</t>
  </si>
  <si>
    <t>effectifs</t>
  </si>
  <si>
    <t>AT sans arrêts</t>
  </si>
  <si>
    <t>Les arcs</t>
  </si>
  <si>
    <t xml:space="preserve"> Frejus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</si>
  <si>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</si>
  <si>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</si>
  <si>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</si>
  <si>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</si>
  <si>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</si>
  <si>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</si>
  <si>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</si>
  <si>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</si>
  <si>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</si>
  <si>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</si>
  <si>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</si>
  <si>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</si>
  <si>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</si>
  <si>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</si>
  <si>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</si>
  <si>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</si>
  <si>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</si>
  <si>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</si>
  <si>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</si>
  <si>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</si>
  <si>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</si>
  <si>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</si>
  <si>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</si>
  <si>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</si>
  <si>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</si>
  <si>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</si>
  <si>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</si>
  <si>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</si>
  <si>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</si>
  <si>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</si>
  <si>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</si>
  <si>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</si>
  <si>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</si>
  <si>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</si>
  <si>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</si>
  <si>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</si>
  <si>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</si>
  <si>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</si>
  <si>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</si>
  <si>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</si>
  <si>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</si>
  <si>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</si>
  <si>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</si>
  <si>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</si>
  <si>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</si>
  <si>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</si>
  <si>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</si>
  <si>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</si>
  <si>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</si>
  <si>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</si>
  <si>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</si>
  <si>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</si>
  <si>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</si>
  <si>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</si>
  <si>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</si>
  <si>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</si>
  <si>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</si>
  <si>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</si>
  <si>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</si>
  <si>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</si>
  <si>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</si>
  <si>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</si>
  <si>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</si>
  <si>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</si>
  <si>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</si>
  <si>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</si>
  <si>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</si>
  <si>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</si>
  <si>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</si>
  <si>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</si>
  <si>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</si>
  <si>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</si>
  <si>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</si>
  <si>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</si>
  <si>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</si>
  <si>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</si>
  <si>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</si>
  <si>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</si>
  <si>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</si>
  <si>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</si>
  <si>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</si>
  <si>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</si>
  <si>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</si>
  <si>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</si>
  <si>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</si>
  <si>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</si>
  <si>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</si>
  <si>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</si>
  <si>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</si>
  <si>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</si>
  <si>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</si>
  <si>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</si>
  <si>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</si>
  <si>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</si>
  <si>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</si>
  <si>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</si>
  <si>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</si>
  <si>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</si>
  <si>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</si>
  <si>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</si>
  <si>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</si>
  <si>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</si>
  <si>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</si>
  <si>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</si>
  <si>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</si>
  <si>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</si>
  <si>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</si>
  <si>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</si>
  <si>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</si>
  <si>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</si>
  <si>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</si>
  <si>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</si>
  <si>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</si>
  <si>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</si>
  <si>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</si>
  <si>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</si>
  <si>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</si>
  <si>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</si>
  <si>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</si>
  <si>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</si>
  <si>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</si>
  <si>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</si>
  <si>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</si>
  <si>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</si>
  <si>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</si>
  <si>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</si>
  <si>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</si>
  <si>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</si>
  <si>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</si>
  <si>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</si>
  <si>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</si>
  <si>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</si>
  <si>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</si>
  <si>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</si>
  <si>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</si>
  <si>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</si>
  <si>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</si>
  <si>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</si>
  <si>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</si>
  <si>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</si>
  <si>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</si>
  <si>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</si>
  <si>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</si>
  <si>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</si>
  <si>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</si>
  <si>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</si>
  <si>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</si>
  <si>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</si>
  <si>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</si>
  <si>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</si>
  <si>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</si>
  <si>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</si>
  <si>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</si>
  <si>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CPH Grasse/Canne-la-Bocca</t>
  </si>
  <si>
    <t>Cannes Voyageurs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</si>
  <si>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</si>
  <si>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</si>
  <si>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</si>
  <si>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</si>
  <si>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</si>
  <si>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</si>
  <si>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</si>
  <si>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</si>
  <si>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</si>
  <si>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</si>
  <si>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</si>
  <si>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</si>
  <si>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</si>
  <si>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</si>
  <si>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</si>
  <si>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</si>
  <si>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</si>
  <si>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</si>
  <si>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</si>
  <si>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</si>
  <si>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</si>
  <si>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</si>
  <si>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</si>
  <si>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</si>
  <si>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</si>
  <si>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</si>
  <si>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</si>
  <si>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</si>
  <si>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</si>
  <si>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</si>
  <si>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</si>
  <si>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</si>
  <si>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</si>
  <si>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</si>
  <si>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</si>
  <si>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</si>
  <si>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</si>
  <si>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</si>
  <si>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</si>
  <si>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</si>
  <si>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</si>
  <si>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</si>
  <si>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</si>
  <si>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</si>
  <si>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</si>
  <si>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</si>
  <si>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</si>
  <si>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</si>
  <si>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</si>
  <si>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</si>
  <si>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</si>
  <si>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</si>
  <si>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</si>
  <si>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</si>
  <si>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</si>
  <si>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</si>
  <si>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</si>
  <si>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</si>
  <si>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</si>
  <si>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</si>
  <si>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</si>
  <si>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</si>
  <si>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</si>
  <si>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</si>
  <si>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</si>
  <si>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</si>
  <si>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</si>
  <si>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</si>
  <si>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</si>
  <si>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</si>
  <si>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</si>
  <si>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</si>
  <si>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</si>
  <si>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</si>
  <si>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</si>
  <si>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</si>
  <si>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</si>
  <si>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</si>
  <si>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</si>
  <si>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</si>
  <si>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</si>
  <si>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</si>
  <si>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</si>
  <si>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</si>
  <si>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</si>
  <si>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</si>
  <si>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</si>
  <si>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</si>
  <si>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</si>
  <si>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</si>
  <si>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</si>
  <si>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</si>
  <si>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</si>
  <si>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</si>
  <si>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</si>
  <si>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</si>
  <si>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</si>
  <si>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</si>
  <si>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</si>
  <si>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</si>
  <si>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</si>
  <si>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</si>
  <si>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</si>
  <si>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</si>
  <si>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</si>
  <si>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</si>
  <si>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</si>
  <si>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</si>
  <si>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</si>
  <si>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</si>
  <si>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</si>
  <si>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</si>
  <si>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</si>
  <si>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</si>
  <si>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</si>
  <si>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</si>
  <si>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</si>
  <si>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</si>
  <si>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</si>
  <si>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</si>
  <si>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</si>
  <si>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</si>
  <si>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</si>
  <si>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</si>
  <si>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</si>
  <si>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</si>
  <si>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</si>
  <si>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</si>
  <si>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</si>
  <si>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</si>
  <si>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</si>
  <si>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</si>
  <si>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</si>
  <si>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</si>
  <si>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</si>
  <si>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</si>
  <si>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</si>
  <si>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</si>
  <si>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</si>
  <si>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</si>
  <si>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</si>
  <si>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</si>
  <si>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</si>
  <si>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</si>
  <si>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</si>
  <si>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</si>
  <si>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</si>
  <si>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</si>
  <si>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</si>
  <si>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</si>
  <si>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</si>
  <si>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</si>
  <si>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</si>
  <si>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</si>
  <si>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</si>
  <si>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</si>
  <si>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</si>
  <si>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</si>
  <si>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</si>
  <si>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</si>
  <si>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</si>
  <si>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</si>
  <si>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</si>
  <si>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</si>
  <si>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</si>
  <si>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</si>
  <si>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</si>
  <si>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</si>
  <si>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</si>
  <si>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</si>
  <si>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</si>
  <si>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</si>
  <si>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</si>
  <si>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</si>
  <si>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</si>
  <si>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</si>
  <si>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</si>
  <si>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</si>
  <si>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</si>
  <si>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</si>
  <si>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</si>
  <si>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</si>
  <si>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</si>
  <si>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</si>
  <si>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</si>
  <si>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</si>
  <si>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</si>
  <si>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</si>
  <si>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</si>
  <si>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</si>
  <si>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</si>
  <si>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</si>
  <si>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</si>
  <si>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</si>
  <si>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</si>
  <si>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</si>
  <si>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</si>
  <si>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</si>
  <si>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</si>
  <si>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</si>
  <si>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</si>
  <si>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</si>
  <si>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</si>
  <si>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</si>
  <si>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</si>
  <si>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</si>
  <si>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</si>
  <si>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</si>
  <si>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</si>
  <si>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</si>
  <si>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</si>
  <si>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</si>
  <si>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</si>
  <si>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</si>
  <si>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</si>
  <si>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</si>
  <si>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</si>
  <si>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</si>
  <si>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</si>
  <si>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</si>
  <si>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</si>
  <si>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</si>
  <si>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</si>
  <si>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</si>
  <si>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</si>
  <si>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</si>
  <si>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</si>
  <si>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</si>
  <si>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</si>
  <si>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</si>
  <si>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</si>
  <si>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</si>
  <si>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</si>
  <si>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</si>
  <si>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</si>
  <si>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</si>
  <si>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</si>
  <si>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</si>
  <si>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</si>
  <si>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</si>
  <si>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</si>
  <si>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</si>
  <si>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</si>
  <si>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</si>
  <si>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</si>
  <si>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</si>
  <si>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</si>
  <si>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</si>
  <si>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</si>
  <si>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</si>
  <si>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</si>
  <si>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</si>
  <si>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</si>
  <si>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</si>
  <si>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</si>
  <si>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</si>
  <si>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</si>
  <si>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</si>
  <si>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</si>
  <si>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</si>
  <si>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</si>
  <si>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</si>
  <si>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</si>
  <si>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</si>
  <si>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</si>
  <si>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</si>
  <si>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</si>
  <si>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</si>
  <si>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</si>
  <si>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</si>
  <si>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</si>
  <si>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</si>
  <si>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</si>
  <si>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</si>
  <si>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</si>
  <si>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</si>
  <si>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</si>
  <si>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</si>
  <si>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</si>
  <si>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</si>
  <si>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</si>
  <si>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</si>
  <si>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</si>
  <si>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</si>
  <si>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</si>
  <si>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</si>
  <si>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</si>
  <si>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</si>
  <si>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</si>
  <si>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</si>
  <si>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</si>
  <si>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</si>
  <si>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</si>
  <si>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</si>
  <si>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</si>
  <si>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</si>
  <si>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</si>
  <si>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</si>
  <si>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</si>
  <si>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</si>
  <si>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</si>
  <si>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</si>
  <si>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</si>
  <si>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</si>
  <si>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</si>
  <si>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</si>
  <si>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</si>
  <si>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</si>
  <si>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</si>
  <si>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</si>
  <si>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</si>
  <si>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</si>
  <si>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</si>
  <si>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</si>
  <si>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</si>
  <si>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</si>
  <si>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</si>
  <si>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</si>
  <si>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</si>
  <si>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</si>
  <si>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</si>
  <si>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</si>
  <si>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</si>
  <si>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</si>
  <si>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</si>
  <si>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</si>
  <si>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</si>
  <si>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</si>
  <si>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</si>
  <si>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</si>
  <si>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</si>
  <si>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</si>
  <si>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</si>
  <si>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</si>
  <si>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</si>
  <si>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</si>
  <si>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</si>
  <si>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</si>
  <si>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</si>
  <si>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</si>
  <si>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</si>
  <si>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</si>
  <si>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</si>
  <si>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</si>
  <si>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</si>
  <si>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</si>
  <si>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</si>
  <si>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</si>
  <si>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</si>
  <si>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</si>
  <si>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</si>
  <si>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</si>
  <si>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</si>
  <si>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</si>
  <si>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</si>
  <si>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</si>
  <si>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</si>
  <si>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</si>
  <si>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</si>
  <si>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</si>
  <si>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</si>
  <si>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</si>
  <si>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</si>
  <si>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</si>
  <si>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</si>
  <si>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</si>
  <si>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</si>
  <si>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 Estérel</t>
  </si>
  <si>
    <t>DDL</t>
  </si>
  <si>
    <t>Fondamentaux &amp; Services</t>
  </si>
  <si>
    <t xml:space="preserve">DDL </t>
  </si>
  <si>
    <t>TRACTION</t>
  </si>
  <si>
    <t>Astreinteur hors DDL</t>
  </si>
  <si>
    <t>DENIZART</t>
  </si>
  <si>
    <t>Lydie</t>
  </si>
  <si>
    <t>Relation client</t>
  </si>
  <si>
    <t>PIRONNEAU</t>
  </si>
  <si>
    <t>Charles</t>
  </si>
  <si>
    <t>DET DDL</t>
  </si>
  <si>
    <t>ANKRI</t>
  </si>
  <si>
    <t>Mathieu</t>
  </si>
  <si>
    <t xml:space="preserve">RSC </t>
  </si>
  <si>
    <t>BELLAIS</t>
  </si>
  <si>
    <t>Yvan</t>
  </si>
  <si>
    <t>AMIOT</t>
  </si>
  <si>
    <t>Gestionnaire RH</t>
  </si>
  <si>
    <t>CANAC</t>
  </si>
  <si>
    <t>Béatrice</t>
  </si>
  <si>
    <t>MARIOTTI</t>
  </si>
  <si>
    <t>Amanda</t>
  </si>
  <si>
    <t>AVILA</t>
  </si>
  <si>
    <t>Véronique</t>
  </si>
  <si>
    <t>Adjointe DUO</t>
  </si>
  <si>
    <t>Responsable Formation</t>
  </si>
  <si>
    <t>Les Arcs</t>
  </si>
  <si>
    <t>Antibes et Juan les Pins</t>
  </si>
  <si>
    <t>EMRC Ouest</t>
  </si>
  <si>
    <t>Merveilles et EMRC Est</t>
  </si>
  <si>
    <t>Littoral</t>
  </si>
  <si>
    <t>Nice Ville</t>
  </si>
  <si>
    <t>DDO</t>
  </si>
  <si>
    <t>Conseillère RH</t>
  </si>
  <si>
    <t>DS</t>
  </si>
  <si>
    <t>Préventeur DS</t>
  </si>
  <si>
    <t>DUO Relation Client</t>
  </si>
  <si>
    <t>DES</t>
  </si>
  <si>
    <t>CPS</t>
  </si>
  <si>
    <t>BEE</t>
  </si>
  <si>
    <t>Equipe</t>
  </si>
  <si>
    <t>RH</t>
  </si>
  <si>
    <t>RSC</t>
  </si>
  <si>
    <t>DUO</t>
  </si>
  <si>
    <t xml:space="preserve">Mois </t>
  </si>
  <si>
    <t>TOTAL DDL</t>
  </si>
  <si>
    <t>UP Traction</t>
  </si>
  <si>
    <t>UO Relation client</t>
  </si>
  <si>
    <t>Secteurs</t>
  </si>
  <si>
    <t>Secteur Estérel - St Raphaël</t>
  </si>
  <si>
    <t>Nb AT CPR (Non reconnu)</t>
  </si>
  <si>
    <t>Secteur Estérel - Les Arcs Darguignan</t>
  </si>
  <si>
    <t>Secteur Riviera - EMRC Ouest</t>
  </si>
  <si>
    <t>Secteur Riviera - Nice Ville</t>
  </si>
  <si>
    <t xml:space="preserve">Secteur Riviera - Cannes 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</si>
  <si>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</si>
  <si>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</si>
  <si>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</si>
  <si>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</si>
  <si>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</si>
  <si>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</si>
  <si>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</si>
  <si>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</si>
  <si>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Nb Atravail avec Arrêt sans Accident de personne</t>
  </si>
  <si>
    <t>Nb de Jours d'arrêt sans accident de personne</t>
  </si>
  <si>
    <t>Accident de personne</t>
  </si>
  <si>
    <t>Total DDL</t>
  </si>
  <si>
    <t>Nb de jours d'arrêt jusqu'au mois considéré</t>
  </si>
  <si>
    <t>EVRP plateforme prévention RPS</t>
  </si>
  <si>
    <t>SI(Effectifs!D2='Stats AT BDD'!$X$2;SOMME(Effectifs!D3:D15);SI(Effectifs!E2='Stats AT BDD'!$X$2;SOMME(Effectifs!E3:E15);SI(Effectifs!F2='Stats AT BDD'!$X$2;SOMME(Effectifs!F3:F15);SI(Effectifs!G2='Stats AT BDD'!$X$2;SOMME(Effectifs!G3:G15);SI(Effectifs!H2='Stats AT BDD'!$X$2;SOMME(Effectifs!H3:H15);SI(Effectifs!I2='Stats AT BDD'!$X$2;SOMME(Effectifs!I3:I15);SI(Effectifs!J2='Stats AT BDD'!$X$2;SOMME(Effectifs!J3:J15);SI(Effectifs!K2='Stats AT BDD'!$X$2;SOMME(Effectifs!K3:K15);SI(Effectifs!L2='Stats AT BDD'!$X$2;SOMME(Effectifs!K3:K15);SI(Effectifs!L2='Stats AT BDD'!$X$2;SOMME(Effectifs!L3:L15);SI(Effectifs!M2='Stats AT BDD'!$X$2;SOMME(Effectifs!M3:M15);SI(Effectifs!N2='Stats AT BDD'!$X$2;SOMME(Effectifs!N3:N15);SI(Effectifs!O2='Stats AT BDD'!$X$2;SOMME(Effectifs!O3:O15)))))))))))))</t>
  </si>
  <si>
    <t>Jours depuis le dernier accident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</si>
</sst>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7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venir LT Std 55 Roman"/>
      <family val="2"/>
    </font>
    <font>
      <sz val="11"/>
      <color theme="0"/>
      <name val="Avenir LT Std 55 Roman"/>
      <family val="2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99CC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1" applyNumberFormat="0" applyFill="0" applyAlignment="0" applyProtection="0"/>
    <xf numFmtId="0" fontId="34" fillId="0" borderId="42" applyNumberFormat="0" applyFill="0" applyAlignment="0" applyProtection="0"/>
    <xf numFmtId="0" fontId="35" fillId="0" borderId="43" applyNumberFormat="0" applyFill="0" applyAlignment="0" applyProtection="0"/>
    <xf numFmtId="0" fontId="35" fillId="0" borderId="0" applyNumberFormat="0" applyFill="0" applyBorder="0" applyAlignment="0" applyProtection="0"/>
    <xf numFmtId="0" fontId="36" fillId="37" borderId="0" applyNumberFormat="0" applyBorder="0" applyAlignment="0" applyProtection="0"/>
    <xf numFmtId="0" fontId="37" fillId="38" borderId="0" applyNumberFormat="0" applyBorder="0" applyAlignment="0" applyProtection="0"/>
    <xf numFmtId="0" fontId="38" fillId="39" borderId="0" applyNumberFormat="0" applyBorder="0" applyAlignment="0" applyProtection="0"/>
    <xf numFmtId="0" fontId="39" fillId="40" borderId="44" applyNumberFormat="0" applyAlignment="0" applyProtection="0"/>
    <xf numFmtId="0" fontId="40" fillId="41" borderId="45" applyNumberFormat="0" applyAlignment="0" applyProtection="0"/>
    <xf numFmtId="0" fontId="41" fillId="41" borderId="44" applyNumberFormat="0" applyAlignment="0" applyProtection="0"/>
    <xf numFmtId="0" fontId="42" fillId="0" borderId="46" applyNumberFormat="0" applyFill="0" applyAlignment="0" applyProtection="0"/>
    <xf numFmtId="0" fontId="43" fillId="42" borderId="47" applyNumberFormat="0" applyAlignment="0" applyProtection="0"/>
    <xf numFmtId="0" fontId="44" fillId="0" borderId="0" applyNumberFormat="0" applyFill="0" applyBorder="0" applyAlignment="0" applyProtection="0"/>
    <xf numFmtId="0" fontId="31" fillId="43" borderId="48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21" fillId="47" borderId="0" applyNumberFormat="0" applyBorder="0" applyAlignment="0" applyProtection="0"/>
    <xf numFmtId="0" fontId="31" fillId="48" borderId="0" applyNumberFormat="0" applyBorder="0" applyAlignment="0" applyProtection="0"/>
    <xf numFmtId="0" fontId="31" fillId="49" borderId="0" applyNumberFormat="0" applyBorder="0" applyAlignment="0" applyProtection="0"/>
    <xf numFmtId="0" fontId="21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21" fillId="53" borderId="0" applyNumberFormat="0" applyBorder="0" applyAlignment="0" applyProtection="0"/>
    <xf numFmtId="0" fontId="21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21" fillId="57" borderId="0" applyNumberFormat="0" applyBorder="0" applyAlignment="0" applyProtection="0"/>
    <xf numFmtId="0" fontId="21" fillId="58" borderId="0" applyNumberFormat="0" applyBorder="0" applyAlignment="0" applyProtection="0"/>
    <xf numFmtId="0" fontId="31" fillId="59" borderId="0" applyNumberFormat="0" applyBorder="0" applyAlignment="0" applyProtection="0"/>
    <xf numFmtId="0" fontId="31" fillId="60" borderId="0" applyNumberFormat="0" applyBorder="0" applyAlignment="0" applyProtection="0"/>
    <xf numFmtId="0" fontId="21" fillId="61" borderId="0" applyNumberFormat="0" applyBorder="0" applyAlignment="0" applyProtection="0"/>
    <xf numFmtId="0" fontId="21" fillId="62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21" fillId="65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577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5" borderId="13" xfId="2" applyFont="1" applyFill="1" applyBorder="1" applyAlignment="1">
      <alignment horizontal="center" vertical="center"/>
    </xf>
    <xf numFmtId="0" fontId="25" fillId="30" borderId="9" xfId="2" applyFont="1" applyFill="1" applyBorder="1" applyAlignment="1">
      <alignment horizontal="center" vertical="center"/>
    </xf>
    <xf numFmtId="0" fontId="1" fillId="0" borderId="25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7" borderId="9" xfId="0" applyFont="1" applyFill="1" applyBorder="1" applyAlignment="1">
      <alignment horizontal="center" vertical="center"/>
    </xf>
    <xf numFmtId="0" fontId="1" fillId="32" borderId="14" xfId="0" applyFont="1" applyFill="1" applyBorder="1" applyAlignment="1">
      <alignment horizontal="center" vertical="center"/>
    </xf>
    <xf numFmtId="0" fontId="1" fillId="32" borderId="9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5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5" borderId="22" xfId="3" applyFont="1" applyFill="1" applyBorder="1" applyAlignment="1">
      <alignment horizontal="center" vertical="center" wrapText="1"/>
    </xf>
    <xf numFmtId="0" fontId="29" fillId="28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6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1" xfId="2" applyNumberFormat="1" applyFill="1" applyBorder="1" applyAlignment="1">
      <alignment horizontal="center" vertical="center"/>
    </xf>
    <xf numFmtId="0" fontId="2" fillId="2" borderId="24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3" xfId="2" applyNumberFormat="1" applyFont="1" applyFill="1" applyBorder="1" applyAlignment="1">
      <alignment horizontal="center" vertical="center"/>
    </xf>
    <xf numFmtId="0" fontId="2" fillId="2" borderId="32" xfId="2" applyFont="1" applyFill="1" applyBorder="1" applyAlignment="1">
      <alignment horizontal="center" vertical="center"/>
    </xf>
    <xf numFmtId="11" fontId="6" fillId="0" borderId="0" xfId="0" applyNumberFormat="1" applyFont="1"/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1" borderId="9" xfId="2" applyFill="1" applyBorder="1" applyAlignment="1">
      <alignment vertical="center"/>
    </xf>
    <xf numFmtId="0" fontId="2" fillId="71" borderId="9" xfId="2" applyFont="1" applyFill="1" applyBorder="1" applyAlignment="1">
      <alignment vertical="center"/>
    </xf>
    <xf numFmtId="0" fontId="1" fillId="72" borderId="7" xfId="0" applyFont="1" applyFill="1" applyBorder="1" applyAlignment="1" applyProtection="1">
      <alignment horizontal="center" vertical="center" textRotation="90" wrapText="1"/>
      <protection locked="0"/>
    </xf>
    <xf numFmtId="0" fontId="1" fillId="7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4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1" fontId="1" fillId="66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39" xfId="2" applyBorder="1" applyAlignment="1">
      <alignment vertical="center"/>
    </xf>
    <xf numFmtId="10" fontId="2" fillId="0" borderId="27" xfId="2" applyNumberFormat="1" applyBorder="1" applyAlignment="1">
      <alignment vertical="center"/>
    </xf>
    <xf numFmtId="0" fontId="2" fillId="0" borderId="39" xfId="2" applyFill="1" applyBorder="1" applyAlignment="1">
      <alignment vertical="center"/>
    </xf>
    <xf numFmtId="0" fontId="2" fillId="0" borderId="40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0" xfId="2" applyNumberFormat="1" applyBorder="1" applyAlignment="1">
      <alignment horizontal="center" vertical="center"/>
    </xf>
    <xf numFmtId="0" fontId="2" fillId="0" borderId="40" xfId="2" applyBorder="1" applyAlignment="1">
      <alignment horizontal="left" vertical="center"/>
    </xf>
    <xf numFmtId="0" fontId="2" fillId="0" borderId="50" xfId="2" applyBorder="1" applyAlignment="1">
      <alignment vertical="center"/>
    </xf>
    <xf numFmtId="0" fontId="2" fillId="0" borderId="51" xfId="2" applyBorder="1" applyAlignment="1">
      <alignment vertical="center"/>
    </xf>
    <xf numFmtId="0" fontId="0" fillId="69" borderId="9" xfId="0" applyFill="1" applyBorder="1"/>
    <xf numFmtId="0" fontId="2" fillId="2" borderId="26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5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69" borderId="9" xfId="0" applyFont="1" applyFill="1" applyBorder="1" applyAlignment="1" applyProtection="1">
      <alignment horizontal="center" vertical="center" wrapText="1"/>
    </xf>
    <xf numFmtId="14" fontId="6" fillId="69" borderId="9" xfId="0" applyNumberFormat="1" applyFont="1" applyFill="1" applyBorder="1" applyAlignment="1" applyProtection="1">
      <alignment horizontal="center" vertical="center" wrapText="1"/>
    </xf>
    <xf numFmtId="0" fontId="52" fillId="22" borderId="0" xfId="0" applyFont="1" applyFill="1" applyBorder="1"/>
    <xf numFmtId="0" fontId="53" fillId="22" borderId="0" xfId="0" applyFont="1" applyFill="1" applyBorder="1"/>
    <xf numFmtId="0" fontId="54" fillId="22" borderId="13" xfId="0" applyFont="1" applyFill="1" applyBorder="1"/>
    <xf numFmtId="0" fontId="53" fillId="22" borderId="13" xfId="0" applyFont="1" applyFill="1" applyBorder="1"/>
    <xf numFmtId="0" fontId="56" fillId="73" borderId="5" xfId="0" applyFont="1" applyFill="1" applyBorder="1" applyAlignment="1">
      <alignment vertical="center"/>
    </xf>
    <xf numFmtId="0" fontId="57" fillId="3" borderId="9" xfId="0" applyFont="1" applyFill="1" applyBorder="1" applyAlignment="1">
      <alignment horizontal="center" vertical="center"/>
    </xf>
    <xf numFmtId="0" fontId="58" fillId="9" borderId="9" xfId="0" applyFont="1" applyFill="1" applyBorder="1" applyAlignment="1">
      <alignment horizontal="center" vertical="center"/>
    </xf>
    <xf numFmtId="0" fontId="58" fillId="29" borderId="9" xfId="0" applyFont="1" applyFill="1" applyBorder="1" applyAlignment="1">
      <alignment horizontal="left" vertical="center"/>
    </xf>
    <xf numFmtId="0" fontId="59" fillId="29" borderId="9" xfId="0" applyFont="1" applyFill="1" applyBorder="1" applyAlignment="1">
      <alignment horizontal="center" vertical="center"/>
    </xf>
    <xf numFmtId="0" fontId="58" fillId="29" borderId="9" xfId="0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left" vertical="center"/>
    </xf>
    <xf numFmtId="0" fontId="59" fillId="28" borderId="9" xfId="0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center" vertical="center"/>
    </xf>
    <xf numFmtId="0" fontId="60" fillId="22" borderId="13" xfId="0" applyFont="1" applyFill="1" applyBorder="1"/>
    <xf numFmtId="0" fontId="51" fillId="73" borderId="9" xfId="0" applyFont="1" applyFill="1" applyBorder="1"/>
    <xf numFmtId="0" fontId="53" fillId="26" borderId="9" xfId="0" applyFont="1" applyFill="1" applyBorder="1" applyAlignment="1">
      <alignment horizontal="center"/>
    </xf>
    <xf numFmtId="0" fontId="53" fillId="68" borderId="9" xfId="0" applyFont="1" applyFill="1" applyBorder="1" applyAlignment="1">
      <alignment horizontal="center"/>
    </xf>
    <xf numFmtId="0" fontId="6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1" fontId="1" fillId="66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6" xfId="0" applyFont="1" applyFill="1" applyBorder="1" applyAlignment="1">
      <alignment horizontal="center" vertical="center" wrapText="1"/>
    </xf>
    <xf numFmtId="0" fontId="1" fillId="22" borderId="18" xfId="0" applyFon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2" fontId="59" fillId="28" borderId="9" xfId="0" applyNumberFormat="1" applyFont="1" applyFill="1" applyBorder="1" applyAlignment="1">
      <alignment horizontal="center" vertical="center"/>
    </xf>
    <xf numFmtId="2" fontId="59" fillId="29" borderId="9" xfId="0" applyNumberFormat="1" applyFont="1" applyFill="1" applyBorder="1" applyAlignment="1">
      <alignment horizontal="center" vertical="center"/>
    </xf>
    <xf numFmtId="10" fontId="58" fillId="29" borderId="9" xfId="0" applyNumberFormat="1" applyFont="1" applyFill="1" applyBorder="1" applyAlignment="1">
      <alignment horizontal="center" vertical="center"/>
    </xf>
    <xf numFmtId="10" fontId="58" fillId="28" borderId="9" xfId="0" applyNumberFormat="1" applyFont="1" applyFill="1" applyBorder="1" applyAlignment="1">
      <alignment horizontal="center" vertical="center"/>
    </xf>
    <xf numFmtId="10" fontId="59" fillId="29" borderId="9" xfId="0" applyNumberFormat="1" applyFont="1" applyFill="1" applyBorder="1" applyAlignment="1">
      <alignment horizontal="center" vertical="center"/>
    </xf>
    <xf numFmtId="10" fontId="59" fillId="28" borderId="9" xfId="0" applyNumberFormat="1" applyFont="1" applyFill="1" applyBorder="1" applyAlignment="1">
      <alignment horizontal="center" vertical="center"/>
    </xf>
    <xf numFmtId="0" fontId="58" fillId="28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0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4" xfId="0" applyFont="1" applyFill="1" applyBorder="1" applyAlignment="1">
      <alignment horizontal="center" vertical="center" wrapText="1"/>
    </xf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6" fillId="22" borderId="0" xfId="0" applyFont="1" applyFill="1" applyBorder="1" applyAlignment="1">
      <alignment horizontal="left" vertical="center"/>
    </xf>
    <xf numFmtId="0" fontId="1" fillId="22" borderId="0" xfId="0" applyFont="1" applyFill="1" applyBorder="1" applyAlignment="1">
      <alignment horizontal="center" vertical="center"/>
    </xf>
    <xf numFmtId="0" fontId="63" fillId="22" borderId="0" xfId="0" applyFont="1" applyFill="1" applyBorder="1" applyAlignment="1">
      <alignment horizontal="center" vertical="center"/>
    </xf>
    <xf numFmtId="0" fontId="6" fillId="32" borderId="9" xfId="0" applyFont="1" applyFill="1" applyBorder="1" applyAlignment="1">
      <alignment horizontal="left"/>
    </xf>
    <xf numFmtId="0" fontId="64" fillId="29" borderId="9" xfId="0" applyFont="1" applyFill="1" applyBorder="1" applyAlignment="1">
      <alignment horizontal="left" vertical="center" wrapText="1"/>
    </xf>
    <xf numFmtId="0" fontId="64" fillId="28" borderId="9" xfId="0" applyFont="1" applyFill="1" applyBorder="1" applyAlignment="1">
      <alignment horizontal="left" vertical="center" wrapText="1"/>
    </xf>
    <xf numFmtId="14" fontId="65" fillId="22" borderId="0" xfId="0" applyNumberFormat="1" applyFont="1" applyFill="1" applyBorder="1"/>
    <xf numFmtId="0" fontId="66" fillId="29" borderId="9" xfId="0" applyFont="1" applyFill="1" applyBorder="1" applyAlignment="1">
      <alignment horizontal="center" vertical="center"/>
    </xf>
    <xf numFmtId="0" fontId="6" fillId="75" borderId="9" xfId="0" applyFont="1" applyFill="1" applyBorder="1" applyAlignment="1" applyProtection="1">
      <alignment horizontal="center" vertical="center" wrapText="1"/>
    </xf>
    <xf numFmtId="14" fontId="6" fillId="75" borderId="9" xfId="0" applyNumberFormat="1" applyFont="1" applyFill="1" applyBorder="1" applyAlignment="1" applyProtection="1">
      <alignment horizontal="center" vertical="center" wrapText="1"/>
    </xf>
    <xf numFmtId="0" fontId="0" fillId="75" borderId="9" xfId="0" applyNumberFormat="1" applyFill="1" applyBorder="1" applyAlignment="1">
      <alignment horizontal="center" vertical="center"/>
    </xf>
    <xf numFmtId="0" fontId="0" fillId="75" borderId="9" xfId="0" applyFill="1" applyBorder="1"/>
    <xf numFmtId="2" fontId="0" fillId="75" borderId="9" xfId="0" applyNumberFormat="1" applyFill="1" applyBorder="1"/>
    <xf numFmtId="0" fontId="6" fillId="0" borderId="19" xfId="0" applyFont="1" applyBorder="1" applyAlignment="1" applyProtection="1">
      <alignment vertical="center" wrapText="1"/>
      <protection locked="0"/>
    </xf>
    <xf numFmtId="0" fontId="52" fillId="71" borderId="9" xfId="0" applyFont="1" applyFill="1" applyBorder="1"/>
    <xf numFmtId="0" fontId="6" fillId="71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52" fillId="71" borderId="10" xfId="0" applyFont="1" applyFill="1" applyBorder="1"/>
    <xf numFmtId="0" fontId="2" fillId="71" borderId="10" xfId="2" applyFont="1" applyFill="1" applyBorder="1" applyAlignment="1">
      <alignment vertical="center"/>
    </xf>
    <xf numFmtId="0" fontId="6" fillId="71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68" fillId="23" borderId="0" xfId="2" applyFont="1" applyFill="1" applyAlignment="1">
      <alignment horizontal="center" vertical="center"/>
    </xf>
    <xf numFmtId="2" fontId="0" fillId="69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8" fillId="22" borderId="9" xfId="3" applyFont="1" applyFill="1" applyBorder="1" applyAlignment="1">
      <alignment horizontal="center" vertical="center" wrapText="1"/>
    </xf>
    <xf numFmtId="0" fontId="48" fillId="67" borderId="9" xfId="3" applyFont="1" applyFill="1" applyBorder="1" applyAlignment="1">
      <alignment horizontal="center" vertical="center" wrapText="1"/>
    </xf>
    <xf numFmtId="49" fontId="48" fillId="67" borderId="9" xfId="3" applyNumberFormat="1" applyFont="1" applyFill="1" applyBorder="1" applyAlignment="1">
      <alignment horizontal="center" vertical="center" wrapText="1"/>
    </xf>
    <xf numFmtId="0" fontId="9" fillId="67" borderId="9" xfId="3" applyFill="1" applyBorder="1" applyAlignment="1">
      <alignment vertical="center" wrapText="1"/>
    </xf>
    <xf numFmtId="0" fontId="21" fillId="67" borderId="9" xfId="5" applyFill="1" applyBorder="1" applyAlignment="1">
      <alignment horizontal="center" vertical="center" wrapText="1"/>
    </xf>
    <xf numFmtId="0" fontId="9" fillId="67" borderId="9" xfId="3" applyFill="1" applyBorder="1" applyAlignment="1">
      <alignment horizontal="center" vertical="center" wrapText="1"/>
    </xf>
    <xf numFmtId="0" fontId="2" fillId="67" borderId="9" xfId="3" applyFont="1" applyFill="1" applyBorder="1" applyAlignment="1">
      <alignment vertical="center" wrapText="1"/>
    </xf>
    <xf numFmtId="0" fontId="70" fillId="0" borderId="0" xfId="0" applyFont="1"/>
    <xf numFmtId="0" fontId="67" fillId="0" borderId="3" xfId="0" applyFont="1" applyBorder="1" applyAlignment="1">
      <alignment vertical="center" wrapText="1"/>
    </xf>
    <xf numFmtId="0" fontId="67" fillId="0" borderId="0" xfId="0" applyFont="1" applyBorder="1" applyAlignment="1">
      <alignment horizontal="center" wrapText="1"/>
    </xf>
    <xf numFmtId="0" fontId="9" fillId="34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1" borderId="0" xfId="2" applyFill="1" applyAlignment="1">
      <alignment vertical="center"/>
    </xf>
    <xf numFmtId="0" fontId="52" fillId="23" borderId="2" xfId="0" applyFont="1" applyFill="1" applyBorder="1" applyAlignment="1">
      <alignment horizontal="center" vertical="center" wrapText="1"/>
    </xf>
    <xf numFmtId="0" fontId="52" fillId="23" borderId="12" xfId="0" applyFont="1" applyFill="1" applyBorder="1" applyAlignment="1">
      <alignment horizontal="center" vertical="center" wrapText="1"/>
    </xf>
    <xf numFmtId="0" fontId="52" fillId="23" borderId="9" xfId="0" applyFont="1" applyFill="1" applyBorder="1" applyAlignment="1">
      <alignment horizontal="center" vertical="center" wrapText="1"/>
    </xf>
    <xf numFmtId="0" fontId="5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5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69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5" borderId="9" xfId="0" applyFill="1" applyBorder="1" applyAlignment="1">
      <alignment horizontal="center" vertical="center" wrapText="1"/>
    </xf>
    <xf numFmtId="0" fontId="0" fillId="69" borderId="9" xfId="0" applyFill="1" applyBorder="1" applyAlignment="1">
      <alignment horizontal="center" vertical="center" wrapText="1"/>
    </xf>
    <xf numFmtId="0" fontId="0" fillId="75" borderId="9" xfId="0" applyFill="1" applyBorder="1" applyAlignment="1">
      <alignment horizontal="center" vertical="center"/>
    </xf>
    <xf numFmtId="0" fontId="0" fillId="69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70" fillId="0" borderId="9" xfId="0" applyFont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0" borderId="0" xfId="0" applyFont="1" applyFill="1" applyAlignment="1">
      <alignment horizontal="center" vertical="center" wrapText="1"/>
    </xf>
    <xf numFmtId="2" fontId="70" fillId="0" borderId="9" xfId="0" applyNumberFormat="1" applyFont="1" applyBorder="1" applyAlignment="1">
      <alignment horizontal="center" vertical="center" wrapText="1"/>
    </xf>
    <xf numFmtId="2" fontId="70" fillId="7" borderId="9" xfId="0" applyNumberFormat="1" applyFont="1" applyFill="1" applyBorder="1" applyAlignment="1">
      <alignment horizontal="center" vertical="center" wrapText="1"/>
    </xf>
    <xf numFmtId="2" fontId="7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2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2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63" fillId="72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63" fillId="66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63" fillId="66" borderId="2" xfId="0" applyNumberFormat="1" applyFont="1" applyFill="1" applyBorder="1" applyAlignment="1" applyProtection="1">
      <alignment horizontal="center" vertical="center" wrapText="1"/>
    </xf>
    <xf numFmtId="2" fontId="71" fillId="0" borderId="9" xfId="0" applyNumberFormat="1" applyFont="1" applyFill="1" applyBorder="1" applyAlignment="1">
      <alignment horizontal="center" vertical="center" wrapText="1"/>
    </xf>
    <xf numFmtId="2" fontId="71" fillId="0" borderId="20" xfId="0" applyNumberFormat="1" applyFont="1" applyFill="1" applyBorder="1" applyAlignment="1">
      <alignment horizontal="center" vertical="center" wrapText="1"/>
    </xf>
    <xf numFmtId="2" fontId="7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22" borderId="2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52" fillId="76" borderId="5" xfId="5" applyFont="1" applyFill="1" applyBorder="1" applyAlignment="1">
      <alignment vertical="center" wrapText="1"/>
    </xf>
    <xf numFmtId="0" fontId="52" fillId="76" borderId="13" xfId="5" applyFont="1" applyFill="1" applyBorder="1" applyAlignment="1">
      <alignment vertical="center" wrapText="1"/>
    </xf>
    <xf numFmtId="0" fontId="72" fillId="0" borderId="0" xfId="3" applyFont="1" applyAlignment="1">
      <alignment horizontal="center" vertical="center" wrapText="1"/>
    </xf>
    <xf numFmtId="0" fontId="73" fillId="0" borderId="0" xfId="3" applyFont="1" applyAlignment="1">
      <alignment horizontal="center" vertical="center" wrapText="1"/>
    </xf>
    <xf numFmtId="0" fontId="6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78" borderId="9" xfId="46" applyFont="1" applyFill="1" applyBorder="1" applyAlignment="1">
      <alignment horizontal="center" vertical="center" wrapText="1"/>
    </xf>
    <xf numFmtId="0" fontId="59" fillId="28" borderId="9" xfId="45" applyNumberFormat="1" applyFont="1" applyFill="1" applyBorder="1" applyAlignment="1">
      <alignment horizontal="center" vertical="center"/>
    </xf>
    <xf numFmtId="0" fontId="47" fillId="76" borderId="9" xfId="3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19" borderId="5" xfId="0" applyFont="1" applyFill="1" applyBorder="1" applyAlignment="1">
      <alignment horizontal="center" vertical="center"/>
    </xf>
    <xf numFmtId="0" fontId="52" fillId="0" borderId="0" xfId="0" applyFont="1" applyFill="1" applyBorder="1"/>
    <xf numFmtId="0" fontId="55" fillId="0" borderId="0" xfId="0" applyFont="1" applyFill="1" applyBorder="1" applyAlignment="1">
      <alignment horizontal="center" vertical="center" wrapText="1"/>
    </xf>
    <xf numFmtId="0" fontId="58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10" fontId="59" fillId="0" borderId="0" xfId="0" applyNumberFormat="1" applyFont="1" applyFill="1" applyBorder="1" applyAlignment="1">
      <alignment horizontal="center" vertical="center"/>
    </xf>
    <xf numFmtId="0" fontId="59" fillId="29" borderId="5" xfId="0" applyFont="1" applyFill="1" applyBorder="1" applyAlignment="1">
      <alignment horizontal="center" vertical="center"/>
    </xf>
    <xf numFmtId="10" fontId="59" fillId="29" borderId="5" xfId="0" applyNumberFormat="1" applyFont="1" applyFill="1" applyBorder="1" applyAlignment="1">
      <alignment horizontal="center" vertical="center"/>
    </xf>
    <xf numFmtId="0" fontId="59" fillId="28" borderId="5" xfId="0" applyFont="1" applyFill="1" applyBorder="1" applyAlignment="1">
      <alignment horizontal="center" vertical="center"/>
    </xf>
    <xf numFmtId="10" fontId="59" fillId="28" borderId="5" xfId="0" applyNumberFormat="1" applyFont="1" applyFill="1" applyBorder="1" applyAlignment="1">
      <alignment horizontal="center" vertical="center"/>
    </xf>
    <xf numFmtId="0" fontId="51" fillId="73" borderId="14" xfId="0" applyFont="1" applyFill="1" applyBorder="1"/>
    <xf numFmtId="0" fontId="58" fillId="29" borderId="14" xfId="0" applyFont="1" applyFill="1" applyBorder="1" applyAlignment="1">
      <alignment horizontal="left" vertical="center"/>
    </xf>
    <xf numFmtId="0" fontId="58" fillId="28" borderId="14" xfId="0" applyFont="1" applyFill="1" applyBorder="1" applyAlignment="1">
      <alignment horizontal="left" vertical="center"/>
    </xf>
    <xf numFmtId="0" fontId="66" fillId="29" borderId="5" xfId="0" applyFont="1" applyFill="1" applyBorder="1" applyAlignment="1">
      <alignment horizontal="center" vertical="center"/>
    </xf>
    <xf numFmtId="0" fontId="66" fillId="0" borderId="0" xfId="0" applyFont="1" applyFill="1" applyBorder="1" applyAlignment="1">
      <alignment horizontal="center" vertical="center"/>
    </xf>
    <xf numFmtId="2" fontId="59" fillId="29" borderId="5" xfId="0" applyNumberFormat="1" applyFont="1" applyFill="1" applyBorder="1" applyAlignment="1">
      <alignment horizontal="center" vertical="center"/>
    </xf>
    <xf numFmtId="2" fontId="59" fillId="28" borderId="5" xfId="0" applyNumberFormat="1" applyFont="1" applyFill="1" applyBorder="1" applyAlignment="1">
      <alignment horizontal="center" vertical="center"/>
    </xf>
    <xf numFmtId="0" fontId="58" fillId="29" borderId="5" xfId="0" applyFont="1" applyFill="1" applyBorder="1" applyAlignment="1">
      <alignment horizontal="center" vertical="center"/>
    </xf>
    <xf numFmtId="0" fontId="58" fillId="28" borderId="5" xfId="0" applyFont="1" applyFill="1" applyBorder="1" applyAlignment="1">
      <alignment horizontal="center" vertical="center"/>
    </xf>
    <xf numFmtId="0" fontId="56" fillId="73" borderId="13" xfId="0" applyFont="1" applyFill="1" applyBorder="1" applyAlignment="1">
      <alignment vertical="center"/>
    </xf>
    <xf numFmtId="0" fontId="59" fillId="29" borderId="14" xfId="0" applyFont="1" applyFill="1" applyBorder="1" applyAlignment="1">
      <alignment horizontal="left" vertical="center"/>
    </xf>
    <xf numFmtId="0" fontId="58" fillId="29" borderId="14" xfId="0" applyFont="1" applyFill="1" applyBorder="1" applyAlignment="1">
      <alignment horizontal="right" vertical="center"/>
    </xf>
    <xf numFmtId="0" fontId="59" fillId="28" borderId="14" xfId="0" applyFont="1" applyFill="1" applyBorder="1" applyAlignment="1">
      <alignment horizontal="left" vertical="center"/>
    </xf>
    <xf numFmtId="0" fontId="58" fillId="28" borderId="14" xfId="0" applyFont="1" applyFill="1" applyBorder="1" applyAlignment="1">
      <alignment horizontal="right" vertical="center"/>
    </xf>
    <xf numFmtId="2" fontId="59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32" borderId="5" xfId="0" applyFont="1" applyFill="1" applyBorder="1"/>
    <xf numFmtId="0" fontId="1" fillId="19" borderId="13" xfId="0" applyFont="1" applyFill="1" applyBorder="1" applyAlignment="1">
      <alignment horizontal="center" vertical="center"/>
    </xf>
    <xf numFmtId="0" fontId="1" fillId="79" borderId="13" xfId="0" applyFont="1" applyFill="1" applyBorder="1" applyAlignment="1">
      <alignment horizontal="center" vertical="center"/>
    </xf>
    <xf numFmtId="0" fontId="63" fillId="67" borderId="57" xfId="0" applyFont="1" applyFill="1" applyBorder="1" applyAlignment="1">
      <alignment horizontal="center" vertical="center"/>
    </xf>
    <xf numFmtId="0" fontId="1" fillId="76" borderId="0" xfId="0" applyFont="1" applyFill="1" applyBorder="1" applyAlignment="1">
      <alignment horizontal="center" vertical="center"/>
    </xf>
    <xf numFmtId="0" fontId="2" fillId="0" borderId="9" xfId="2" applyFont="1" applyFill="1" applyBorder="1" applyAlignment="1">
      <alignment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1" fillId="0" borderId="10" xfId="2" applyFont="1" applyFill="1" applyBorder="1" applyAlignment="1">
      <alignment horizontal="center" vertical="center"/>
    </xf>
    <xf numFmtId="166" fontId="2" fillId="0" borderId="36" xfId="2" applyNumberFormat="1" applyFont="1" applyBorder="1" applyAlignment="1">
      <alignment horizontal="center" vertical="center"/>
    </xf>
    <xf numFmtId="166" fontId="2" fillId="0" borderId="9" xfId="2" applyNumberFormat="1" applyFont="1" applyBorder="1" applyAlignment="1">
      <alignment horizontal="center" vertical="center"/>
    </xf>
    <xf numFmtId="166" fontId="2" fillId="22" borderId="9" xfId="2" applyNumberFormat="1" applyFont="1" applyFill="1" applyBorder="1" applyAlignment="1">
      <alignment horizontal="center" vertical="center"/>
    </xf>
    <xf numFmtId="166" fontId="2" fillId="0" borderId="10" xfId="2" applyNumberFormat="1" applyFont="1" applyBorder="1" applyAlignment="1">
      <alignment horizontal="center" vertical="center"/>
    </xf>
    <xf numFmtId="0" fontId="48" fillId="0" borderId="37" xfId="0" applyFont="1" applyFill="1" applyBorder="1" applyAlignment="1">
      <alignment horizontal="center" vertical="center"/>
    </xf>
    <xf numFmtId="14" fontId="48" fillId="0" borderId="14" xfId="0" applyNumberFormat="1" applyFont="1" applyBorder="1" applyAlignment="1">
      <alignment horizontal="center" vertical="center"/>
    </xf>
    <xf numFmtId="14" fontId="48" fillId="0" borderId="9" xfId="0" applyNumberFormat="1" applyFont="1" applyBorder="1" applyAlignment="1">
      <alignment horizontal="center"/>
    </xf>
    <xf numFmtId="14" fontId="48" fillId="0" borderId="9" xfId="0" applyNumberFormat="1" applyFont="1" applyBorder="1"/>
    <xf numFmtId="0" fontId="48" fillId="0" borderId="9" xfId="0" applyFont="1" applyBorder="1"/>
    <xf numFmtId="14" fontId="48" fillId="22" borderId="9" xfId="0" applyNumberFormat="1" applyFont="1" applyFill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/>
    </xf>
    <xf numFmtId="0" fontId="48" fillId="77" borderId="14" xfId="0" applyFont="1" applyFill="1" applyBorder="1"/>
    <xf numFmtId="0" fontId="48" fillId="77" borderId="9" xfId="0" applyFont="1" applyFill="1" applyBorder="1"/>
    <xf numFmtId="0" fontId="48" fillId="0" borderId="0" xfId="0" applyFont="1"/>
    <xf numFmtId="0" fontId="48" fillId="22" borderId="38" xfId="0" applyFont="1" applyFill="1" applyBorder="1" applyAlignment="1">
      <alignment horizontal="center" vertical="center" wrapText="1"/>
    </xf>
    <xf numFmtId="14" fontId="48" fillId="0" borderId="9" xfId="0" applyNumberFormat="1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/>
    </xf>
    <xf numFmtId="14" fontId="48" fillId="22" borderId="14" xfId="0" applyNumberFormat="1" applyFont="1" applyFill="1" applyBorder="1" applyAlignment="1">
      <alignment horizontal="center" vertical="center" wrapText="1"/>
    </xf>
    <xf numFmtId="0" fontId="48" fillId="0" borderId="9" xfId="0" applyFont="1" applyFill="1" applyBorder="1"/>
    <xf numFmtId="0" fontId="48" fillId="22" borderId="19" xfId="0" applyFont="1" applyFill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48" fillId="0" borderId="19" xfId="0" applyFont="1" applyFill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/>
    </xf>
    <xf numFmtId="14" fontId="48" fillId="22" borderId="10" xfId="0" applyNumberFormat="1" applyFont="1" applyFill="1" applyBorder="1" applyAlignment="1">
      <alignment horizontal="center" vertical="center" wrapText="1"/>
    </xf>
    <xf numFmtId="14" fontId="48" fillId="0" borderId="10" xfId="0" applyNumberFormat="1" applyFont="1" applyFill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center" vertical="center" wrapText="1"/>
    </xf>
    <xf numFmtId="0" fontId="48" fillId="0" borderId="10" xfId="0" applyFont="1" applyBorder="1"/>
    <xf numFmtId="0" fontId="48" fillId="0" borderId="10" xfId="0" applyFont="1" applyBorder="1" applyAlignment="1">
      <alignment horizontal="center"/>
    </xf>
    <xf numFmtId="0" fontId="48" fillId="0" borderId="23" xfId="0" applyFont="1" applyFill="1" applyBorder="1" applyAlignment="1">
      <alignment horizontal="center" vertical="center"/>
    </xf>
    <xf numFmtId="14" fontId="48" fillId="0" borderId="10" xfId="0" applyNumberFormat="1" applyFont="1" applyBorder="1" applyAlignment="1">
      <alignment horizontal="center"/>
    </xf>
    <xf numFmtId="14" fontId="48" fillId="0" borderId="10" xfId="0" applyNumberFormat="1" applyFont="1" applyBorder="1"/>
    <xf numFmtId="14" fontId="48" fillId="0" borderId="14" xfId="0" applyNumberFormat="1" applyFont="1" applyBorder="1" applyAlignment="1">
      <alignment horizontal="center"/>
    </xf>
    <xf numFmtId="0" fontId="48" fillId="0" borderId="9" xfId="0" applyFont="1" applyBorder="1" applyAlignment="1">
      <alignment horizontal="center" vertical="center"/>
    </xf>
    <xf numFmtId="0" fontId="76" fillId="0" borderId="18" xfId="0" applyFont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6" fillId="0" borderId="18" xfId="0" applyFont="1" applyFill="1" applyBorder="1" applyAlignment="1">
      <alignment horizontal="center" vertical="center"/>
    </xf>
    <xf numFmtId="0" fontId="76" fillId="0" borderId="26" xfId="0" applyFont="1" applyFill="1" applyBorder="1" applyAlignment="1">
      <alignment horizontal="center" vertical="center"/>
    </xf>
    <xf numFmtId="0" fontId="76" fillId="0" borderId="24" xfId="0" applyFont="1" applyFill="1" applyBorder="1" applyAlignment="1">
      <alignment horizontal="center" vertical="center"/>
    </xf>
    <xf numFmtId="0" fontId="76" fillId="0" borderId="24" xfId="0" applyFont="1" applyBorder="1" applyAlignment="1">
      <alignment horizontal="center" vertical="center"/>
    </xf>
    <xf numFmtId="0" fontId="1" fillId="11" borderId="16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17" fontId="6" fillId="0" borderId="0" xfId="0" applyNumberFormat="1" applyFont="1"/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1" fillId="8" borderId="15" xfId="0" applyFont="1" applyFill="1" applyBorder="1" applyAlignment="1" applyProtection="1">
      <alignment horizontal="center" vertical="center" textRotation="90" wrapText="1"/>
      <protection locked="0"/>
    </xf>
    <xf numFmtId="0" fontId="1" fillId="8" borderId="9" xfId="0" applyFont="1" applyFill="1" applyBorder="1" applyAlignment="1" applyProtection="1">
      <alignment horizontal="center" vertical="center" textRotation="90" wrapText="1"/>
      <protection locked="0"/>
    </xf>
    <xf numFmtId="0" fontId="61" fillId="35" borderId="0" xfId="0" applyFont="1" applyFill="1" applyBorder="1" applyAlignment="1">
      <alignment horizont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57" fillId="3" borderId="9" xfId="0" applyFont="1" applyFill="1" applyBorder="1" applyAlignment="1">
      <alignment horizontal="center" vertical="center" wrapText="1"/>
    </xf>
    <xf numFmtId="0" fontId="59" fillId="9" borderId="9" xfId="0" applyFont="1" applyFill="1" applyBorder="1" applyAlignment="1">
      <alignment horizontal="center" vertical="center"/>
    </xf>
    <xf numFmtId="0" fontId="59" fillId="74" borderId="5" xfId="0" applyFont="1" applyFill="1" applyBorder="1" applyAlignment="1">
      <alignment horizontal="center" vertical="center"/>
    </xf>
    <xf numFmtId="0" fontId="59" fillId="9" borderId="9" xfId="0" applyFont="1" applyFill="1" applyBorder="1" applyAlignment="1">
      <alignment horizontal="center" vertical="center" wrapText="1"/>
    </xf>
    <xf numFmtId="0" fontId="59" fillId="74" borderId="5" xfId="0" applyFont="1" applyFill="1" applyBorder="1" applyAlignment="1">
      <alignment horizontal="center" vertical="center" wrapText="1"/>
    </xf>
    <xf numFmtId="0" fontId="59" fillId="74" borderId="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" fillId="79" borderId="9" xfId="0" applyFont="1" applyFill="1" applyBorder="1" applyAlignment="1">
      <alignment horizontal="center" vertical="center"/>
    </xf>
    <xf numFmtId="0" fontId="1" fillId="67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70" fillId="0" borderId="10" xfId="0" applyFont="1" applyBorder="1" applyAlignment="1">
      <alignment horizontal="center" vertical="center" wrapText="1"/>
    </xf>
    <xf numFmtId="2" fontId="71" fillId="0" borderId="10" xfId="0" applyNumberFormat="1" applyFont="1" applyFill="1" applyBorder="1" applyAlignment="1">
      <alignment horizontal="right" vertical="center" wrapText="1"/>
    </xf>
    <xf numFmtId="2" fontId="71" fillId="0" borderId="10" xfId="0" applyNumberFormat="1" applyFont="1" applyFill="1" applyBorder="1" applyAlignment="1">
      <alignment horizontal="center" vertical="center" wrapText="1"/>
    </xf>
    <xf numFmtId="2" fontId="70" fillId="0" borderId="10" xfId="0" applyNumberFormat="1" applyFont="1" applyBorder="1" applyAlignment="1">
      <alignment horizontal="center" vertical="center" wrapText="1"/>
    </xf>
    <xf numFmtId="2" fontId="71" fillId="0" borderId="10" xfId="0" applyNumberFormat="1" applyFont="1" applyFill="1" applyBorder="1" applyAlignment="1" applyProtection="1">
      <alignment horizontal="center" vertical="center" wrapText="1"/>
      <protection locked="0"/>
    </xf>
    <xf numFmtId="2" fontId="71" fillId="0" borderId="58" xfId="0" applyNumberFormat="1" applyFont="1" applyFill="1" applyBorder="1" applyAlignment="1">
      <alignment horizontal="center" vertical="center" wrapText="1"/>
    </xf>
    <xf numFmtId="0" fontId="52" fillId="29" borderId="9" xfId="0" applyFont="1" applyFill="1" applyBorder="1"/>
    <xf numFmtId="0" fontId="50" fillId="29" borderId="0" xfId="0" applyFont="1" applyFill="1" applyBorder="1" applyAlignment="1">
      <alignment wrapText="1"/>
    </xf>
    <xf numFmtId="0" fontId="55" fillId="22" borderId="33" xfId="0" applyFont="1" applyFill="1" applyBorder="1" applyAlignment="1">
      <alignment vertical="center" wrapText="1"/>
    </xf>
    <xf numFmtId="0" fontId="52" fillId="28" borderId="9" xfId="0" applyFont="1" applyFill="1" applyBorder="1"/>
    <xf numFmtId="0" fontId="50" fillId="28" borderId="9" xfId="0" applyFont="1" applyFill="1" applyBorder="1" applyAlignment="1">
      <alignment wrapText="1"/>
    </xf>
    <xf numFmtId="0" fontId="57" fillId="29" borderId="9" xfId="0" applyFont="1" applyFill="1" applyBorder="1"/>
    <xf numFmtId="0" fontId="53" fillId="29" borderId="9" xfId="0" applyFont="1" applyFill="1" applyBorder="1"/>
    <xf numFmtId="0" fontId="52" fillId="29" borderId="9" xfId="0" applyFont="1" applyFill="1" applyBorder="1" applyAlignment="1">
      <alignment horizontal="right"/>
    </xf>
    <xf numFmtId="0" fontId="6" fillId="0" borderId="2" xfId="0" applyNumberFormat="1" applyFont="1" applyBorder="1" applyAlignment="1" applyProtection="1">
      <alignment horizontal="center" vertical="center" wrapText="1"/>
      <protection locked="0"/>
    </xf>
    <xf numFmtId="0" fontId="55" fillId="35" borderId="33" xfId="0" applyFont="1" applyFill="1" applyBorder="1" applyAlignment="1">
      <alignment horizontal="center" vertical="center" wrapText="1"/>
    </xf>
    <xf numFmtId="0" fontId="61" fillId="35" borderId="0" xfId="0" applyFont="1" applyFill="1" applyBorder="1" applyAlignment="1">
      <alignment horizontal="center"/>
    </xf>
    <xf numFmtId="0" fontId="61" fillId="35" borderId="33" xfId="0" applyFont="1" applyFill="1" applyBorder="1" applyAlignment="1">
      <alignment horizontal="center"/>
    </xf>
    <xf numFmtId="0" fontId="1" fillId="0" borderId="0" xfId="2" applyFont="1" applyBorder="1" applyAlignment="1">
      <alignment horizontal="left" vertical="center"/>
    </xf>
    <xf numFmtId="0" fontId="1" fillId="0" borderId="25" xfId="2" applyFont="1" applyBorder="1" applyAlignment="1">
      <alignment horizontal="left" vertical="center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31" borderId="5" xfId="2" applyFont="1" applyFill="1" applyBorder="1" applyAlignment="1">
      <alignment horizontal="center" vertical="center"/>
    </xf>
    <xf numFmtId="0" fontId="23" fillId="31" borderId="14" xfId="2" applyFont="1" applyFill="1" applyBorder="1" applyAlignment="1">
      <alignment horizontal="center" vertical="center"/>
    </xf>
    <xf numFmtId="0" fontId="23" fillId="31" borderId="13" xfId="2" applyFont="1" applyFill="1" applyBorder="1" applyAlignment="1">
      <alignment horizontal="center" vertical="center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4" fillId="2" borderId="28" xfId="2" applyFont="1" applyFill="1" applyBorder="1" applyAlignment="1">
      <alignment horizontal="center" vertical="center"/>
    </xf>
    <xf numFmtId="0" fontId="24" fillId="2" borderId="29" xfId="2" applyFont="1" applyFill="1" applyBorder="1" applyAlignment="1">
      <alignment horizontal="center" vertical="center"/>
    </xf>
    <xf numFmtId="0" fontId="24" fillId="2" borderId="30" xfId="2" applyFont="1" applyFill="1" applyBorder="1" applyAlignment="1">
      <alignment horizontal="center" vertical="center"/>
    </xf>
    <xf numFmtId="0" fontId="2" fillId="24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6" borderId="9" xfId="2" applyFont="1" applyFill="1" applyBorder="1" applyAlignment="1">
      <alignment horizontal="center" vertical="center"/>
    </xf>
    <xf numFmtId="0" fontId="4" fillId="26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49" fontId="1" fillId="5" borderId="28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9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/>
    <xf numFmtId="0" fontId="1" fillId="17" borderId="28" xfId="0" applyFont="1" applyFill="1" applyBorder="1" applyAlignment="1" applyProtection="1">
      <alignment horizontal="center" vertical="center" wrapText="1"/>
      <protection locked="0"/>
    </xf>
    <xf numFmtId="0" fontId="1" fillId="17" borderId="29" xfId="0" applyFont="1" applyFill="1" applyBorder="1" applyAlignment="1" applyProtection="1">
      <alignment horizontal="center" vertical="center" wrapText="1"/>
      <protection locked="0"/>
    </xf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164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9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28" xfId="0" applyFont="1" applyFill="1" applyBorder="1" applyAlignment="1" applyProtection="1">
      <alignment horizontal="center" vertical="center" wrapText="1"/>
      <protection locked="0"/>
    </xf>
    <xf numFmtId="0" fontId="1" fillId="18" borderId="29" xfId="0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0" borderId="28" xfId="0" applyFont="1" applyFill="1" applyBorder="1" applyAlignment="1" applyProtection="1">
      <alignment horizontal="center" vertical="center" wrapText="1"/>
      <protection locked="0"/>
    </xf>
    <xf numFmtId="0" fontId="1" fillId="10" borderId="29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2" borderId="52" xfId="0" applyFont="1" applyFill="1" applyBorder="1" applyAlignment="1">
      <alignment horizontal="center" vertical="center"/>
    </xf>
    <xf numFmtId="0" fontId="1" fillId="2" borderId="53" xfId="0" applyFont="1" applyFill="1" applyBorder="1" applyAlignment="1">
      <alignment horizontal="center" vertical="center"/>
    </xf>
    <xf numFmtId="0" fontId="9" fillId="34" borderId="5" xfId="3" applyFill="1" applyBorder="1" applyAlignment="1">
      <alignment horizontal="center" vertical="center" wrapText="1"/>
    </xf>
    <xf numFmtId="0" fontId="9" fillId="34" borderId="13" xfId="3" applyFill="1" applyBorder="1" applyAlignment="1">
      <alignment horizontal="center" vertical="center" wrapText="1"/>
    </xf>
    <xf numFmtId="0" fontId="9" fillId="34" borderId="14" xfId="3" applyFill="1" applyBorder="1" applyAlignment="1">
      <alignment horizontal="center" vertical="center" wrapText="1"/>
    </xf>
    <xf numFmtId="49" fontId="2" fillId="34" borderId="5" xfId="3" applyNumberFormat="1" applyFont="1" applyFill="1" applyBorder="1" applyAlignment="1">
      <alignment horizontal="center" vertical="center" wrapText="1"/>
    </xf>
    <xf numFmtId="49" fontId="2" fillId="34" borderId="13" xfId="3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0" fontId="11" fillId="16" borderId="0" xfId="3" applyFont="1" applyFill="1" applyAlignment="1">
      <alignment horizontal="left" vertical="center" wrapText="1"/>
    </xf>
    <xf numFmtId="0" fontId="52" fillId="76" borderId="5" xfId="5" applyFont="1" applyFill="1" applyBorder="1" applyAlignment="1">
      <alignment horizontal="center" vertical="center" wrapText="1"/>
    </xf>
    <xf numFmtId="0" fontId="52" fillId="76" borderId="13" xfId="5" applyFont="1" applyFill="1" applyBorder="1" applyAlignment="1">
      <alignment horizontal="center" vertical="center" wrapText="1"/>
    </xf>
    <xf numFmtId="0" fontId="52" fillId="76" borderId="14" xfId="5" applyFont="1" applyFill="1" applyBorder="1" applyAlignment="1">
      <alignment horizontal="center" vertical="center" wrapText="1"/>
    </xf>
    <xf numFmtId="49" fontId="49" fillId="76" borderId="5" xfId="5" applyNumberFormat="1" applyFont="1" applyFill="1" applyBorder="1" applyAlignment="1">
      <alignment horizontal="center" vertical="center" wrapText="1"/>
    </xf>
    <xf numFmtId="49" fontId="49" fillId="76" borderId="13" xfId="5" applyNumberFormat="1" applyFont="1" applyFill="1" applyBorder="1" applyAlignment="1">
      <alignment horizontal="center" vertical="center" wrapText="1"/>
    </xf>
    <xf numFmtId="49" fontId="49" fillId="76" borderId="14" xfId="5" applyNumberFormat="1" applyFont="1" applyFill="1" applyBorder="1" applyAlignment="1">
      <alignment horizontal="center" vertical="center" wrapText="1"/>
    </xf>
    <xf numFmtId="49" fontId="52" fillId="76" borderId="5" xfId="5" applyNumberFormat="1" applyFont="1" applyFill="1" applyBorder="1" applyAlignment="1">
      <alignment horizontal="center" vertical="center" wrapText="1"/>
    </xf>
    <xf numFmtId="49" fontId="52" fillId="76" borderId="13" xfId="5" applyNumberFormat="1" applyFont="1" applyFill="1" applyBorder="1" applyAlignment="1">
      <alignment horizontal="center" vertical="center" wrapText="1"/>
    </xf>
    <xf numFmtId="49" fontId="52" fillId="76" borderId="14" xfId="5" applyNumberFormat="1" applyFont="1" applyFill="1" applyBorder="1" applyAlignment="1">
      <alignment horizontal="center" vertical="center" wrapText="1"/>
    </xf>
    <xf numFmtId="0" fontId="2" fillId="76" borderId="5" xfId="3" applyFont="1" applyFill="1" applyBorder="1" applyAlignment="1">
      <alignment horizontal="center" vertical="center" wrapText="1"/>
    </xf>
    <xf numFmtId="0" fontId="2" fillId="76" borderId="13" xfId="3" applyFont="1" applyFill="1" applyBorder="1" applyAlignment="1">
      <alignment horizontal="center" vertical="center" wrapText="1"/>
    </xf>
    <xf numFmtId="0" fontId="2" fillId="76" borderId="5" xfId="3" applyFont="1" applyFill="1" applyBorder="1" applyAlignment="1">
      <alignment vertical="center" wrapText="1"/>
    </xf>
    <xf numFmtId="0" fontId="75" fillId="76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6" borderId="13" xfId="3" applyFill="1" applyBorder="1" applyAlignment="1">
      <alignment horizontal="center" vertical="center" wrapText="1"/>
    </xf>
    <xf numFmtId="0" fontId="6" fillId="23" borderId="33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59" fillId="80" borderId="5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39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FF99CC"/>
      <color rgb="FFFF6699"/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W87"/>
  <sheetViews>
    <sheetView zoomScale="90" zoomScaleNormal="90" zoomScalePageLayoutView="90" workbookViewId="0">
      <selection activeCell="F10" sqref="F10"/>
    </sheetView>
  </sheetViews>
  <sheetFormatPr baseColWidth="10" defaultRowHeight="15" x14ac:dyDescent="0.25"/>
  <cols>
    <col min="1" max="1" width="40" style="188" customWidth="1"/>
    <col min="2" max="3" width="9.85546875" style="188" customWidth="1"/>
    <col min="4" max="4" width="11" style="188" customWidth="1"/>
    <col min="5" max="5" width="12.5703125" style="188" customWidth="1"/>
    <col min="6" max="7" width="9.7109375" style="188" customWidth="1"/>
    <col min="8" max="8" width="27.42578125" style="188" customWidth="1"/>
    <col min="9" max="9" width="13.28515625" style="188" customWidth="1"/>
    <col min="10" max="10" width="12.140625" style="188" hidden="1" customWidth="1"/>
    <col min="11" max="14" width="11.42578125" style="188"/>
    <col min="15" max="15" width="29.5703125" style="188" customWidth="1"/>
    <col min="16" max="16" width="22.85546875" style="188" customWidth="1"/>
    <col min="17" max="17" width="20.140625" style="188" customWidth="1"/>
    <col min="18" max="18" width="16.85546875" style="188" customWidth="1"/>
    <col min="19" max="19" width="26.85546875" style="188" customWidth="1"/>
    <col min="20" max="21" width="11.42578125" style="188"/>
    <col min="22" max="22" width="12.42578125" style="188" customWidth="1"/>
    <col min="23" max="16384" width="11.42578125" style="188"/>
  </cols>
  <sheetData>
    <row r="1" spans="1:23" ht="27" customHeight="1" x14ac:dyDescent="0.25">
      <c r="A1" s="189"/>
      <c r="B1" s="189"/>
      <c r="C1" s="189"/>
      <c r="D1" s="189"/>
      <c r="E1" s="265">
        <f ca="1">TODAY()</f>
        <v>43873</v>
      </c>
      <c r="F1" s="265"/>
      <c r="G1" s="265"/>
    </row>
    <row r="2" spans="1:23" ht="27.75" x14ac:dyDescent="0.4">
      <c r="A2" s="190" t="s">
        <v>540</v>
      </c>
      <c r="B2" s="191"/>
      <c r="C2" s="191"/>
      <c r="D2" s="191"/>
      <c r="E2" s="191"/>
      <c r="F2" s="191"/>
      <c r="G2" s="191"/>
      <c r="H2" s="201" t="s">
        <v>633</v>
      </c>
      <c r="I2" s="191"/>
      <c r="J2" s="191"/>
      <c r="O2" s="205" t="s">
        <v>636</v>
      </c>
      <c r="P2" s="191"/>
      <c r="Q2" s="191"/>
      <c r="R2" s="191"/>
      <c r="S2" s="205" t="s">
        <v>639</v>
      </c>
      <c r="T2" s="191"/>
      <c r="U2" s="189"/>
    </row>
    <row r="3" spans="1:23" x14ac:dyDescent="0.25">
      <c r="A3" s="189"/>
      <c r="B3" s="189"/>
      <c r="C3" s="189"/>
      <c r="D3" s="189"/>
      <c r="E3" s="189"/>
      <c r="F3" s="189"/>
      <c r="G3" s="189"/>
    </row>
    <row r="4" spans="1:23" x14ac:dyDescent="0.25">
      <c r="A4" s="189"/>
      <c r="B4" s="189"/>
      <c r="C4" s="189"/>
      <c r="D4" s="189"/>
      <c r="E4" s="189"/>
      <c r="F4" s="189"/>
      <c r="G4" s="189"/>
    </row>
    <row r="5" spans="1:23" ht="15" customHeight="1" x14ac:dyDescent="0.25">
      <c r="A5" s="496" t="s">
        <v>613</v>
      </c>
      <c r="B5" s="496"/>
      <c r="C5" s="496"/>
      <c r="D5" s="496"/>
      <c r="E5" s="496"/>
      <c r="F5" s="384"/>
      <c r="G5" s="384"/>
      <c r="H5" s="496" t="s">
        <v>613</v>
      </c>
      <c r="I5" s="496"/>
      <c r="J5" s="496"/>
      <c r="K5" s="496"/>
      <c r="L5" s="383"/>
      <c r="M5" s="384"/>
      <c r="N5" s="384"/>
    </row>
    <row r="6" spans="1:23" ht="38.25" x14ac:dyDescent="0.25">
      <c r="A6" s="192" t="s">
        <v>632</v>
      </c>
      <c r="B6" s="193" t="s">
        <v>1143</v>
      </c>
      <c r="C6" s="471" t="s">
        <v>1190</v>
      </c>
      <c r="D6" s="472" t="s">
        <v>270</v>
      </c>
      <c r="E6" s="473" t="s">
        <v>1189</v>
      </c>
      <c r="F6" s="385"/>
      <c r="G6" s="385"/>
      <c r="H6" s="401" t="s">
        <v>254</v>
      </c>
      <c r="I6" s="193" t="s">
        <v>1143</v>
      </c>
      <c r="J6" s="472" t="s">
        <v>1146</v>
      </c>
      <c r="K6" s="576" t="s">
        <v>270</v>
      </c>
      <c r="L6" s="385"/>
      <c r="M6" s="385"/>
      <c r="N6" s="385"/>
    </row>
    <row r="7" spans="1:23" ht="14.25" customHeight="1" x14ac:dyDescent="0.25">
      <c r="A7" s="195" t="s">
        <v>765</v>
      </c>
      <c r="B7" s="196">
        <f>'Stats AT BDD'!F2+'Stats AT BDD'!F3</f>
        <v>0</v>
      </c>
      <c r="C7" s="196">
        <f>'Stats AT BDD'!F2</f>
        <v>0</v>
      </c>
      <c r="D7" s="196">
        <f>'Stats AT BDD'!F3</f>
        <v>0</v>
      </c>
      <c r="E7" s="388">
        <f>'Stats AT BDD'!F4</f>
        <v>0</v>
      </c>
      <c r="F7" s="386"/>
      <c r="G7" s="386"/>
      <c r="H7" s="402" t="s">
        <v>657</v>
      </c>
      <c r="I7" s="196">
        <f>SUM(COUNTIFS('Suivi des DPx'!$A$11:$A$105,{"TRACTION";"TER EST";"SIEGE";"TRAIN";"EMI"},'Suivi des DPx'!E$11:E$105,"OUI"))</f>
        <v>0</v>
      </c>
      <c r="J7" s="196">
        <f>SUM(COUNTIFS('Suivi des DPx'!$A$11:$A$105,"TRACTION",'Suivi des DPx'!$E$11:$E$105,"OUI"))</f>
        <v>0</v>
      </c>
      <c r="K7" s="388">
        <f>SUM(COUNTIFS('Suivi des DPx'!$A$11:$A$105,"SIEGE",'Suivi des DPx'!$E$11:$E$105,"OUI"))</f>
        <v>0</v>
      </c>
      <c r="L7" s="386"/>
      <c r="M7" s="386"/>
      <c r="N7" s="386"/>
    </row>
    <row r="8" spans="1:23" ht="14.25" customHeight="1" x14ac:dyDescent="0.25">
      <c r="A8" s="242" t="s">
        <v>665</v>
      </c>
      <c r="B8" s="199" t="e">
        <f>B7-B11-B12</f>
        <v>#VALUE!</v>
      </c>
      <c r="C8" s="199">
        <f>C7-C11-C12</f>
        <v>0</v>
      </c>
      <c r="D8" s="199" t="e">
        <f>D7-D11-D12</f>
        <v>#VALUE!</v>
      </c>
      <c r="E8" s="390" t="e">
        <f>E7-E11-E12</f>
        <v>#VALUE!</v>
      </c>
      <c r="F8" s="386"/>
      <c r="G8" s="386"/>
      <c r="H8" s="403" t="s">
        <v>612</v>
      </c>
      <c r="I8" s="240" t="e">
        <f>I7/$I$37</f>
        <v>#DIV/0!</v>
      </c>
      <c r="J8" s="240" t="e">
        <f>J7/$J$37</f>
        <v>#DIV/0!</v>
      </c>
      <c r="K8" s="389" t="e">
        <f>K7/$K$37</f>
        <v>#DIV/0!</v>
      </c>
      <c r="L8" s="387"/>
      <c r="M8" s="387"/>
      <c r="N8" s="387"/>
      <c r="O8" s="497" t="s">
        <v>653</v>
      </c>
      <c r="P8" s="497"/>
      <c r="Q8" s="497"/>
      <c r="S8" s="498" t="s">
        <v>640</v>
      </c>
      <c r="T8" s="498"/>
      <c r="U8" s="498"/>
      <c r="V8" s="498"/>
      <c r="W8" s="498"/>
    </row>
    <row r="9" spans="1:23" ht="42" customHeight="1" x14ac:dyDescent="0.25">
      <c r="A9" s="242" t="s">
        <v>758</v>
      </c>
      <c r="B9" s="199" t="e">
        <f>'Stats AT BDD'!U2+'Stats AT BDD'!U3</f>
        <v>#VALUE!</v>
      </c>
      <c r="C9" s="199" t="e">
        <f>'Stats AT BDD'!U2</f>
        <v>#VALUE!</v>
      </c>
      <c r="D9" s="199" t="e">
        <f>'Stats AT BDD'!U3</f>
        <v>#VALUE!</v>
      </c>
      <c r="E9" s="390" t="e">
        <f>'Stats AT BDD'!U4</f>
        <v>#VALUE!</v>
      </c>
      <c r="F9" s="386"/>
      <c r="G9" s="386"/>
      <c r="H9" s="404" t="s">
        <v>577</v>
      </c>
      <c r="I9" s="199">
        <f>SUM(COUNTIFS('Suivi des DPx'!$A$11:$A$105,{"TRACTION";"TER EST";"SIEGE";"TRAIN";"EMI"},'Suivi des DPx'!G$11:G$105,"OUI"))</f>
        <v>0</v>
      </c>
      <c r="J9" s="199">
        <f>SUM(COUNTIFS('Suivi des DPx'!$A$11:$A$105,"TRACTION",'Suivi des DPx'!$G$11:$G$105,"OUI"))</f>
        <v>0</v>
      </c>
      <c r="K9" s="390">
        <f>SUM(COUNTIFS('Suivi des DPx'!$A$11:$A$105,"SIEGE",'Suivi des DPx'!$G$11:$G$105,"OUI"))</f>
        <v>0</v>
      </c>
      <c r="L9" s="386"/>
      <c r="M9" s="386"/>
      <c r="N9" s="386"/>
      <c r="O9" s="392" t="s">
        <v>638</v>
      </c>
      <c r="P9" s="203" t="s">
        <v>637</v>
      </c>
      <c r="Q9" s="204" t="s">
        <v>612</v>
      </c>
      <c r="S9" s="202" t="s">
        <v>638</v>
      </c>
      <c r="T9" s="193" t="s">
        <v>1143</v>
      </c>
      <c r="U9" s="471" t="s">
        <v>1190</v>
      </c>
      <c r="V9" s="472" t="s">
        <v>270</v>
      </c>
      <c r="W9" s="476" t="s">
        <v>1189</v>
      </c>
    </row>
    <row r="10" spans="1:23" ht="30" customHeight="1" x14ac:dyDescent="0.25">
      <c r="A10" s="488" t="s">
        <v>1206</v>
      </c>
      <c r="B10" s="487" t="e">
        <f>B9-'Stats AT BDD'!Q2:Q3</f>
        <v>#VALUE!</v>
      </c>
      <c r="C10" s="487" t="e">
        <f>C9-'Stats AT BDD'!Q2</f>
        <v>#VALUE!</v>
      </c>
      <c r="D10" s="487" t="e">
        <f>D9-'Stats AT BDD'!Q3</f>
        <v>#VALUE!</v>
      </c>
      <c r="E10" s="487" t="e">
        <f>E9-'Stats AT BDD'!Q4</f>
        <v>#VALUE!</v>
      </c>
      <c r="F10" s="386"/>
      <c r="G10" s="386"/>
      <c r="H10" s="405" t="s">
        <v>612</v>
      </c>
      <c r="I10" s="241" t="e">
        <f>I9/$I$37</f>
        <v>#DIV/0!</v>
      </c>
      <c r="J10" s="241" t="e">
        <f>J9/$J$37</f>
        <v>#DIV/0!</v>
      </c>
      <c r="K10" s="391" t="e">
        <f>K9/$K$37</f>
        <v>#DIV/0!</v>
      </c>
      <c r="L10" s="387"/>
      <c r="M10" s="387"/>
      <c r="N10" s="387"/>
      <c r="O10" s="393" t="s">
        <v>272</v>
      </c>
      <c r="P10" s="196">
        <f>COUNTIF('Suivi du PAS 2020'!$P$5:$P$26,"TERMINEE")</f>
        <v>3</v>
      </c>
      <c r="Q10" s="238">
        <f>P10/SUM($P$10:$P$14)</f>
        <v>0.2</v>
      </c>
      <c r="S10" s="195" t="s">
        <v>641</v>
      </c>
      <c r="T10" s="196">
        <f>SUM(V10:W10)</f>
        <v>0</v>
      </c>
      <c r="U10" s="196"/>
      <c r="V10" s="197">
        <f>SUM(COUNTIFS('Programmation et suivi VP&amp;Icare'!$B$2:$B$87,"TRACTION",'Programmation et suivi VP&amp;Icare'!$F$2:$F$87,"&gt;1"))</f>
        <v>0</v>
      </c>
      <c r="W10" s="197">
        <f>SUM(COUNTIFS('Programmation et suivi VP&amp;Icare'!$B$2:$B$87,"SIEGE",'Programmation et suivi VP&amp;Icare'!$F$2:$F$87,"&gt;1"))</f>
        <v>0</v>
      </c>
    </row>
    <row r="11" spans="1:23" ht="14.25" customHeight="1" x14ac:dyDescent="0.25">
      <c r="A11" s="195" t="s">
        <v>635</v>
      </c>
      <c r="B11" s="196" t="e">
        <f>'Stats AT BDD'!P2+'Stats AT BDD'!P3+'Stats AT BDD'!P4</f>
        <v>#VALUE!</v>
      </c>
      <c r="C11" s="196"/>
      <c r="D11" s="196" t="e">
        <f>'Stats AT BDD'!P4</f>
        <v>#VALUE!</v>
      </c>
      <c r="E11" s="388" t="e">
        <f>'Stats AT BDD'!P3</f>
        <v>#VALUE!</v>
      </c>
      <c r="F11" s="386"/>
      <c r="G11" s="386"/>
      <c r="H11" s="402" t="s">
        <v>250</v>
      </c>
      <c r="I11" s="196">
        <f>SUM(COUNTIFS('Suivi des DPx'!$A$11:$A$105,{"TRACTION";"TER EST";"SIEGE";"TRAIN";"EMI"},'Suivi des DPx'!I$11:I$105,"OUI"))</f>
        <v>0</v>
      </c>
      <c r="J11" s="196">
        <f>SUM(COUNTIFS('Suivi des DPx'!$A$11:$A$105,"TRACTION",'Suivi des DPx'!$I$11:$I$105,"OUI"))</f>
        <v>0</v>
      </c>
      <c r="K11" s="388">
        <f>SUM(COUNTIFS('Suivi des DPx'!$A$11:$A$105,"SIEGE",'Suivi des DPx'!$I$11:$I$105,"OUI"))</f>
        <v>0</v>
      </c>
      <c r="L11" s="386"/>
      <c r="M11" s="386"/>
      <c r="N11" s="386"/>
      <c r="O11" s="394" t="s">
        <v>830</v>
      </c>
      <c r="P11" s="378">
        <f>COUNTIF('Suivi du PAS 2020'!$P$5:$P$26,"80%")</f>
        <v>4</v>
      </c>
      <c r="Q11" s="239">
        <f>P11/SUM($P$10:$P$14)</f>
        <v>0.26666666666666666</v>
      </c>
      <c r="S11" s="198" t="s">
        <v>642</v>
      </c>
      <c r="T11" s="199">
        <f>COUNTA('Programmation et suivi VP&amp;Icare'!G2:G102)</f>
        <v>0</v>
      </c>
      <c r="U11" s="199"/>
      <c r="V11" s="200">
        <f>SUM(COUNTIFS('Programmation et suivi VP&amp;Icare'!$B$2:$B$87,"TRACTION",'Programmation et suivi VP&amp;Icare'!$G$2:$G$87,"&gt;1"))</f>
        <v>0</v>
      </c>
      <c r="W11" s="200">
        <f>SUM(COUNTIFS('Programmation et suivi VP&amp;Icare'!$B$2:$B$87,"SIEGE",'Programmation et suivi VP&amp;Icare'!$G$2:$G$87,"&gt;1"))</f>
        <v>0</v>
      </c>
    </row>
    <row r="12" spans="1:23" ht="14.25" customHeight="1" x14ac:dyDescent="0.25">
      <c r="A12" s="242" t="s">
        <v>764</v>
      </c>
      <c r="B12" s="199" t="e">
        <f>'Stats AT BDD'!O2+'Stats AT BDD'!O3+'Stats AT BDD'!O4</f>
        <v>#VALUE!</v>
      </c>
      <c r="C12" s="199"/>
      <c r="D12" s="199" t="e">
        <f>'Stats AT BDD'!O4</f>
        <v>#VALUE!</v>
      </c>
      <c r="E12" s="390" t="e">
        <f>'Stats AT BDD'!O3</f>
        <v>#VALUE!</v>
      </c>
      <c r="F12" s="386"/>
      <c r="G12" s="386"/>
      <c r="H12" s="403" t="s">
        <v>612</v>
      </c>
      <c r="I12" s="240" t="e">
        <f>I11/$I$37</f>
        <v>#DIV/0!</v>
      </c>
      <c r="J12" s="240" t="e">
        <f>J11/$J$37</f>
        <v>#DIV/0!</v>
      </c>
      <c r="K12" s="389" t="e">
        <f>K11/$K$37</f>
        <v>#DIV/0!</v>
      </c>
      <c r="L12" s="387"/>
      <c r="M12" s="387"/>
      <c r="N12" s="387"/>
      <c r="O12" s="394" t="s">
        <v>829</v>
      </c>
      <c r="P12" s="378">
        <f>COUNTIF('Suivi du PAS 2020'!$P$5:$P$26,"50%")</f>
        <v>1</v>
      </c>
      <c r="Q12" s="239">
        <f t="shared" ref="Q12:Q13" si="0">P12/SUM($P$10:$P$14)</f>
        <v>6.6666666666666666E-2</v>
      </c>
      <c r="S12" s="195" t="s">
        <v>612</v>
      </c>
      <c r="T12" s="240" t="e">
        <f>T11/T10</f>
        <v>#DIV/0!</v>
      </c>
      <c r="U12" s="240"/>
      <c r="V12" s="240" t="e">
        <f t="shared" ref="V12:W12" si="1">V11/V10</f>
        <v>#DIV/0!</v>
      </c>
      <c r="W12" s="240" t="e">
        <f t="shared" si="1"/>
        <v>#DIV/0!</v>
      </c>
    </row>
    <row r="13" spans="1:23" ht="14.25" customHeight="1" x14ac:dyDescent="0.25">
      <c r="F13" s="383"/>
      <c r="G13" s="383"/>
      <c r="H13" s="404" t="s">
        <v>271</v>
      </c>
      <c r="I13" s="199">
        <f>SUM(COUNTIFS('Suivi des DPx'!$A$11:$A$105,{"TRACTION";"TER EST";"SIEGE";"TRAIN";"EMI"},'Suivi des DPx'!K$11:K$105,"OUI"))</f>
        <v>0</v>
      </c>
      <c r="J13" s="199">
        <f>SUM(COUNTIFS('Suivi des DPx'!$A$11:$A$105,"TRACTION",'Suivi des DPx'!$K$11:$K$105,"OUI"))</f>
        <v>0</v>
      </c>
      <c r="K13" s="390">
        <f>SUM(COUNTIFS('Suivi des DPx'!$A$11:$A$105,"SIEGE",'Suivi des DPx'!$K$11:$K$105,"OUI"))</f>
        <v>0</v>
      </c>
      <c r="L13" s="386"/>
      <c r="M13" s="386"/>
      <c r="N13" s="386"/>
      <c r="O13" s="394" t="s">
        <v>828</v>
      </c>
      <c r="P13" s="378">
        <f>COUNTIF('Suivi du PAS 2020'!$P$5:$P$26,"20%")</f>
        <v>4</v>
      </c>
      <c r="Q13" s="239">
        <f t="shared" si="0"/>
        <v>0.26666666666666666</v>
      </c>
    </row>
    <row r="14" spans="1:23" ht="14.25" customHeight="1" x14ac:dyDescent="0.25">
      <c r="A14" s="195" t="s">
        <v>629</v>
      </c>
      <c r="B14" s="196" t="e">
        <f>'Stats AT BDD'!#REF!+'Stats AT BDD'!#REF!+'Stats AT BDD'!#REF!</f>
        <v>#REF!</v>
      </c>
      <c r="C14" s="196"/>
      <c r="D14" s="196" t="e">
        <f>'Stats AT BDD'!#REF!</f>
        <v>#REF!</v>
      </c>
      <c r="E14" s="196" t="e">
        <f>'Stats AT BDD'!#REF!</f>
        <v>#REF!</v>
      </c>
      <c r="F14" s="386"/>
      <c r="G14" s="386"/>
      <c r="H14" s="405" t="s">
        <v>612</v>
      </c>
      <c r="I14" s="241" t="e">
        <f>I13/$I$37</f>
        <v>#DIV/0!</v>
      </c>
      <c r="J14" s="241" t="e">
        <f>J13/$J$37</f>
        <v>#DIV/0!</v>
      </c>
      <c r="K14" s="391" t="e">
        <f>K13/$K$37</f>
        <v>#DIV/0!</v>
      </c>
      <c r="L14" s="387"/>
      <c r="M14" s="387"/>
      <c r="N14" s="387"/>
      <c r="O14" s="393" t="s">
        <v>274</v>
      </c>
      <c r="P14" s="196">
        <f>COUNTIF('Suivi du PAS 2020'!$P$5:$P$26,"NON COMMENCEE")</f>
        <v>3</v>
      </c>
      <c r="Q14" s="238">
        <f>P14/SUM($P$10:$P$14)</f>
        <v>0.2</v>
      </c>
    </row>
    <row r="15" spans="1:23" ht="27.75" customHeight="1" x14ac:dyDescent="0.25">
      <c r="A15" s="491" t="s">
        <v>1207</v>
      </c>
      <c r="B15" s="490"/>
      <c r="C15" s="490"/>
      <c r="D15" s="490"/>
      <c r="E15" s="490"/>
      <c r="F15" s="386"/>
      <c r="G15" s="386"/>
      <c r="H15" s="402" t="s">
        <v>267</v>
      </c>
      <c r="I15" s="196">
        <f>SUM(COUNTIFS('Suivi des DPx'!$A$11:$A$105,{"TRACTION";"TER  EST";"SIEGE";"TRAIN";"EMI"},'Suivi des DPx'!M$11:M$105,"OUI"))</f>
        <v>0</v>
      </c>
      <c r="J15" s="196">
        <f>SUM(COUNTIFS('Suivi des DPx'!$A$11:$A$105,"TRACTION",'Suivi des DPx'!$M$11:$M$105,"OUI"))</f>
        <v>0</v>
      </c>
      <c r="K15" s="388">
        <f>SUM(COUNTIFS('Suivi des DPx'!$A$11:$A$105,"SIEGE",'Suivi des DPx'!$M$11:$M$105,"OUI"))</f>
        <v>0</v>
      </c>
      <c r="L15" s="386"/>
      <c r="M15" s="386"/>
      <c r="N15" s="386"/>
      <c r="S15" s="497" t="s">
        <v>643</v>
      </c>
      <c r="T15" s="497"/>
      <c r="U15" s="469"/>
    </row>
    <row r="16" spans="1:23" ht="40.5" customHeight="1" x14ac:dyDescent="0.25">
      <c r="A16" s="242" t="s">
        <v>630</v>
      </c>
      <c r="B16" s="199">
        <f ca="1">MIN('Stats AT BDD'!D2,'Stats AT BDD'!D3,'Stats AT BDD'!D4)</f>
        <v>42</v>
      </c>
      <c r="C16" s="199"/>
      <c r="D16" s="199">
        <f ca="1">'Stats AT BDD'!D4</f>
        <v>42</v>
      </c>
      <c r="E16" s="390">
        <f ca="1">'Stats AT BDD'!D3</f>
        <v>42</v>
      </c>
      <c r="F16" s="406"/>
      <c r="G16" s="406"/>
      <c r="H16" s="403" t="s">
        <v>612</v>
      </c>
      <c r="I16" s="240" t="e">
        <f>I15/$I$37</f>
        <v>#DIV/0!</v>
      </c>
      <c r="J16" s="240" t="e">
        <f>J15/$J$37</f>
        <v>#DIV/0!</v>
      </c>
      <c r="K16" s="389" t="e">
        <f>K15/$K$37</f>
        <v>#DIV/0!</v>
      </c>
      <c r="L16" s="387"/>
      <c r="M16" s="387"/>
      <c r="N16" s="387"/>
      <c r="S16" s="202" t="s">
        <v>599</v>
      </c>
      <c r="T16" s="193" t="s">
        <v>1143</v>
      </c>
      <c r="U16" s="471" t="s">
        <v>1190</v>
      </c>
      <c r="V16" s="472" t="s">
        <v>270</v>
      </c>
      <c r="W16" s="476" t="s">
        <v>1189</v>
      </c>
    </row>
    <row r="17" spans="1:23" ht="14.25" customHeight="1" x14ac:dyDescent="0.25">
      <c r="A17" s="195" t="s">
        <v>694</v>
      </c>
      <c r="B17" s="237" t="e">
        <f ca="1">'Stats AT BDD'!L52</f>
        <v>#VALUE!</v>
      </c>
      <c r="C17" s="237"/>
      <c r="D17" s="237" t="e">
        <f>'Stats AT BDD'!L2</f>
        <v>#VALUE!</v>
      </c>
      <c r="E17" s="397" t="e">
        <f>'Stats AT BDD'!#REF!</f>
        <v>#REF!</v>
      </c>
      <c r="F17" s="406"/>
      <c r="G17" s="406"/>
      <c r="H17" s="404" t="s">
        <v>246</v>
      </c>
      <c r="I17" s="199">
        <f>SUM(COUNTIFS('Suivi des DPx'!$A$11:$A$105,{"TRACTION";"TER EST";"SIEGE";"TRAIN";"EMI"},'Suivi des DPx'!O$11:O$105,"OUI"))</f>
        <v>0</v>
      </c>
      <c r="J17" s="199">
        <f>SUM(COUNTIFS('Suivi des DPx'!$A$11:$A$105,"TRACTION",'Suivi des DPx'!$O$11:$O$105,"OUI"))</f>
        <v>0</v>
      </c>
      <c r="K17" s="390">
        <f>SUM(COUNTIFS('Suivi des DPx'!$A$11:$A$105,"SIEGE",'Suivi des DPx'!$O$11:$O$105,"OUI"))</f>
        <v>0</v>
      </c>
      <c r="L17" s="386"/>
      <c r="M17" s="386"/>
      <c r="N17" s="386"/>
      <c r="S17" s="195" t="s">
        <v>644</v>
      </c>
      <c r="T17" s="196" t="e">
        <f>SUM(COUNTIFS('Programmation et suivi VP&amp;Icare'!#REF!,"Filière 27",'Programmation et suivi VP&amp;Icare'!$H$2:$H$102,"&gt;1"))</f>
        <v>#REF!</v>
      </c>
      <c r="U17" s="196"/>
      <c r="V17" s="197" t="e">
        <f>SUM(COUNTIFS('Programmation et suivi VP&amp;Icare'!#REF!,"Filière 27",'Programmation et suivi VP&amp;Icare'!$H$2:$H$87,"&gt;1",'Programmation et suivi VP&amp;Icare'!$B$2:$B$87,"TRACTION"))</f>
        <v>#REF!</v>
      </c>
      <c r="W17" s="197" t="e">
        <f>SUM(COUNTIFS('Programmation et suivi VP&amp;Icare'!#REF!,"Filière 27",'Programmation et suivi VP&amp;Icare'!$H$2:$H$87,"&gt;1",'Programmation et suivi VP&amp;Icare'!$B$2:$B$87,"SIEGE"))</f>
        <v>#REF!</v>
      </c>
    </row>
    <row r="18" spans="1:23" ht="14.25" customHeight="1" x14ac:dyDescent="0.25">
      <c r="A18" s="242" t="s">
        <v>695</v>
      </c>
      <c r="B18" s="236" t="e">
        <f ca="1">'Stats AT BDD'!I52</f>
        <v>#REF!</v>
      </c>
      <c r="C18" s="236"/>
      <c r="D18" s="236" t="e">
        <f>'Stats AT BDD'!I2</f>
        <v>#VALUE!</v>
      </c>
      <c r="E18" s="398" t="e">
        <f>'Stats AT BDD'!#REF!</f>
        <v>#REF!</v>
      </c>
      <c r="F18" s="386"/>
      <c r="G18" s="386"/>
      <c r="H18" s="405" t="s">
        <v>612</v>
      </c>
      <c r="I18" s="241" t="e">
        <f>I17/$I$37</f>
        <v>#DIV/0!</v>
      </c>
      <c r="J18" s="241" t="e">
        <f>J17/$J$37</f>
        <v>#DIV/0!</v>
      </c>
      <c r="K18" s="391" t="e">
        <f>K17/$K$37</f>
        <v>#DIV/0!</v>
      </c>
      <c r="L18" s="387"/>
      <c r="M18" s="387"/>
      <c r="N18" s="387"/>
      <c r="O18" s="497" t="s">
        <v>648</v>
      </c>
      <c r="P18" s="497"/>
      <c r="Q18" s="497"/>
      <c r="S18" s="198" t="s">
        <v>645</v>
      </c>
      <c r="T18" s="199" t="e">
        <f>SUM(COUNTIFS('Programmation et suivi VP&amp;Icare'!#REF!,"Filière 27",'Programmation et suivi VP&amp;Icare'!$I$2:$I$102,"&gt;1"))</f>
        <v>#REF!</v>
      </c>
      <c r="U18" s="199"/>
      <c r="V18" s="200" t="e">
        <f>SUM(COUNTIFS('Programmation et suivi VP&amp;Icare'!#REF!,"Filière 27",'Programmation et suivi VP&amp;Icare'!$I$2:$I$87,"&gt;1",'Programmation et suivi VP&amp;Icare'!$B$2:$B$87,"TRACTION"))</f>
        <v>#REF!</v>
      </c>
      <c r="W18" s="200" t="e">
        <f>SUM(COUNTIFS('Programmation et suivi VP&amp;Icare'!#REF!,"Filière 27",'Programmation et suivi VP&amp;Icare'!$I$2:$I$87,"&gt;1",'Programmation et suivi VP&amp;Icare'!$B$2:$B$87,"SIEGE"))</f>
        <v>#REF!</v>
      </c>
    </row>
    <row r="19" spans="1:23" ht="14.25" customHeight="1" x14ac:dyDescent="0.25">
      <c r="A19" s="195" t="s">
        <v>700</v>
      </c>
      <c r="B19" s="196" t="e">
        <f>'Stats AT BDD'!R2+'Stats AT BDD'!R3+'Stats AT BDD'!#REF!+'Stats AT BDD'!R4</f>
        <v>#VALUE!</v>
      </c>
      <c r="C19" s="196"/>
      <c r="D19" s="196" t="e">
        <f>'Stats AT BDD'!R2</f>
        <v>#VALUE!</v>
      </c>
      <c r="E19" s="388" t="e">
        <f>'Stats AT BDD'!#REF!</f>
        <v>#REF!</v>
      </c>
      <c r="F19" s="386"/>
      <c r="G19" s="386"/>
      <c r="H19" s="402" t="s">
        <v>245</v>
      </c>
      <c r="I19" s="196">
        <f>SUM(COUNTIFS('Suivi des DPx'!$A$11:$A$105,{"TRACTION";"TER EST";"SIEGE";"TRAIN";"EMI"},'Suivi des DPx'!Q$11:Q$105,"OUI"))</f>
        <v>0</v>
      </c>
      <c r="J19" s="196">
        <f>SUM(COUNTIFS('Suivi des DPx'!$A$11:$A$105,"TRACTION",'Suivi des DPx'!$Q$11:$Q$105,"OUI"))</f>
        <v>0</v>
      </c>
      <c r="K19" s="388">
        <f>SUM(COUNTIFS('Suivi des DPx'!$A$11:$A$105,"SIEGE",'Suivi des DPx'!$Q$11:$Q$105,"OUI"))</f>
        <v>0</v>
      </c>
      <c r="L19" s="386"/>
      <c r="M19" s="386"/>
      <c r="N19" s="384"/>
      <c r="O19" s="392" t="s">
        <v>649</v>
      </c>
      <c r="P19" s="203" t="s">
        <v>637</v>
      </c>
      <c r="Q19" s="204" t="s">
        <v>612</v>
      </c>
      <c r="S19" s="195" t="s">
        <v>612</v>
      </c>
      <c r="T19" s="240" t="e">
        <f>T18/T17</f>
        <v>#REF!</v>
      </c>
      <c r="U19" s="240"/>
      <c r="V19" s="240" t="e">
        <f t="shared" ref="V19:W19" si="2">V18/V17</f>
        <v>#REF!</v>
      </c>
      <c r="W19" s="240" t="e">
        <f t="shared" si="2"/>
        <v>#REF!</v>
      </c>
    </row>
    <row r="20" spans="1:23" ht="14.25" customHeight="1" x14ac:dyDescent="0.25">
      <c r="A20" s="195" t="s">
        <v>1193</v>
      </c>
      <c r="B20" s="196" t="e">
        <f>'Stats AT BDD'!S2+'Stats AT BDD'!S3+'Stats AT BDD'!#REF!+'Stats AT BDD'!S4</f>
        <v>#VALUE!</v>
      </c>
      <c r="C20" s="196"/>
      <c r="D20" s="196" t="e">
        <f>'Stats AT BDD'!S2</f>
        <v>#VALUE!</v>
      </c>
      <c r="E20" s="388" t="e">
        <f>'Stats AT BDD'!#REF!</f>
        <v>#REF!</v>
      </c>
      <c r="F20" s="386"/>
      <c r="G20" s="386"/>
      <c r="H20" s="403" t="s">
        <v>612</v>
      </c>
      <c r="I20" s="240" t="e">
        <f>I19/$I$37</f>
        <v>#DIV/0!</v>
      </c>
      <c r="J20" s="240" t="e">
        <f>J19/$J$37</f>
        <v>#DIV/0!</v>
      </c>
      <c r="K20" s="389" t="e">
        <f>K19/$K$37</f>
        <v>#DIV/0!</v>
      </c>
      <c r="L20" s="387"/>
      <c r="M20" s="387"/>
      <c r="N20" s="387"/>
      <c r="O20" s="393" t="s">
        <v>272</v>
      </c>
      <c r="P20" s="196">
        <f>COUNTIF('Suivi du PAS 2020'!$P$9:$P$15,"TERMINEE")</f>
        <v>1</v>
      </c>
      <c r="Q20" s="238">
        <f>P20/SUM($P$20:$P$22)</f>
        <v>0.14285714285714285</v>
      </c>
      <c r="S20" s="198" t="s">
        <v>661</v>
      </c>
      <c r="T20" s="199" t="e">
        <f>SUM(COUNTIFS('Programmation et suivi VP&amp;Icare'!#REF!,"Filière 26",'Programmation et suivi VP&amp;Icare'!$I$2:$I$102,"&gt;1"))</f>
        <v>#REF!</v>
      </c>
      <c r="U20" s="199"/>
      <c r="V20" s="200" t="e">
        <f>SUM(COUNTIFS('Programmation et suivi VP&amp;Icare'!#REF!,"Filière 26",'Programmation et suivi VP&amp;Icare'!$I$2:$I$87,"&gt;1",'Programmation et suivi VP&amp;Icare'!$B$2:$B$87,"TER MIXTE"))</f>
        <v>#REF!</v>
      </c>
      <c r="W20" s="200" t="e">
        <f>SUM(COUNTIFS('Programmation et suivi VP&amp;Icare'!#REF!,"Filière 26",'Programmation et suivi VP&amp;Icare'!$I$2:$I$87,"&gt;1",'Programmation et suivi VP&amp;Icare'!$B$2:$B$87,"SIEGE"))</f>
        <v>#REF!</v>
      </c>
    </row>
    <row r="21" spans="1:23" ht="42.75" customHeight="1" x14ac:dyDescent="0.25">
      <c r="A21" s="195" t="s">
        <v>753</v>
      </c>
      <c r="B21" s="196">
        <f>COUNTIF('Liste AT'!$AD$7:$AD$165,"=oui")</f>
        <v>0</v>
      </c>
      <c r="C21" s="196"/>
      <c r="D21" s="196" t="e">
        <f>COUNTIFS('Liste AT'!#REF!,$D$23,'Liste AT'!$AD$7:$AD$165,"=oui")</f>
        <v>#REF!</v>
      </c>
      <c r="E21" s="388" t="e">
        <f>COUNTIFS('Liste AT'!#REF!,$E$23,'Liste AT'!$AD$7:$AD$165,"=oui")</f>
        <v>#REF!</v>
      </c>
      <c r="F21" s="383"/>
      <c r="G21" s="383"/>
      <c r="H21" s="404" t="s">
        <v>554</v>
      </c>
      <c r="I21" s="199">
        <f>SUM(COUNTIFS('Suivi des DPx'!$A$11:$A$105,{"TRACTION";"TER EST";"SIEGE";"TRAIN";"EMI"},'Suivi des DPx'!U$11:U$105,"OUI"))</f>
        <v>0</v>
      </c>
      <c r="J21" s="199">
        <f>SUM(COUNTIFS('Suivi des DPx'!$A$11:$A$105,"TRACTION",'Suivi des DPx'!$U$11:$U$105,"OUI"))</f>
        <v>0</v>
      </c>
      <c r="K21" s="390">
        <f>SUM(COUNTIFS('Suivi des DPx'!$A$11:$A$105,"SIEGE",'Suivi des DPx'!$U$11:$U$105,"OUI"))</f>
        <v>0</v>
      </c>
      <c r="L21" s="386"/>
      <c r="M21" s="386"/>
      <c r="N21" s="386"/>
      <c r="O21" s="394" t="s">
        <v>273</v>
      </c>
      <c r="P21" s="199">
        <f>SUM(COUNTIF('Suivi du PAS 2020'!$P$9:$P$15,"20%"),COUNTIF('Suivi du PAS 2020'!$P$9:$P$15,"50%"),COUNTIF('Suivi du PAS 2020'!$P$9:$P$15,"80%"))</f>
        <v>5</v>
      </c>
      <c r="Q21" s="239">
        <f>P21/SUM($P$20:$P$22)</f>
        <v>0.7142857142857143</v>
      </c>
      <c r="S21" s="202" t="s">
        <v>646</v>
      </c>
      <c r="T21" s="193" t="s">
        <v>1143</v>
      </c>
      <c r="U21" s="471" t="s">
        <v>1190</v>
      </c>
      <c r="V21" s="472" t="s">
        <v>270</v>
      </c>
      <c r="W21" s="476" t="s">
        <v>1189</v>
      </c>
    </row>
    <row r="22" spans="1:23" ht="25.5" customHeight="1" x14ac:dyDescent="0.25">
      <c r="F22" s="385"/>
      <c r="G22" s="385"/>
      <c r="H22" s="405" t="s">
        <v>612</v>
      </c>
      <c r="I22" s="241" t="e">
        <f>I21/$I$37</f>
        <v>#DIV/0!</v>
      </c>
      <c r="J22" s="241" t="e">
        <f>J21/$J$37</f>
        <v>#DIV/0!</v>
      </c>
      <c r="K22" s="391" t="e">
        <f>K21/$K$37</f>
        <v>#DIV/0!</v>
      </c>
      <c r="L22" s="387"/>
      <c r="M22" s="387"/>
      <c r="N22" s="387"/>
      <c r="O22" s="393" t="s">
        <v>274</v>
      </c>
      <c r="P22" s="196">
        <f>COUNTIF('Suivi du PAS 2020'!$P$9:$P$15,"NON COMMENCEE")</f>
        <v>1</v>
      </c>
      <c r="Q22" s="238">
        <f>P22/SUM($P$20:$P$22)</f>
        <v>0.14285714285714285</v>
      </c>
      <c r="S22" s="195" t="s">
        <v>644</v>
      </c>
      <c r="T22" s="196" t="e">
        <f>SUM(COUNTIFS('Programmation et suivi VP&amp;Icare'!#REF!,"Filière 27",'Programmation et suivi VP&amp;Icare'!$H$2:$H$102,"&gt;1"))</f>
        <v>#REF!</v>
      </c>
      <c r="U22" s="196"/>
      <c r="V22" s="197" t="e">
        <f>SUM(COUNTIFS('Programmation et suivi VP&amp;Icare'!#REF!,"Filière 27",'Programmation et suivi VP&amp;Icare'!$H$2:$H$87,"&gt;1",'Programmation et suivi VP&amp;Icare'!$B$2:$B$87,"TRACTION"))</f>
        <v>#REF!</v>
      </c>
      <c r="W22" s="197" t="e">
        <f>SUM(COUNTIFS('Programmation et suivi VP&amp;Icare'!#REF!,"Filière 27",'Programmation et suivi VP&amp;Icare'!$H$2:$H$87,"&gt;1",'Programmation et suivi VP&amp;Icare'!$B$2:$B$87,"SIEGE"))</f>
        <v>#REF!</v>
      </c>
    </row>
    <row r="23" spans="1:23" ht="39" customHeight="1" x14ac:dyDescent="0.25">
      <c r="A23" s="192" t="s">
        <v>631</v>
      </c>
      <c r="B23" s="471" t="s">
        <v>1145</v>
      </c>
      <c r="C23" s="471" t="s">
        <v>1190</v>
      </c>
      <c r="D23" s="474" t="s">
        <v>270</v>
      </c>
      <c r="E23" s="475" t="s">
        <v>1189</v>
      </c>
      <c r="F23" s="396"/>
      <c r="G23" s="396"/>
      <c r="H23" s="402" t="s">
        <v>555</v>
      </c>
      <c r="I23" s="196">
        <f>SUM(COUNTIFS('Suivi des DPx'!$A$11:$A$105,{"TRACTION";"TER EST";"SIEGE";"TRAIN";"EMI"},'Suivi des DPx'!W$11:W$105,"OUI"))</f>
        <v>0</v>
      </c>
      <c r="J23" s="196">
        <f>SUM(COUNTIFS('Suivi des DPx'!$A$11:$A$105,"TRACTION",'Suivi des DPx'!$W$11:$W$105,"OUI"))</f>
        <v>0</v>
      </c>
      <c r="K23" s="388">
        <f>SUM(COUNTIFS('Suivi des DPx'!$A$11:$A$105,"SIEGE",'Suivi des DPx'!$W$11:$W$105,"OUI"))</f>
        <v>0</v>
      </c>
      <c r="L23" s="386"/>
      <c r="M23" s="386"/>
      <c r="N23" s="386"/>
      <c r="O23" s="392" t="s">
        <v>650</v>
      </c>
      <c r="P23" s="203" t="s">
        <v>637</v>
      </c>
      <c r="Q23" s="204" t="s">
        <v>612</v>
      </c>
      <c r="S23" s="198" t="s">
        <v>645</v>
      </c>
      <c r="T23" s="199" t="e">
        <f>SUM(COUNTIFS('Programmation et suivi VP&amp;Icare'!#REF!,"Filière 27",'Programmation et suivi VP&amp;Icare'!$J$2:$J$102,"&gt;1"))</f>
        <v>#REF!</v>
      </c>
      <c r="U23" s="199"/>
      <c r="V23" s="200" t="e">
        <f>SUM(COUNTIFS('Programmation et suivi VP&amp;Icare'!#REF!,"Filière 27",'Programmation et suivi VP&amp;Icare'!$J$2:$J$87,"&gt;1",'Programmation et suivi VP&amp;Icare'!$B$2:$B$87,"TRACTION"))</f>
        <v>#REF!</v>
      </c>
      <c r="W23" s="200" t="e">
        <f>SUM(COUNTIFS('Programmation et suivi VP&amp;Icare'!#REF!,"Filière 27",'Programmation et suivi VP&amp;Icare'!$J$2:$J$87,"&gt;1",'Programmation et suivi VP&amp;Icare'!$B$2:$B$87,"SIEGE"))</f>
        <v>#REF!</v>
      </c>
    </row>
    <row r="24" spans="1:23" ht="14.25" customHeight="1" x14ac:dyDescent="0.25">
      <c r="A24" s="263" t="s">
        <v>42</v>
      </c>
      <c r="B24" s="266">
        <f>COUNTIF('Liste AT'!$Q$7:$Q$165,A24)</f>
        <v>0</v>
      </c>
      <c r="C24" s="266"/>
      <c r="D24" s="266" t="e">
        <f>COUNTIFS('Liste AT'!#REF!,$D$23,'Liste AT'!$Q$7:$Q$165,$A24)</f>
        <v>#REF!</v>
      </c>
      <c r="E24" s="395" t="e">
        <f>COUNTIFS('Liste AT'!#REF!,$E$23,'Liste AT'!$Q$7:$Q$165,$A24)</f>
        <v>#REF!</v>
      </c>
      <c r="F24" s="396"/>
      <c r="G24" s="396"/>
      <c r="H24" s="403" t="s">
        <v>612</v>
      </c>
      <c r="I24" s="240" t="e">
        <f>I23/$I$37</f>
        <v>#DIV/0!</v>
      </c>
      <c r="J24" s="240" t="e">
        <f>J23/$J$37</f>
        <v>#DIV/0!</v>
      </c>
      <c r="K24" s="389" t="e">
        <f>K23/$K$37</f>
        <v>#DIV/0!</v>
      </c>
      <c r="L24" s="387"/>
      <c r="M24" s="387"/>
      <c r="N24" s="387"/>
      <c r="O24" s="393" t="s">
        <v>272</v>
      </c>
      <c r="P24" s="196">
        <f>COUNTIF('Suivi du PAS 2020'!$P$18:$P$20,"TERMINEE")</f>
        <v>1</v>
      </c>
      <c r="Q24" s="238">
        <f>P24/SUM($P$24:$P$26)</f>
        <v>0.33333333333333331</v>
      </c>
      <c r="S24" s="195" t="s">
        <v>612</v>
      </c>
      <c r="T24" s="240" t="e">
        <f>T23/T22</f>
        <v>#REF!</v>
      </c>
      <c r="U24" s="240"/>
      <c r="V24" s="240" t="e">
        <f t="shared" ref="V24:W24" si="3">V23/V22</f>
        <v>#REF!</v>
      </c>
      <c r="W24" s="240" t="e">
        <f t="shared" si="3"/>
        <v>#REF!</v>
      </c>
    </row>
    <row r="25" spans="1:23" ht="31.5" customHeight="1" x14ac:dyDescent="0.25">
      <c r="A25" s="264" t="s">
        <v>51</v>
      </c>
      <c r="B25" s="266">
        <f>COUNTIF('Liste AT'!$Q$7:$Q$165,A25)</f>
        <v>0</v>
      </c>
      <c r="C25" s="266"/>
      <c r="D25" s="266" t="e">
        <f>COUNTIFS('Liste AT'!#REF!,$D$23,'Liste AT'!$Q$7:$Q$165,$A25)</f>
        <v>#REF!</v>
      </c>
      <c r="E25" s="395" t="e">
        <f>COUNTIFS('Liste AT'!#REF!,$E$23,'Liste AT'!$Q$7:$Q$165,$A25)</f>
        <v>#REF!</v>
      </c>
      <c r="F25" s="396"/>
      <c r="G25" s="396"/>
      <c r="H25" s="404" t="s">
        <v>576</v>
      </c>
      <c r="I25" s="199">
        <f>SUM(COUNTIFS('Suivi des DPx'!$A$11:$A$105,{"TRACTION";"TER EST";"SIEGE";"TRAIN";"EMI"},'Suivi des DPx'!Y$11:Y$105,"OUI"))</f>
        <v>0</v>
      </c>
      <c r="J25" s="199">
        <f>SUM(COUNTIFS('Suivi des DPx'!$A$11:$A$105,"TRACTION",'Suivi des DPx'!$Y$11:$Y$105,"OUI"))</f>
        <v>0</v>
      </c>
      <c r="K25" s="390">
        <f>SUM(COUNTIFS('Suivi des DPx'!$A$11:$A$105,"SIEGE",'Suivi des DPx'!$Y$11:$Y$105,"OUI"))</f>
        <v>0</v>
      </c>
      <c r="L25" s="386"/>
      <c r="M25" s="386"/>
      <c r="N25" s="386"/>
      <c r="O25" s="394" t="s">
        <v>273</v>
      </c>
      <c r="P25" s="199">
        <f>SUM(COUNTIF('Suivi du PAS 2020'!$P$18:$P$20,"20%"),COUNTIF('Suivi du PAS 2020'!$P$18:$P$20,"50%"),COUNTIF('Suivi du PAS 2020'!$P$18:$P$20,"80%"))</f>
        <v>2</v>
      </c>
      <c r="Q25" s="239">
        <f>P25/SUM($P$24:$P$26)</f>
        <v>0.66666666666666663</v>
      </c>
      <c r="S25" s="202" t="s">
        <v>647</v>
      </c>
      <c r="T25" s="193" t="s">
        <v>1143</v>
      </c>
      <c r="U25" s="471" t="s">
        <v>1190</v>
      </c>
      <c r="V25" s="472" t="s">
        <v>270</v>
      </c>
      <c r="W25" s="476" t="s">
        <v>1189</v>
      </c>
    </row>
    <row r="26" spans="1:23" ht="14.25" customHeight="1" x14ac:dyDescent="0.25">
      <c r="A26" s="263" t="s">
        <v>61</v>
      </c>
      <c r="B26" s="266">
        <f>COUNTIF('Liste AT'!$Q$7:$Q$165,A26)</f>
        <v>0</v>
      </c>
      <c r="C26" s="266"/>
      <c r="D26" s="266" t="e">
        <f>COUNTIFS('Liste AT'!#REF!,$D$23,'Liste AT'!$Q$7:$Q$165,$A26)</f>
        <v>#REF!</v>
      </c>
      <c r="E26" s="395" t="e">
        <f>COUNTIFS('Liste AT'!#REF!,$E$23,'Liste AT'!$Q$7:$Q$165,$A26)</f>
        <v>#REF!</v>
      </c>
      <c r="F26" s="396"/>
      <c r="G26" s="396"/>
      <c r="H26" s="405" t="s">
        <v>612</v>
      </c>
      <c r="I26" s="241" t="e">
        <f>I25/$I$37</f>
        <v>#DIV/0!</v>
      </c>
      <c r="J26" s="241" t="e">
        <f>J25/$J$37</f>
        <v>#DIV/0!</v>
      </c>
      <c r="K26" s="391" t="e">
        <f>K25/$K$37</f>
        <v>#DIV/0!</v>
      </c>
      <c r="L26" s="387"/>
      <c r="M26" s="387"/>
      <c r="N26" s="387"/>
      <c r="O26" s="393" t="s">
        <v>274</v>
      </c>
      <c r="P26" s="196">
        <f>COUNTIF('Suivi du PAS 2020'!$P$18:$P$20,"NON COMMENCEE")</f>
        <v>0</v>
      </c>
      <c r="Q26" s="238">
        <f>P26/SUM($P$24:$P$26)</f>
        <v>0</v>
      </c>
      <c r="S26" s="195" t="s">
        <v>644</v>
      </c>
      <c r="T26" s="196" t="e">
        <f>SUM(COUNTIFS('Programmation et suivi VP&amp;Icare'!#REF!,"Filière 27",'Programmation et suivi VP&amp;Icare'!$L$2:$L$102,"&gt;1"))</f>
        <v>#REF!</v>
      </c>
      <c r="U26" s="196"/>
      <c r="V26" s="197" t="e">
        <f>SUM(COUNTIFS('Programmation et suivi VP&amp;Icare'!#REF!,"Filière 27",'Programmation et suivi VP&amp;Icare'!$L$2:$L$87,"&gt;1",'Programmation et suivi VP&amp;Icare'!$B$2:$B$87,"TRACTION"))</f>
        <v>#REF!</v>
      </c>
      <c r="W26" s="197" t="e">
        <f>SUM(COUNTIFS('Programmation et suivi VP&amp;Icare'!#REF!,"Filière 27",'Programmation et suivi VP&amp;Icare'!$L$2:$L$87,"&gt;1",'Programmation et suivi VP&amp;Icare'!$B$2:$B$87,"SIEGE"))</f>
        <v>#REF!</v>
      </c>
    </row>
    <row r="27" spans="1:23" ht="14.25" customHeight="1" x14ac:dyDescent="0.25">
      <c r="A27" s="264" t="s">
        <v>71</v>
      </c>
      <c r="B27" s="266">
        <f>COUNTIF('Liste AT'!$Q$7:$Q$165,A27)</f>
        <v>0</v>
      </c>
      <c r="C27" s="266"/>
      <c r="D27" s="266" t="e">
        <f>COUNTIFS('Liste AT'!#REF!,$D$23,'Liste AT'!$Q$7:$Q$165,$A27)</f>
        <v>#REF!</v>
      </c>
      <c r="E27" s="395" t="e">
        <f>COUNTIFS('Liste AT'!#REF!,$E$23,'Liste AT'!$Q$7:$Q$165,$A27)</f>
        <v>#REF!</v>
      </c>
      <c r="F27" s="396"/>
      <c r="G27" s="396"/>
      <c r="H27" s="492" t="s">
        <v>1147</v>
      </c>
      <c r="I27" s="493"/>
      <c r="J27" s="493"/>
      <c r="K27" s="493"/>
      <c r="O27" s="202" t="s">
        <v>651</v>
      </c>
      <c r="P27" s="203" t="s">
        <v>637</v>
      </c>
      <c r="Q27" s="204" t="s">
        <v>612</v>
      </c>
      <c r="S27" s="198" t="s">
        <v>645</v>
      </c>
      <c r="T27" s="199" t="e">
        <f>SUM(COUNTIFS('Programmation et suivi VP&amp;Icare'!#REF!,"Filière 27",'Programmation et suivi VP&amp;Icare'!$M$2:$M$102,"&gt;1"))</f>
        <v>#REF!</v>
      </c>
      <c r="U27" s="199"/>
      <c r="V27" s="200" t="e">
        <f>SUM(COUNTIFS('Programmation et suivi VP&amp;Icare'!#REF!,"Filière 27",'Programmation et suivi VP&amp;Icare'!$M$2:$M$87,"&gt;1",'Programmation et suivi VP&amp;Icare'!$B$2:$B$87,"TRACTION"))</f>
        <v>#REF!</v>
      </c>
      <c r="W27" s="200" t="e">
        <f>SUM(COUNTIFS('Programmation et suivi VP&amp;Icare'!#REF!,"Filière 27",'Programmation et suivi VP&amp;Icare'!$M$2:$M$87,"&gt;1",'Programmation et suivi VP&amp;Icare'!$B$2:$B$87,"SIEGE"))</f>
        <v>#REF!</v>
      </c>
    </row>
    <row r="28" spans="1:23" ht="14.25" customHeight="1" x14ac:dyDescent="0.25">
      <c r="A28" s="263" t="s">
        <v>64</v>
      </c>
      <c r="B28" s="266">
        <f>COUNTIF('Liste AT'!$Q$7:$Q$165,A28)</f>
        <v>0</v>
      </c>
      <c r="C28" s="266"/>
      <c r="D28" s="266" t="e">
        <f>COUNTIFS('Liste AT'!#REF!,$D$23,'Liste AT'!$Q$7:$Q$165,$A28)</f>
        <v>#REF!</v>
      </c>
      <c r="E28" s="395" t="e">
        <f>COUNTIFS('Liste AT'!#REF!,$E$23,'Liste AT'!$Q$7:$Q$165,$A28)</f>
        <v>#REF!</v>
      </c>
      <c r="F28" s="396"/>
      <c r="G28" s="396"/>
      <c r="H28" s="494" t="s">
        <v>612</v>
      </c>
      <c r="I28" s="487"/>
      <c r="J28" s="487"/>
      <c r="K28" s="487"/>
      <c r="O28" s="195" t="s">
        <v>272</v>
      </c>
      <c r="P28" s="196">
        <f>COUNTIF('Suivi du PAS 2020'!$P$5:$P$6,"TERMINEE")</f>
        <v>1</v>
      </c>
      <c r="Q28" s="238">
        <f>P28/SUM($P$28:$P$30)</f>
        <v>0.5</v>
      </c>
      <c r="S28" s="195" t="s">
        <v>612</v>
      </c>
      <c r="T28" s="196" t="e">
        <f>T27/T26</f>
        <v>#REF!</v>
      </c>
      <c r="U28" s="196"/>
      <c r="V28" s="196" t="e">
        <f t="shared" ref="V28:W28" si="4">V27/V26</f>
        <v>#REF!</v>
      </c>
      <c r="W28" s="196" t="e">
        <f t="shared" si="4"/>
        <v>#REF!</v>
      </c>
    </row>
    <row r="29" spans="1:23" ht="14.25" customHeight="1" x14ac:dyDescent="0.25">
      <c r="A29" s="264" t="s">
        <v>73</v>
      </c>
      <c r="B29" s="266">
        <f>COUNTIF('Liste AT'!$Q$7:$Q$165,A29)</f>
        <v>0</v>
      </c>
      <c r="C29" s="266"/>
      <c r="D29" s="266" t="e">
        <f>COUNTIFS('Liste AT'!#REF!,$D$23,'Liste AT'!$Q$7:$Q$165,$A29)</f>
        <v>#REF!</v>
      </c>
      <c r="E29" s="395" t="e">
        <f>COUNTIFS('Liste AT'!#REF!,$E$23,'Liste AT'!$Q$7:$Q$165,$A29)</f>
        <v>#REF!</v>
      </c>
      <c r="F29" s="396"/>
      <c r="G29" s="396"/>
      <c r="O29" s="198" t="s">
        <v>273</v>
      </c>
      <c r="P29" s="199">
        <f>SUM(COUNTIF('Suivi du PAS 2020'!$P$5:$P$6,"20%"),COUNTIF('Suivi du PAS 2020'!$P$5:$P$6,"50%"),COUNTIF('Suivi du PAS 2020'!$P$5:$P$6,"80%"))</f>
        <v>0</v>
      </c>
      <c r="Q29" s="239">
        <f>P29/SUM($P$28:$P$30)</f>
        <v>0</v>
      </c>
    </row>
    <row r="30" spans="1:23" ht="14.25" customHeight="1" x14ac:dyDescent="0.25">
      <c r="A30" s="263" t="s">
        <v>77</v>
      </c>
      <c r="B30" s="266">
        <f>COUNTIF('Liste AT'!$Q$7:$Q$165,A30)</f>
        <v>0</v>
      </c>
      <c r="C30" s="266"/>
      <c r="D30" s="266" t="e">
        <f>COUNTIFS('Liste AT'!#REF!,$D$23,'Liste AT'!$Q$7:$Q$165,$A30)</f>
        <v>#REF!</v>
      </c>
      <c r="E30" s="395" t="e">
        <f>COUNTIFS('Liste AT'!#REF!,$E$23,'Liste AT'!$Q$7:$Q$165,$A30)</f>
        <v>#REF!</v>
      </c>
      <c r="F30" s="396"/>
      <c r="G30" s="396"/>
      <c r="O30" s="195" t="s">
        <v>274</v>
      </c>
      <c r="P30" s="196">
        <f>COUNTIF('Suivi du PAS 2020'!$P$5:$P$6,"NON COMMENCEE")</f>
        <v>1</v>
      </c>
      <c r="Q30" s="238">
        <f>P30/SUM($P$28:$P$30)</f>
        <v>0.5</v>
      </c>
    </row>
    <row r="31" spans="1:23" ht="18.75" customHeight="1" x14ac:dyDescent="0.25">
      <c r="A31" s="264" t="s">
        <v>97</v>
      </c>
      <c r="B31" s="266">
        <f>COUNTIF('Liste AT'!$Q$7:$Q$165,A31)</f>
        <v>1</v>
      </c>
      <c r="C31" s="266"/>
      <c r="D31" s="266" t="e">
        <f>COUNTIFS('Liste AT'!#REF!,$D$23,'Liste AT'!$Q$7:$Q$165,$A31)</f>
        <v>#REF!</v>
      </c>
      <c r="E31" s="395" t="e">
        <f>COUNTIFS('Liste AT'!#REF!,$E$23,'Liste AT'!$Q$7:$Q$165,$A31)</f>
        <v>#REF!</v>
      </c>
      <c r="F31" s="396"/>
      <c r="G31" s="396"/>
      <c r="O31" s="202" t="s">
        <v>652</v>
      </c>
      <c r="P31" s="203" t="s">
        <v>637</v>
      </c>
      <c r="Q31" s="204" t="s">
        <v>612</v>
      </c>
    </row>
    <row r="32" spans="1:23" ht="14.25" customHeight="1" x14ac:dyDescent="0.25">
      <c r="A32" s="263" t="s">
        <v>303</v>
      </c>
      <c r="B32" s="266">
        <f>COUNTIF('Liste AT'!$Q$7:$Q$165,A32)</f>
        <v>0</v>
      </c>
      <c r="C32" s="266"/>
      <c r="D32" s="266" t="e">
        <f>COUNTIFS('Liste AT'!#REF!,$D$23,'Liste AT'!$Q$7:$Q$165,$A32)</f>
        <v>#REF!</v>
      </c>
      <c r="E32" s="395" t="e">
        <f>COUNTIFS('Liste AT'!#REF!,$E$23,'Liste AT'!$Q$7:$Q$165,$A32)</f>
        <v>#REF!</v>
      </c>
      <c r="F32" s="396"/>
      <c r="G32" s="396"/>
      <c r="O32" s="195" t="s">
        <v>272</v>
      </c>
      <c r="P32" s="196">
        <f>COUNTIF('Suivi du PAS 2020'!$P$23:$P$25,"TERMINEE")</f>
        <v>0</v>
      </c>
      <c r="Q32" s="238">
        <f>P32/SUM($P$32:$P$34)</f>
        <v>0</v>
      </c>
    </row>
    <row r="33" spans="1:17" ht="14.25" customHeight="1" x14ac:dyDescent="0.25">
      <c r="A33" s="264" t="s">
        <v>98</v>
      </c>
      <c r="B33" s="266">
        <f>COUNTIF('Liste AT'!$Q$7:$Q$165,A33)</f>
        <v>0</v>
      </c>
      <c r="C33" s="266"/>
      <c r="D33" s="266" t="e">
        <f>COUNTIFS('Liste AT'!#REF!,$D$23,'Liste AT'!$Q$7:$Q$165,$A33)</f>
        <v>#REF!</v>
      </c>
      <c r="E33" s="395" t="e">
        <f>COUNTIFS('Liste AT'!#REF!,$E$23,'Liste AT'!$Q$7:$Q$165,$A33)</f>
        <v>#REF!</v>
      </c>
      <c r="F33" s="396"/>
      <c r="G33" s="396"/>
      <c r="O33" s="198" t="s">
        <v>273</v>
      </c>
      <c r="P33" s="199">
        <f>SUM(COUNTIF('Suivi du PAS 2020'!$P$23:$P$25,"20%"),COUNTIF('Suivi du PAS 2020'!$P$23:$P$25,"50%"),COUNTIF('Suivi du PAS 2020'!$P$23:$P$25,"80%"))</f>
        <v>2</v>
      </c>
      <c r="Q33" s="239">
        <f t="shared" ref="Q33:Q34" si="5">P33/SUM($P$32:$P$34)</f>
        <v>0.66666666666666663</v>
      </c>
    </row>
    <row r="34" spans="1:17" ht="14.25" customHeight="1" x14ac:dyDescent="0.25">
      <c r="A34" s="263" t="s">
        <v>342</v>
      </c>
      <c r="B34" s="266">
        <f>COUNTIF('Liste AT'!$Q$7:$Q$165,A34)</f>
        <v>0</v>
      </c>
      <c r="C34" s="266"/>
      <c r="D34" s="266" t="e">
        <f>COUNTIFS('Liste AT'!#REF!,$D$23,'Liste AT'!$Q$7:$Q$165,$A34)</f>
        <v>#REF!</v>
      </c>
      <c r="E34" s="395" t="e">
        <f>COUNTIFS('Liste AT'!#REF!,$E$23,'Liste AT'!$Q$7:$Q$165,$A34)</f>
        <v>#REF!</v>
      </c>
      <c r="F34" s="396"/>
      <c r="G34" s="396"/>
      <c r="O34" s="195" t="s">
        <v>274</v>
      </c>
      <c r="P34" s="196">
        <f>COUNTIF('Suivi du PAS 2020'!$P$23:$P$25,"NON COMMENCEE")</f>
        <v>1</v>
      </c>
      <c r="Q34" s="238">
        <f t="shared" si="5"/>
        <v>0.33333333333333331</v>
      </c>
    </row>
    <row r="35" spans="1:17" ht="14.25" customHeight="1" x14ac:dyDescent="0.25">
      <c r="A35" s="264" t="s">
        <v>345</v>
      </c>
      <c r="B35" s="266">
        <f>COUNTIF('Liste AT'!$Q$7:$Q$165,A35)</f>
        <v>0</v>
      </c>
      <c r="C35" s="266"/>
      <c r="D35" s="266" t="e">
        <f>COUNTIFS('Liste AT'!#REF!,$D$23,'Liste AT'!$Q$7:$Q$165,$A35)</f>
        <v>#REF!</v>
      </c>
      <c r="E35" s="395" t="e">
        <f>COUNTIFS('Liste AT'!#REF!,$E$23,'Liste AT'!$Q$7:$Q$165,$A35)</f>
        <v>#REF!</v>
      </c>
      <c r="F35" s="396"/>
      <c r="G35" s="396"/>
    </row>
    <row r="36" spans="1:17" ht="14.25" customHeight="1" x14ac:dyDescent="0.25">
      <c r="A36" s="263" t="s">
        <v>100</v>
      </c>
      <c r="B36" s="266">
        <f>COUNTIF('Liste AT'!$Q$7:$Q$165,A36)</f>
        <v>0</v>
      </c>
      <c r="C36" s="266"/>
      <c r="D36" s="266" t="e">
        <f>COUNTIFS('Liste AT'!#REF!,$D$23,'Liste AT'!$Q$7:$Q$165,$A36)</f>
        <v>#REF!</v>
      </c>
      <c r="E36" s="395" t="e">
        <f>COUNTIFS('Liste AT'!#REF!,$E$23,'Liste AT'!$Q$7:$Q$165,$A36)</f>
        <v>#REF!</v>
      </c>
      <c r="F36" s="396"/>
      <c r="G36" s="396"/>
      <c r="H36" s="401" t="s">
        <v>659</v>
      </c>
      <c r="I36" s="193" t="s">
        <v>1143</v>
      </c>
      <c r="J36" s="194" t="s">
        <v>1146</v>
      </c>
      <c r="K36" s="576" t="s">
        <v>270</v>
      </c>
      <c r="L36" s="385"/>
      <c r="M36" s="385"/>
      <c r="N36" s="385"/>
      <c r="O36" s="497" t="s">
        <v>654</v>
      </c>
      <c r="P36" s="497"/>
      <c r="Q36" s="497"/>
    </row>
    <row r="37" spans="1:17" ht="14.25" customHeight="1" x14ac:dyDescent="0.25">
      <c r="A37" s="264" t="s">
        <v>99</v>
      </c>
      <c r="B37" s="266">
        <f>COUNTIF('Liste AT'!$Q$7:$Q$165,A37)</f>
        <v>0</v>
      </c>
      <c r="C37" s="266"/>
      <c r="D37" s="266" t="e">
        <f>COUNTIFS('Liste AT'!#REF!,$D$23,'Liste AT'!$Q$7:$Q$165,$A37)</f>
        <v>#REF!</v>
      </c>
      <c r="E37" s="395" t="e">
        <f>COUNTIFS('Liste AT'!#REF!,$E$23,'Liste AT'!$Q$7:$Q$165,$A37)</f>
        <v>#REF!</v>
      </c>
      <c r="F37" s="396"/>
      <c r="G37" s="396"/>
      <c r="H37" s="393" t="s">
        <v>660</v>
      </c>
      <c r="I37" s="196">
        <f>SUM(COUNTIF('Suivi des DPx'!$A$11:$A$105,{"TRACTION";"TER EST";"TRAIN";"EMI";"SIEGE"}))</f>
        <v>0</v>
      </c>
      <c r="J37" s="196">
        <f>SUM(COUNTIF('Suivi des DPx'!$A$11:$A$105,"TRACTION"))</f>
        <v>0</v>
      </c>
      <c r="K37" s="388">
        <f>SUM(COUNTIF('Suivi des DPx'!$A$11:$A$105,"SIEGE"))</f>
        <v>0</v>
      </c>
      <c r="L37" s="386"/>
      <c r="M37" s="386"/>
      <c r="N37" s="386"/>
      <c r="O37" s="392" t="s">
        <v>638</v>
      </c>
      <c r="P37" s="203" t="s">
        <v>637</v>
      </c>
      <c r="Q37" s="204" t="s">
        <v>612</v>
      </c>
    </row>
    <row r="38" spans="1:17" ht="14.25" customHeight="1" x14ac:dyDescent="0.25">
      <c r="A38" s="263" t="s">
        <v>29</v>
      </c>
      <c r="B38" s="266">
        <f>COUNTIF('Liste AT'!$Q$7:$Q$165,A38)</f>
        <v>0</v>
      </c>
      <c r="C38" s="266"/>
      <c r="D38" s="266" t="e">
        <f>COUNTIFS('Liste AT'!#REF!,$D$23,'Liste AT'!$Q$7:$Q$165,$A38)</f>
        <v>#REF!</v>
      </c>
      <c r="E38" s="395" t="e">
        <f>COUNTIFS('Liste AT'!#REF!,$E$23,'Liste AT'!$Q$7:$Q$165,$A38)</f>
        <v>#REF!</v>
      </c>
      <c r="F38" s="396"/>
      <c r="G38" s="396"/>
      <c r="O38" s="195" t="s">
        <v>272</v>
      </c>
      <c r="P38" s="196" t="e">
        <f>COUNTIF(#REF!,"TERMINEE")</f>
        <v>#REF!</v>
      </c>
      <c r="Q38" s="238" t="e">
        <f>P38/SUM($P$38:$P$40)</f>
        <v>#REF!</v>
      </c>
    </row>
    <row r="39" spans="1:17" ht="14.25" customHeight="1" x14ac:dyDescent="0.25">
      <c r="A39" s="264" t="s">
        <v>39</v>
      </c>
      <c r="B39" s="266">
        <f>COUNTIF('Liste AT'!$Q$7:$Q$165,A39)</f>
        <v>0</v>
      </c>
      <c r="C39" s="266"/>
      <c r="D39" s="266" t="e">
        <f>COUNTIFS('Liste AT'!#REF!,$D$23,'Liste AT'!$Q$7:$Q$165,$A39)</f>
        <v>#REF!</v>
      </c>
      <c r="E39" s="395" t="e">
        <f>COUNTIFS('Liste AT'!#REF!,$E$23,'Liste AT'!$Q$7:$Q$165,$A39)</f>
        <v>#REF!</v>
      </c>
      <c r="F39" s="396"/>
      <c r="G39" s="396"/>
      <c r="O39" s="198" t="s">
        <v>273</v>
      </c>
      <c r="P39" s="199" t="e">
        <f>COUNTIF(#REF!,"EN COURS")</f>
        <v>#REF!</v>
      </c>
      <c r="Q39" s="239" t="e">
        <f t="shared" ref="Q39:Q40" si="6">P39/SUM($P$38:$P$40)</f>
        <v>#REF!</v>
      </c>
    </row>
    <row r="40" spans="1:17" ht="14.25" customHeight="1" x14ac:dyDescent="0.25">
      <c r="A40" s="263" t="s">
        <v>401</v>
      </c>
      <c r="B40" s="266">
        <f>COUNTIF('Liste AT'!$Q$7:$Q$165,A40)</f>
        <v>0</v>
      </c>
      <c r="C40" s="266"/>
      <c r="D40" s="266" t="e">
        <f>COUNTIFS('Liste AT'!#REF!,$D$23,'Liste AT'!$Q$7:$Q$165,$A40)</f>
        <v>#REF!</v>
      </c>
      <c r="E40" s="395" t="e">
        <f>COUNTIFS('Liste AT'!#REF!,$E$23,'Liste AT'!$Q$7:$Q$165,$A40)</f>
        <v>#REF!</v>
      </c>
      <c r="F40" s="383"/>
      <c r="G40" s="383"/>
      <c r="O40" s="195" t="s">
        <v>274</v>
      </c>
      <c r="P40" s="196" t="e">
        <f>COUNTIF(#REF!,"NON COMMENCEE")</f>
        <v>#REF!</v>
      </c>
      <c r="Q40" s="238" t="e">
        <f t="shared" si="6"/>
        <v>#REF!</v>
      </c>
    </row>
    <row r="41" spans="1:17" ht="14.25" customHeight="1" x14ac:dyDescent="0.25">
      <c r="A41" s="489"/>
      <c r="B41" s="489"/>
      <c r="C41" s="489"/>
      <c r="D41" s="489"/>
      <c r="E41" s="489"/>
      <c r="F41" s="384"/>
      <c r="G41" s="384"/>
    </row>
    <row r="42" spans="1:17" ht="45.75" customHeight="1" x14ac:dyDescent="0.25">
      <c r="A42" s="496" t="s">
        <v>634</v>
      </c>
      <c r="B42" s="496"/>
      <c r="C42" s="496"/>
      <c r="D42" s="496"/>
      <c r="E42" s="496"/>
      <c r="F42" s="385"/>
      <c r="G42" s="385"/>
    </row>
    <row r="43" spans="1:17" ht="46.5" customHeight="1" x14ac:dyDescent="0.25">
      <c r="A43" s="192" t="s">
        <v>632</v>
      </c>
      <c r="B43" s="193" t="s">
        <v>1143</v>
      </c>
      <c r="C43" s="471" t="s">
        <v>1190</v>
      </c>
      <c r="D43" s="472" t="s">
        <v>270</v>
      </c>
      <c r="E43" s="473" t="s">
        <v>1189</v>
      </c>
      <c r="F43" s="385"/>
      <c r="G43" s="385"/>
    </row>
    <row r="44" spans="1:17" ht="14.25" customHeight="1" x14ac:dyDescent="0.25">
      <c r="A44" s="195" t="s">
        <v>666</v>
      </c>
      <c r="B44" s="196">
        <f ca="1">SUM(B44:E44)</f>
        <v>0</v>
      </c>
      <c r="C44" s="196"/>
      <c r="D44" s="197" t="e">
        <f ca="1">COUNTIFS('Liste AT'!#REF!,D$42,'Liste AT'!$I$7:$I$165,CONCATENATE("&gt;=","01/",MONTH(TODAY()),"/",YEAR(TODAY())))</f>
        <v>#REF!</v>
      </c>
      <c r="E44" s="399" t="e">
        <f ca="1">COUNTIFS('Liste AT'!#REF!,E$42,'Liste AT'!$I$7:$I$165,CONCATENATE("&gt;=","01/",MONTH(TODAY()),"/",YEAR(TODAY())))</f>
        <v>#REF!</v>
      </c>
      <c r="F44" s="385"/>
      <c r="G44" s="385"/>
    </row>
    <row r="45" spans="1:17" ht="14.25" customHeight="1" x14ac:dyDescent="0.25">
      <c r="A45" s="198" t="s">
        <v>635</v>
      </c>
      <c r="B45" s="200">
        <f ca="1">COUNTIFS('Liste AT'!K8:K166,"trajet",'Liste AT'!$I$7:$I$165,CONCATENATE("&gt;=","01/",MONTH(TODAY()),"/",YEAR(TODAY())))</f>
        <v>0</v>
      </c>
      <c r="C45" s="200"/>
      <c r="D45" s="200" t="e">
        <f ca="1">COUNTIFS('Liste AT'!#REF!,D$42,'Liste AT'!$I$7:$I$165,CONCATENATE("&gt;=","01/",MONTH(TODAY()),"/",YEAR(TODAY())),'Liste AT'!$K$7:$K$165,"trajet")</f>
        <v>#REF!</v>
      </c>
      <c r="E45" s="400" t="e">
        <f ca="1">COUNTIFS('Liste AT'!#REF!,E$42,'Liste AT'!$I$7:$I$165,CONCATENATE("&gt;=","01/",MONTH(TODAY()),"/",YEAR(TODAY())),'Liste AT'!$K$7:$K$165,"trajet")</f>
        <v>#REF!</v>
      </c>
      <c r="F45" s="385"/>
      <c r="G45" s="385"/>
    </row>
    <row r="46" spans="1:17" ht="14.25" customHeight="1" x14ac:dyDescent="0.25">
      <c r="A46" s="195" t="s">
        <v>628</v>
      </c>
      <c r="B46" s="197">
        <f ca="1">COUNTIFS('Liste AT'!L8:L166,"avec arrêt",'Liste AT'!$I$7:$I$165,CONCATENATE("&gt;=","01/",MONTH(TODAY()),"/",YEAR(TODAY())))</f>
        <v>0</v>
      </c>
      <c r="C46" s="197"/>
      <c r="D46" s="197" t="e">
        <f ca="1">COUNTIFS('Liste AT'!#REF!,D$42,'Liste AT'!$I$7:$I$165,CONCATENATE("&gt;=","01/",MONTH(TODAY()),"/",YEAR(TODAY())),'Liste AT'!$L$7:$L$165,"avec arrêt")</f>
        <v>#REF!</v>
      </c>
      <c r="E46" s="399" t="e">
        <f ca="1">COUNTIFS('Liste AT'!#REF!,E$42,'Liste AT'!$I$7:$I$165,CONCATENATE("&gt;=","01/",MONTH(TODAY()),"/",YEAR(TODAY())),'Liste AT'!$L$7:$L$165,"avec arrêt")</f>
        <v>#REF!</v>
      </c>
      <c r="F46" s="386"/>
      <c r="G46" s="386"/>
    </row>
    <row r="47" spans="1:17" ht="14.25" customHeight="1" x14ac:dyDescent="0.25">
      <c r="A47" s="198" t="s">
        <v>629</v>
      </c>
      <c r="B47" s="199">
        <f ca="1">SUMIFS('Liste AT'!$O$7:$O$165,'Liste AT'!$I$7:$I$165,CONCATENATE("&gt;=","01/",MONTH(TODAY()),"/",YEAR(TODAY())))</f>
        <v>0</v>
      </c>
      <c r="C47" s="199"/>
      <c r="D47" s="199" t="e">
        <f ca="1">SUMIFS('Liste AT'!$O$7:$O$165,'Liste AT'!$I$7:$I$165,CONCATENATE("&gt;=","01/",MONTH(TODAY()),"/",YEAR(TODAY())),'Liste AT'!#REF!,D43)</f>
        <v>#REF!</v>
      </c>
      <c r="E47" s="390" t="e">
        <f ca="1">SUMIFS('Liste AT'!$O$7:$O$165,'Liste AT'!$I$7:$I$165,CONCATENATE("&gt;=","01/",MONTH(TODAY()),"/",YEAR(TODAY())),'Liste AT'!#REF!,E43)</f>
        <v>#REF!</v>
      </c>
    </row>
    <row r="48" spans="1:17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A42:E42"/>
    <mergeCell ref="S15:T15"/>
    <mergeCell ref="O36:Q36"/>
    <mergeCell ref="A5:E5"/>
    <mergeCell ref="O8:Q8"/>
    <mergeCell ref="O18:Q18"/>
    <mergeCell ref="H5:K5"/>
    <mergeCell ref="S8:W8"/>
  </mergeCells>
  <dataValidations count="1">
    <dataValidation type="list" allowBlank="1" showInputMessage="1" showErrorMessage="1" sqref="B6:E6 B23:E23 T25:W25 I6:K6 I36:K36 T9:W9 T16:W16 T21:W21 B43:E43">
      <formula1>UO_ESV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W114"/>
  <sheetViews>
    <sheetView showGridLines="0" topLeftCell="A4" zoomScaleNormal="100" workbookViewId="0">
      <pane xSplit="3" ySplit="3" topLeftCell="V30" activePane="bottomRight" state="frozen"/>
      <selection activeCell="A4" sqref="A4"/>
      <selection pane="topRight" activeCell="D4" sqref="D4"/>
      <selection pane="bottomLeft" activeCell="A7" sqref="A7"/>
      <selection pane="bottomRight" activeCell="X24" sqref="X24"/>
    </sheetView>
  </sheetViews>
  <sheetFormatPr baseColWidth="10" defaultRowHeight="12.75" x14ac:dyDescent="0.25"/>
  <cols>
    <col min="1" max="1" width="22.42578125" style="25" customWidth="1"/>
    <col min="2" max="2" width="20.28515625" style="23" customWidth="1"/>
    <col min="3" max="3" width="14.42578125" style="23" customWidth="1"/>
    <col min="4" max="4" width="29.8554687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5" width="12.42578125" style="24" customWidth="1"/>
    <col min="26" max="28" width="11.28515625" style="24" customWidth="1"/>
    <col min="29" max="29" width="14.85546875" style="24" customWidth="1"/>
    <col min="30" max="30" width="10.7109375" style="25" customWidth="1"/>
    <col min="31" max="31" width="12.7109375" style="24" customWidth="1"/>
    <col min="32" max="32" width="17.85546875" style="24" customWidth="1"/>
    <col min="33" max="33" width="20.5703125" style="24" customWidth="1"/>
    <col min="34" max="34" width="10.7109375" style="25" customWidth="1"/>
    <col min="35" max="35" width="12.7109375" style="24" customWidth="1"/>
    <col min="36" max="36" width="10.7109375" style="25" customWidth="1"/>
    <col min="37" max="37" width="12.7109375" style="24" customWidth="1"/>
    <col min="38" max="38" width="15.7109375" style="25" customWidth="1"/>
    <col min="39" max="39" width="27.42578125" style="23" customWidth="1"/>
    <col min="40" max="40" width="11.42578125" style="23"/>
    <col min="41" max="41" width="19.28515625" style="23" customWidth="1"/>
    <col min="42" max="46" width="11.42578125" style="23"/>
    <col min="47" max="47" width="18.7109375" style="23" customWidth="1"/>
    <col min="48" max="16384" width="11.42578125" style="23"/>
  </cols>
  <sheetData>
    <row r="1" spans="1:42" x14ac:dyDescent="0.25">
      <c r="AO1" s="37"/>
      <c r="AP1" s="46" t="s">
        <v>552</v>
      </c>
    </row>
    <row r="2" spans="1:42" ht="30" x14ac:dyDescent="0.25">
      <c r="A2" s="512" t="s">
        <v>683</v>
      </c>
      <c r="B2" s="512"/>
      <c r="C2" s="512"/>
      <c r="AO2" s="37" t="s">
        <v>584</v>
      </c>
      <c r="AP2" s="46">
        <f>COUNTIF(A11:A105, "TER MIXTE")</f>
        <v>0</v>
      </c>
    </row>
    <row r="3" spans="1:42" x14ac:dyDescent="0.25">
      <c r="AO3" s="37" t="s">
        <v>583</v>
      </c>
      <c r="AP3" s="46">
        <f>COUNTIF(A11:A105, "TER ESCALE EST")</f>
        <v>0</v>
      </c>
    </row>
    <row r="4" spans="1:42" x14ac:dyDescent="0.25">
      <c r="A4" s="513" t="s">
        <v>290</v>
      </c>
      <c r="B4" s="513"/>
      <c r="C4" s="513"/>
      <c r="AO4" s="43" t="s">
        <v>669</v>
      </c>
      <c r="AP4" s="46">
        <v>11</v>
      </c>
    </row>
    <row r="5" spans="1:42" ht="24.75" customHeight="1" x14ac:dyDescent="0.25">
      <c r="A5" s="513"/>
      <c r="B5" s="513"/>
      <c r="C5" s="513"/>
      <c r="E5" s="514" t="s">
        <v>254</v>
      </c>
      <c r="F5" s="514"/>
      <c r="G5" s="514"/>
      <c r="H5" s="514"/>
      <c r="I5" s="514"/>
      <c r="J5" s="514"/>
      <c r="K5" s="514"/>
      <c r="L5" s="514"/>
      <c r="M5" s="514"/>
      <c r="N5" s="514"/>
      <c r="O5" s="514"/>
      <c r="P5" s="514"/>
      <c r="Q5" s="514"/>
      <c r="R5" s="514"/>
      <c r="S5" s="515"/>
      <c r="T5" s="515"/>
      <c r="U5" s="515"/>
      <c r="V5" s="515"/>
      <c r="W5" s="515"/>
      <c r="X5" s="515"/>
      <c r="Y5" s="515"/>
      <c r="Z5" s="515"/>
      <c r="AA5" s="515"/>
      <c r="AB5" s="515"/>
      <c r="AC5" s="515"/>
      <c r="AD5" s="511" t="s">
        <v>777</v>
      </c>
      <c r="AE5" s="511"/>
      <c r="AF5" s="511"/>
      <c r="AG5" s="511"/>
      <c r="AH5" s="511"/>
      <c r="AI5" s="511"/>
      <c r="AJ5" s="511"/>
      <c r="AK5" s="511"/>
      <c r="AL5" s="511"/>
      <c r="AM5" s="511"/>
      <c r="AO5" s="38" t="s">
        <v>256</v>
      </c>
      <c r="AP5" s="45">
        <f>COUNTIF(A11:A105, "SIEGE")</f>
        <v>0</v>
      </c>
    </row>
    <row r="6" spans="1:42" ht="31.5" customHeight="1" x14ac:dyDescent="0.25">
      <c r="E6" s="516" t="s">
        <v>1211</v>
      </c>
      <c r="F6" s="517"/>
      <c r="G6" s="501" t="s">
        <v>535</v>
      </c>
      <c r="H6" s="502"/>
      <c r="I6" s="501" t="s">
        <v>250</v>
      </c>
      <c r="J6" s="502"/>
      <c r="K6" s="518" t="s">
        <v>248</v>
      </c>
      <c r="L6" s="518"/>
      <c r="M6" s="518" t="s">
        <v>267</v>
      </c>
      <c r="N6" s="518"/>
      <c r="O6" s="501" t="s">
        <v>705</v>
      </c>
      <c r="P6" s="502"/>
      <c r="Q6" s="501" t="s">
        <v>245</v>
      </c>
      <c r="R6" s="502"/>
      <c r="S6" s="501" t="s">
        <v>603</v>
      </c>
      <c r="T6" s="502"/>
      <c r="U6" s="501" t="s">
        <v>554</v>
      </c>
      <c r="V6" s="502"/>
      <c r="W6" s="503" t="s">
        <v>555</v>
      </c>
      <c r="X6" s="505"/>
      <c r="Y6" s="503" t="s">
        <v>556</v>
      </c>
      <c r="Z6" s="504"/>
      <c r="AA6" s="503" t="s">
        <v>729</v>
      </c>
      <c r="AB6" s="504"/>
      <c r="AC6" s="88" t="s">
        <v>242</v>
      </c>
      <c r="AD6" s="519" t="s">
        <v>534</v>
      </c>
      <c r="AE6" s="520"/>
      <c r="AF6" s="521" t="s">
        <v>557</v>
      </c>
      <c r="AG6" s="520"/>
      <c r="AH6" s="521" t="s">
        <v>535</v>
      </c>
      <c r="AI6" s="520"/>
      <c r="AJ6" s="506" t="s">
        <v>536</v>
      </c>
      <c r="AK6" s="507"/>
      <c r="AL6" s="293" t="s">
        <v>540</v>
      </c>
      <c r="AM6" s="368" t="s">
        <v>826</v>
      </c>
      <c r="AN6" s="158"/>
      <c r="AO6" s="89" t="s">
        <v>675</v>
      </c>
      <c r="AP6" s="46">
        <v>2</v>
      </c>
    </row>
    <row r="7" spans="1:42" ht="12.75" customHeight="1" x14ac:dyDescent="0.25">
      <c r="A7" s="114" t="s">
        <v>16</v>
      </c>
      <c r="B7" s="115" t="s">
        <v>13</v>
      </c>
      <c r="C7" s="115" t="s">
        <v>14</v>
      </c>
      <c r="D7" s="115" t="s">
        <v>266</v>
      </c>
      <c r="E7" s="114" t="s">
        <v>243</v>
      </c>
      <c r="F7" s="116" t="s">
        <v>17</v>
      </c>
      <c r="G7" s="116" t="s">
        <v>243</v>
      </c>
      <c r="H7" s="116" t="s">
        <v>17</v>
      </c>
      <c r="I7" s="114" t="s">
        <v>243</v>
      </c>
      <c r="J7" s="117" t="s">
        <v>17</v>
      </c>
      <c r="K7" s="114" t="s">
        <v>243</v>
      </c>
      <c r="L7" s="117" t="s">
        <v>17</v>
      </c>
      <c r="M7" s="117" t="s">
        <v>243</v>
      </c>
      <c r="N7" s="117" t="s">
        <v>17</v>
      </c>
      <c r="O7" s="117" t="s">
        <v>243</v>
      </c>
      <c r="P7" s="117" t="s">
        <v>17</v>
      </c>
      <c r="Q7" s="117" t="s">
        <v>243</v>
      </c>
      <c r="R7" s="117" t="s">
        <v>17</v>
      </c>
      <c r="S7" s="117" t="s">
        <v>243</v>
      </c>
      <c r="T7" s="117" t="s">
        <v>17</v>
      </c>
      <c r="U7" s="117" t="s">
        <v>243</v>
      </c>
      <c r="V7" s="117" t="s">
        <v>17</v>
      </c>
      <c r="W7" s="118" t="s">
        <v>243</v>
      </c>
      <c r="X7" s="118" t="s">
        <v>17</v>
      </c>
      <c r="Y7" s="118" t="s">
        <v>243</v>
      </c>
      <c r="Z7" s="118" t="s">
        <v>17</v>
      </c>
      <c r="AA7" s="118" t="s">
        <v>243</v>
      </c>
      <c r="AB7" s="118" t="s">
        <v>17</v>
      </c>
      <c r="AC7" s="118" t="s">
        <v>265</v>
      </c>
      <c r="AD7" s="119" t="s">
        <v>243</v>
      </c>
      <c r="AE7" s="116" t="s">
        <v>17</v>
      </c>
      <c r="AF7" s="119" t="s">
        <v>243</v>
      </c>
      <c r="AG7" s="116" t="s">
        <v>620</v>
      </c>
      <c r="AH7" s="120" t="s">
        <v>243</v>
      </c>
      <c r="AI7" s="116" t="s">
        <v>17</v>
      </c>
      <c r="AJ7" s="120" t="s">
        <v>243</v>
      </c>
      <c r="AK7" s="121" t="s">
        <v>17</v>
      </c>
      <c r="AL7" s="122" t="s">
        <v>540</v>
      </c>
      <c r="AM7" s="122" t="s">
        <v>243</v>
      </c>
      <c r="AO7" s="292" t="s">
        <v>624</v>
      </c>
      <c r="AP7" s="46">
        <f xml:space="preserve"> SUM(AP2:AP6)</f>
        <v>13</v>
      </c>
    </row>
    <row r="8" spans="1:42" ht="16.5" customHeight="1" x14ac:dyDescent="0.25">
      <c r="A8" s="38" t="s">
        <v>1150</v>
      </c>
      <c r="B8" s="128" t="s">
        <v>771</v>
      </c>
      <c r="C8" s="128" t="s">
        <v>772</v>
      </c>
      <c r="D8" s="127" t="s">
        <v>1167</v>
      </c>
      <c r="E8" s="43" t="s">
        <v>239</v>
      </c>
      <c r="F8" s="124"/>
      <c r="G8" s="43" t="s">
        <v>239</v>
      </c>
      <c r="H8" s="124"/>
      <c r="I8" s="43" t="s">
        <v>239</v>
      </c>
      <c r="J8" s="124"/>
      <c r="K8" s="43" t="s">
        <v>239</v>
      </c>
      <c r="L8" s="124"/>
      <c r="M8" s="44" t="s">
        <v>241</v>
      </c>
      <c r="N8" s="124">
        <v>43487</v>
      </c>
      <c r="O8" s="44" t="s">
        <v>239</v>
      </c>
      <c r="P8" s="124"/>
      <c r="Q8" s="44" t="s">
        <v>241</v>
      </c>
      <c r="R8" s="124">
        <v>39013</v>
      </c>
      <c r="S8" s="124"/>
      <c r="T8" s="124"/>
      <c r="U8" s="44" t="s">
        <v>239</v>
      </c>
      <c r="V8" s="91"/>
      <c r="W8" s="44" t="s">
        <v>239</v>
      </c>
      <c r="X8" s="124"/>
      <c r="Y8" s="44" t="s">
        <v>239</v>
      </c>
      <c r="Z8" s="91"/>
      <c r="AA8" s="44" t="s">
        <v>239</v>
      </c>
      <c r="AB8" s="91"/>
      <c r="AC8" s="249">
        <f>IF((COUNTIF(E8:AB8, "OUI")+COUNTIF(E8:AB8, "INSCRIT")+COUNTIF(E8:AB8, "NON"))&gt;0, COUNTIF(E8:AB8, "NON")/(COUNTIF(E8:AB8, "OUI")+COUNTIF(E8:AB8, "INSCRIT")+COUNTIF(E8:AB8, "NON")), 0)</f>
        <v>0.81818181818181823</v>
      </c>
      <c r="AD8" s="37"/>
      <c r="AE8" s="124"/>
      <c r="AF8" s="37"/>
      <c r="AG8" s="91"/>
      <c r="AH8" s="37"/>
      <c r="AI8" s="42"/>
      <c r="AJ8" s="37"/>
      <c r="AK8" s="42"/>
      <c r="AL8" s="250">
        <f>COUNTIF('Liste AT'!$E$7:$E$31, "Siège UO TER OUEST")</f>
        <v>0</v>
      </c>
      <c r="AM8" s="37"/>
    </row>
    <row r="9" spans="1:42" ht="16.5" customHeight="1" x14ac:dyDescent="0.25">
      <c r="A9" s="38" t="s">
        <v>1150</v>
      </c>
      <c r="B9" s="127" t="s">
        <v>263</v>
      </c>
      <c r="C9" s="127" t="s">
        <v>262</v>
      </c>
      <c r="D9" s="127" t="s">
        <v>1144</v>
      </c>
      <c r="E9" s="43" t="s">
        <v>241</v>
      </c>
      <c r="F9" s="124">
        <v>41059</v>
      </c>
      <c r="G9" s="43" t="s">
        <v>241</v>
      </c>
      <c r="H9" s="125">
        <v>41452</v>
      </c>
      <c r="I9" s="43" t="s">
        <v>239</v>
      </c>
      <c r="J9" s="124"/>
      <c r="K9" s="43" t="s">
        <v>239</v>
      </c>
      <c r="L9" s="124"/>
      <c r="M9" s="44" t="s">
        <v>239</v>
      </c>
      <c r="N9" s="124"/>
      <c r="O9" s="44" t="s">
        <v>239</v>
      </c>
      <c r="P9" s="124"/>
      <c r="Q9" s="44" t="s">
        <v>241</v>
      </c>
      <c r="R9" s="124">
        <v>2005</v>
      </c>
      <c r="S9" s="124" t="s">
        <v>241</v>
      </c>
      <c r="T9" s="124">
        <v>42549</v>
      </c>
      <c r="U9" s="44" t="s">
        <v>241</v>
      </c>
      <c r="V9" s="91">
        <v>42635</v>
      </c>
      <c r="W9" s="44" t="s">
        <v>241</v>
      </c>
      <c r="X9" s="124">
        <v>42053</v>
      </c>
      <c r="Y9" s="44" t="s">
        <v>241</v>
      </c>
      <c r="Z9" s="124">
        <v>39127</v>
      </c>
      <c r="AA9" s="44" t="s">
        <v>241</v>
      </c>
      <c r="AB9" s="124">
        <v>41613</v>
      </c>
      <c r="AC9" s="249">
        <f>IF((COUNTIF(E9:AB9, "OUI")+COUNTIF(E9:AB9, "INSCRIT")+COUNTIF(E9:AB9, "NON"))&gt;0, COUNTIF(E9:AB9, "NON")/(COUNTIF(E9:AB9, "OUI")+COUNTIF(E9:AB9, "INSCRIT")+COUNTIF(E9:AB9, "NON")), 0)</f>
        <v>0.33333333333333331</v>
      </c>
      <c r="AD9" s="37" t="s">
        <v>239</v>
      </c>
      <c r="AE9" s="126"/>
      <c r="AF9" s="37" t="s">
        <v>239</v>
      </c>
      <c r="AG9" s="91"/>
      <c r="AH9" s="37" t="s">
        <v>241</v>
      </c>
      <c r="AI9" s="42">
        <v>41381</v>
      </c>
      <c r="AJ9" s="37" t="s">
        <v>241</v>
      </c>
      <c r="AK9" s="42">
        <v>41459</v>
      </c>
      <c r="AL9" s="250"/>
      <c r="AM9" s="37" t="s">
        <v>241</v>
      </c>
    </row>
    <row r="10" spans="1:42" ht="16.5" customHeight="1" x14ac:dyDescent="0.25">
      <c r="A10" s="38" t="s">
        <v>1147</v>
      </c>
      <c r="B10" s="128" t="s">
        <v>768</v>
      </c>
      <c r="C10" s="128" t="s">
        <v>769</v>
      </c>
      <c r="D10" s="127" t="s">
        <v>1168</v>
      </c>
      <c r="E10" s="43" t="s">
        <v>239</v>
      </c>
      <c r="F10" s="124"/>
      <c r="G10" s="43" t="s">
        <v>239</v>
      </c>
      <c r="H10" s="124"/>
      <c r="I10" s="43" t="s">
        <v>239</v>
      </c>
      <c r="J10" s="124"/>
      <c r="K10" s="43" t="s">
        <v>239</v>
      </c>
      <c r="L10" s="124"/>
      <c r="M10" s="44" t="s">
        <v>241</v>
      </c>
      <c r="N10" s="124">
        <v>43280</v>
      </c>
      <c r="O10" s="44" t="s">
        <v>241</v>
      </c>
      <c r="P10" s="124">
        <v>43697</v>
      </c>
      <c r="Q10" s="44" t="s">
        <v>239</v>
      </c>
      <c r="R10" s="124"/>
      <c r="S10" s="124"/>
      <c r="T10" s="124"/>
      <c r="U10" s="44" t="s">
        <v>241</v>
      </c>
      <c r="V10" s="91">
        <v>42810</v>
      </c>
      <c r="W10" s="44" t="s">
        <v>241</v>
      </c>
      <c r="X10" s="124">
        <v>43384</v>
      </c>
      <c r="Y10" s="44" t="s">
        <v>239</v>
      </c>
      <c r="Z10" s="91"/>
      <c r="AA10" s="44" t="s">
        <v>241</v>
      </c>
      <c r="AB10" s="91">
        <v>42894</v>
      </c>
      <c r="AC10" s="249">
        <f>IF((COUNTIF(E10:AB10, "OUI")+COUNTIF(E10:AB10, "INSCRIT")+COUNTIF(E10:AB10, "NON"))&gt;0, COUNTIF(E10:AB10, "NON")/(COUNTIF(E10:AB10, "OUI")+COUNTIF(E10:AB10, "INSCRIT")+COUNTIF(E10:AB10, "NON")), 0)</f>
        <v>0.54545454545454541</v>
      </c>
      <c r="AD10" s="37"/>
      <c r="AE10" s="126"/>
      <c r="AF10" s="37"/>
      <c r="AG10" s="91"/>
      <c r="AH10" s="37"/>
      <c r="AI10" s="42"/>
      <c r="AJ10" s="37"/>
      <c r="AK10" s="248"/>
      <c r="AL10" s="250"/>
      <c r="AM10" s="37"/>
    </row>
    <row r="11" spans="1:42" ht="16.5" customHeight="1" x14ac:dyDescent="0.25">
      <c r="A11" s="38" t="s">
        <v>1150</v>
      </c>
      <c r="B11" s="127" t="s">
        <v>264</v>
      </c>
      <c r="C11" s="127" t="s">
        <v>75</v>
      </c>
      <c r="D11" s="128" t="s">
        <v>773</v>
      </c>
      <c r="E11" s="43" t="s">
        <v>241</v>
      </c>
      <c r="F11" s="124">
        <v>41422</v>
      </c>
      <c r="G11" s="43" t="s">
        <v>241</v>
      </c>
      <c r="H11" s="124">
        <v>41422</v>
      </c>
      <c r="I11" s="43" t="s">
        <v>241</v>
      </c>
      <c r="J11" s="124">
        <v>41422</v>
      </c>
      <c r="K11" s="43" t="s">
        <v>241</v>
      </c>
      <c r="L11" s="124">
        <v>41241</v>
      </c>
      <c r="M11" s="44" t="s">
        <v>241</v>
      </c>
      <c r="N11" s="124">
        <v>43217</v>
      </c>
      <c r="O11" s="44" t="s">
        <v>241</v>
      </c>
      <c r="P11" s="124">
        <v>41591</v>
      </c>
      <c r="Q11" s="44" t="s">
        <v>241</v>
      </c>
      <c r="R11" s="124">
        <v>42823</v>
      </c>
      <c r="S11" s="124"/>
      <c r="T11" s="124"/>
      <c r="U11" s="44" t="s">
        <v>239</v>
      </c>
      <c r="V11" s="91"/>
      <c r="W11" s="44" t="s">
        <v>241</v>
      </c>
      <c r="X11" s="124">
        <v>43202</v>
      </c>
      <c r="Y11" s="44" t="s">
        <v>255</v>
      </c>
      <c r="Z11" s="91"/>
      <c r="AA11" s="44" t="s">
        <v>241</v>
      </c>
      <c r="AB11" s="91">
        <v>42902</v>
      </c>
      <c r="AC11" s="249">
        <f>IF((COUNTIF(E11:AB11, "OUI")+COUNTIF(E11:AB11, "INSCRIT")+COUNTIF(E11:AB11, "NON"))&gt;0, COUNTIF(E11:AB11, "NON")/(COUNTIF(E11:AB11, "OUI")+COUNTIF(E11:AB11, "INSCRIT")+COUNTIF(E11:AB11, "NON")), 0)</f>
        <v>0.1</v>
      </c>
      <c r="AD11" s="37" t="s">
        <v>241</v>
      </c>
      <c r="AE11" s="124">
        <v>43395</v>
      </c>
      <c r="AF11" s="37" t="s">
        <v>239</v>
      </c>
      <c r="AG11" s="91"/>
      <c r="AH11" s="37" t="s">
        <v>241</v>
      </c>
      <c r="AI11" s="42">
        <v>41584</v>
      </c>
      <c r="AJ11" s="37" t="s">
        <v>241</v>
      </c>
      <c r="AK11" s="42">
        <v>41491</v>
      </c>
      <c r="AL11" s="250">
        <f>COUNTIF('Liste AT'!$E$7:$E$31, "CPH Cannes la Bocca - Grasse")</f>
        <v>0</v>
      </c>
      <c r="AM11" s="37" t="s">
        <v>241</v>
      </c>
      <c r="AO11" s="292" t="s">
        <v>715</v>
      </c>
      <c r="AP11" s="46">
        <f xml:space="preserve"> SUM(AP2:AP3,AP4,AP6)</f>
        <v>13</v>
      </c>
    </row>
    <row r="12" spans="1:42" ht="16.5" customHeight="1" x14ac:dyDescent="0.25">
      <c r="A12" s="38" t="s">
        <v>1150</v>
      </c>
      <c r="B12" s="127" t="s">
        <v>608</v>
      </c>
      <c r="C12" s="127" t="s">
        <v>259</v>
      </c>
      <c r="D12" s="127" t="s">
        <v>1169</v>
      </c>
      <c r="E12" s="43" t="s">
        <v>241</v>
      </c>
      <c r="F12" s="124">
        <v>40626</v>
      </c>
      <c r="G12" s="43" t="s">
        <v>241</v>
      </c>
      <c r="H12" s="125">
        <v>40626</v>
      </c>
      <c r="I12" s="43" t="s">
        <v>241</v>
      </c>
      <c r="J12" s="124">
        <v>41310</v>
      </c>
      <c r="K12" s="43" t="s">
        <v>241</v>
      </c>
      <c r="L12" s="124">
        <v>41241</v>
      </c>
      <c r="M12" s="44" t="s">
        <v>241</v>
      </c>
      <c r="N12" s="124">
        <v>43370</v>
      </c>
      <c r="O12" s="44" t="s">
        <v>241</v>
      </c>
      <c r="P12" s="124">
        <v>41662</v>
      </c>
      <c r="Q12" s="44" t="s">
        <v>241</v>
      </c>
      <c r="R12" s="124">
        <v>39989</v>
      </c>
      <c r="S12" s="124" t="s">
        <v>241</v>
      </c>
      <c r="T12" s="124">
        <v>42502</v>
      </c>
      <c r="U12" s="44" t="s">
        <v>241</v>
      </c>
      <c r="V12" s="91">
        <v>42502</v>
      </c>
      <c r="W12" s="44" t="s">
        <v>239</v>
      </c>
      <c r="X12" s="124"/>
      <c r="Y12" s="44" t="s">
        <v>255</v>
      </c>
      <c r="Z12" s="91"/>
      <c r="AA12" s="44" t="s">
        <v>241</v>
      </c>
      <c r="AB12" s="91">
        <v>43188</v>
      </c>
      <c r="AC12" s="249">
        <f>IF((COUNTIF(E12:AB12, "OUI")+COUNTIF(E12:AB12, "INSCRIT")+COUNTIF(E12:AB12, "NON"))&gt;0, COUNTIF(E12:AB12, "NON")/(COUNTIF(E12:AB12, "OUI")+COUNTIF(E12:AB12, "INSCRIT")+COUNTIF(E12:AB12, "NON")), 0)</f>
        <v>9.0909090909090912E-2</v>
      </c>
      <c r="AD12" s="37" t="s">
        <v>239</v>
      </c>
      <c r="AE12" s="124"/>
      <c r="AF12" s="37" t="s">
        <v>239</v>
      </c>
      <c r="AG12" s="91"/>
      <c r="AH12" s="37" t="s">
        <v>239</v>
      </c>
      <c r="AI12" s="42"/>
      <c r="AJ12" s="37" t="s">
        <v>239</v>
      </c>
      <c r="AK12" s="42"/>
      <c r="AL12" s="250">
        <f>COUNTIF('Liste AT'!$E$7:$E$31, "Les Arcs-Fréjus Auto Train")</f>
        <v>0</v>
      </c>
      <c r="AM12" s="37" t="s">
        <v>241</v>
      </c>
    </row>
    <row r="13" spans="1:42" ht="16.5" customHeight="1" x14ac:dyDescent="0.25">
      <c r="A13" s="38" t="s">
        <v>1150</v>
      </c>
      <c r="B13" s="127" t="s">
        <v>595</v>
      </c>
      <c r="C13" s="128" t="s">
        <v>541</v>
      </c>
      <c r="D13" s="127" t="s">
        <v>774</v>
      </c>
      <c r="E13" s="43" t="s">
        <v>241</v>
      </c>
      <c r="F13" s="124">
        <v>39380</v>
      </c>
      <c r="G13" s="43" t="s">
        <v>241</v>
      </c>
      <c r="H13" s="124">
        <v>39380</v>
      </c>
      <c r="I13" s="43" t="s">
        <v>239</v>
      </c>
      <c r="J13" s="126"/>
      <c r="K13" s="43" t="s">
        <v>239</v>
      </c>
      <c r="L13" s="124"/>
      <c r="M13" s="44" t="s">
        <v>241</v>
      </c>
      <c r="N13" s="124">
        <v>43487</v>
      </c>
      <c r="O13" s="44" t="s">
        <v>239</v>
      </c>
      <c r="P13" s="124"/>
      <c r="Q13" s="44" t="s">
        <v>241</v>
      </c>
      <c r="R13" s="124">
        <v>41074</v>
      </c>
      <c r="S13" s="124" t="s">
        <v>241</v>
      </c>
      <c r="T13" s="124">
        <v>42549</v>
      </c>
      <c r="U13" s="44" t="s">
        <v>241</v>
      </c>
      <c r="V13" s="91">
        <v>42817</v>
      </c>
      <c r="W13" s="44" t="s">
        <v>241</v>
      </c>
      <c r="X13" s="124">
        <v>42114</v>
      </c>
      <c r="Y13" s="44" t="s">
        <v>241</v>
      </c>
      <c r="Z13" s="124">
        <v>39246</v>
      </c>
      <c r="AA13" s="44" t="s">
        <v>241</v>
      </c>
      <c r="AB13" s="124">
        <v>43188</v>
      </c>
      <c r="AC13" s="249">
        <f t="shared" ref="AC13:AC47" si="0">IF((COUNTIF(E13:AB13, "OUI")+COUNTIF(E13:AB13, "INSCRIT")+COUNTIF(E13:AB13, "NON"))&gt;0, COUNTIF(E13:AB13, "NON")/(COUNTIF(E13:AB13, "OUI")+COUNTIF(E13:AB13, "INSCRIT")+COUNTIF(E13:AB13, "NON")), 0)</f>
        <v>0.25</v>
      </c>
      <c r="AD13" s="37" t="s">
        <v>239</v>
      </c>
      <c r="AE13" s="124"/>
      <c r="AF13" s="37" t="s">
        <v>239</v>
      </c>
      <c r="AG13" s="91"/>
      <c r="AH13" s="37" t="s">
        <v>241</v>
      </c>
      <c r="AI13" s="124">
        <v>42038</v>
      </c>
      <c r="AJ13" s="37" t="s">
        <v>241</v>
      </c>
      <c r="AK13" s="42">
        <v>41459</v>
      </c>
      <c r="AL13" s="250">
        <f>COUNTIF('Liste AT'!$E$7:$E$31, "Cannes Voyageurs")</f>
        <v>0</v>
      </c>
      <c r="AM13" s="37" t="s">
        <v>241</v>
      </c>
    </row>
    <row r="14" spans="1:42" ht="16.5" customHeight="1" x14ac:dyDescent="0.25">
      <c r="A14" s="38" t="s">
        <v>1150</v>
      </c>
      <c r="B14" s="128" t="s">
        <v>1148</v>
      </c>
      <c r="C14" s="128" t="s">
        <v>1149</v>
      </c>
      <c r="D14" s="127" t="s">
        <v>1170</v>
      </c>
      <c r="E14" s="43" t="s">
        <v>239</v>
      </c>
      <c r="F14" s="124"/>
      <c r="G14" s="43" t="s">
        <v>239</v>
      </c>
      <c r="H14" s="125"/>
      <c r="I14" s="43" t="s">
        <v>239</v>
      </c>
      <c r="J14" s="124"/>
      <c r="K14" s="43" t="s">
        <v>239</v>
      </c>
      <c r="L14" s="124"/>
      <c r="M14" s="44" t="s">
        <v>241</v>
      </c>
      <c r="N14" s="124">
        <v>43844</v>
      </c>
      <c r="O14" s="44" t="s">
        <v>239</v>
      </c>
      <c r="P14" s="124"/>
      <c r="Q14" s="44" t="s">
        <v>239</v>
      </c>
      <c r="R14" s="124"/>
      <c r="S14" s="124"/>
      <c r="T14" s="124"/>
      <c r="U14" s="44" t="s">
        <v>239</v>
      </c>
      <c r="V14" s="91"/>
      <c r="W14" s="44" t="s">
        <v>241</v>
      </c>
      <c r="X14" s="124">
        <v>42822</v>
      </c>
      <c r="Y14" s="44" t="s">
        <v>239</v>
      </c>
      <c r="Z14" s="91"/>
      <c r="AA14" s="44" t="s">
        <v>241</v>
      </c>
      <c r="AB14" s="91">
        <v>42902</v>
      </c>
      <c r="AC14" s="249"/>
      <c r="AD14" s="37"/>
      <c r="AE14" s="124"/>
      <c r="AF14" s="37"/>
      <c r="AG14" s="91"/>
      <c r="AH14" s="37" t="s">
        <v>241</v>
      </c>
      <c r="AI14" s="42">
        <v>41542</v>
      </c>
      <c r="AJ14" s="37" t="s">
        <v>241</v>
      </c>
      <c r="AK14" s="42">
        <v>41505</v>
      </c>
      <c r="AL14" s="250">
        <f>COUNTIF('Liste AT'!$E$7:$E$31, "Antibes Golf Juan &amp; Juan les Pins")</f>
        <v>0</v>
      </c>
      <c r="AM14" s="37" t="s">
        <v>241</v>
      </c>
    </row>
    <row r="15" spans="1:42" ht="16.5" customHeight="1" x14ac:dyDescent="0.25">
      <c r="A15" s="38" t="s">
        <v>1150</v>
      </c>
      <c r="B15" s="128" t="s">
        <v>1</v>
      </c>
      <c r="C15" s="128" t="s">
        <v>756</v>
      </c>
      <c r="D15" s="314" t="s">
        <v>1142</v>
      </c>
      <c r="E15" s="43" t="s">
        <v>239</v>
      </c>
      <c r="F15" s="124"/>
      <c r="G15" s="43" t="s">
        <v>241</v>
      </c>
      <c r="H15" s="125">
        <v>39947</v>
      </c>
      <c r="I15" s="43" t="s">
        <v>239</v>
      </c>
      <c r="J15" s="124"/>
      <c r="K15" s="43" t="s">
        <v>241</v>
      </c>
      <c r="L15" s="124">
        <v>40072</v>
      </c>
      <c r="M15" s="44" t="s">
        <v>241</v>
      </c>
      <c r="N15" s="124">
        <v>43280</v>
      </c>
      <c r="O15" s="44" t="s">
        <v>241</v>
      </c>
      <c r="P15" s="124">
        <v>43264</v>
      </c>
      <c r="Q15" s="44" t="s">
        <v>241</v>
      </c>
      <c r="R15" s="124">
        <v>43571</v>
      </c>
      <c r="S15" s="124"/>
      <c r="T15" s="124"/>
      <c r="U15" s="44" t="s">
        <v>241</v>
      </c>
      <c r="V15" s="91">
        <v>42810</v>
      </c>
      <c r="W15" s="44" t="s">
        <v>241</v>
      </c>
      <c r="X15" s="124">
        <v>43384</v>
      </c>
      <c r="Y15" s="44" t="s">
        <v>239</v>
      </c>
      <c r="Z15" s="91"/>
      <c r="AA15" s="44" t="s">
        <v>239</v>
      </c>
      <c r="AB15" s="91"/>
      <c r="AC15" s="249">
        <f t="shared" si="0"/>
        <v>0.36363636363636365</v>
      </c>
      <c r="AD15" s="37" t="s">
        <v>239</v>
      </c>
      <c r="AE15" s="124"/>
      <c r="AF15" s="37"/>
      <c r="AG15" s="91"/>
      <c r="AH15" s="37"/>
      <c r="AI15" s="42"/>
      <c r="AJ15" s="37"/>
      <c r="AK15" s="42"/>
      <c r="AL15" s="250">
        <f>COUNTIF('Liste AT'!$E$7:$E$31, "Secteur Esterel / RSC Esterel")</f>
        <v>0</v>
      </c>
      <c r="AM15" s="37" t="s">
        <v>241</v>
      </c>
    </row>
    <row r="16" spans="1:42" ht="16.5" customHeight="1" x14ac:dyDescent="0.25">
      <c r="A16" s="38" t="s">
        <v>1150</v>
      </c>
      <c r="B16" s="128" t="s">
        <v>6</v>
      </c>
      <c r="C16" s="128" t="s">
        <v>7</v>
      </c>
      <c r="D16" s="128" t="s">
        <v>1171</v>
      </c>
      <c r="E16" s="43" t="s">
        <v>239</v>
      </c>
      <c r="F16" s="124"/>
      <c r="G16" s="43" t="s">
        <v>239</v>
      </c>
      <c r="H16" s="125"/>
      <c r="I16" s="43" t="s">
        <v>241</v>
      </c>
      <c r="J16" s="124">
        <v>42052</v>
      </c>
      <c r="K16" s="43" t="s">
        <v>241</v>
      </c>
      <c r="L16" s="124">
        <v>43010</v>
      </c>
      <c r="M16" s="44" t="s">
        <v>241</v>
      </c>
      <c r="N16" s="124">
        <v>43280</v>
      </c>
      <c r="O16" s="44" t="s">
        <v>241</v>
      </c>
      <c r="P16" s="124">
        <v>42053</v>
      </c>
      <c r="Q16" s="44" t="s">
        <v>241</v>
      </c>
      <c r="R16" s="124">
        <v>42054</v>
      </c>
      <c r="S16" s="124" t="s">
        <v>241</v>
      </c>
      <c r="T16" s="124">
        <v>41921</v>
      </c>
      <c r="U16" s="44" t="s">
        <v>241</v>
      </c>
      <c r="V16" s="91">
        <v>42817</v>
      </c>
      <c r="W16" s="44" t="s">
        <v>241</v>
      </c>
      <c r="X16" s="124">
        <v>43110</v>
      </c>
      <c r="Y16" s="44" t="s">
        <v>255</v>
      </c>
      <c r="Z16" s="91"/>
      <c r="AA16" s="44" t="s">
        <v>241</v>
      </c>
      <c r="AB16" s="91">
        <v>42902</v>
      </c>
      <c r="AC16" s="249">
        <f t="shared" si="0"/>
        <v>0.18181818181818182</v>
      </c>
      <c r="AD16" s="37" t="s">
        <v>241</v>
      </c>
      <c r="AE16" s="124"/>
      <c r="AF16" s="37" t="s">
        <v>241</v>
      </c>
      <c r="AG16" s="91"/>
      <c r="AH16" s="37" t="s">
        <v>241</v>
      </c>
      <c r="AI16" s="42">
        <v>41407</v>
      </c>
      <c r="AJ16" s="37" t="s">
        <v>241</v>
      </c>
      <c r="AK16" s="42">
        <v>41411</v>
      </c>
      <c r="AL16" s="250">
        <f>COUNTIF('Liste AT'!$E$7:$E$31, "Ligne Ouest/Agent de la relation Client Ouest")</f>
        <v>0</v>
      </c>
      <c r="AM16" s="37" t="s">
        <v>241</v>
      </c>
    </row>
    <row r="17" spans="1:39" ht="16.5" customHeight="1" x14ac:dyDescent="0.25">
      <c r="A17" s="38" t="s">
        <v>1147</v>
      </c>
      <c r="B17" s="128" t="s">
        <v>0</v>
      </c>
      <c r="C17" s="128" t="s">
        <v>260</v>
      </c>
      <c r="D17" s="45"/>
      <c r="E17" s="43" t="s">
        <v>241</v>
      </c>
      <c r="F17" s="124">
        <v>41605</v>
      </c>
      <c r="G17" s="43" t="s">
        <v>241</v>
      </c>
      <c r="H17" s="124">
        <v>41605</v>
      </c>
      <c r="I17" s="43" t="s">
        <v>241</v>
      </c>
      <c r="J17" s="124">
        <v>41604</v>
      </c>
      <c r="K17" s="43" t="s">
        <v>255</v>
      </c>
      <c r="L17" s="124"/>
      <c r="M17" s="44" t="s">
        <v>241</v>
      </c>
      <c r="N17" s="124">
        <v>43280</v>
      </c>
      <c r="O17" s="44" t="s">
        <v>255</v>
      </c>
      <c r="P17" s="124"/>
      <c r="Q17" s="44" t="s">
        <v>239</v>
      </c>
      <c r="R17" s="124"/>
      <c r="S17" s="124" t="s">
        <v>241</v>
      </c>
      <c r="T17" s="124">
        <v>41921</v>
      </c>
      <c r="U17" s="44" t="s">
        <v>241</v>
      </c>
      <c r="V17" s="91">
        <v>42716</v>
      </c>
      <c r="W17" s="44" t="s">
        <v>241</v>
      </c>
      <c r="X17" s="124">
        <v>42342</v>
      </c>
      <c r="Y17" s="44" t="s">
        <v>255</v>
      </c>
      <c r="Z17" s="91"/>
      <c r="AA17" s="44" t="s">
        <v>241</v>
      </c>
      <c r="AB17" s="91">
        <v>42894</v>
      </c>
      <c r="AC17" s="249">
        <f>IF((COUNTIF(E17:AB17, "OUI")+COUNTIF(E17:AB17, "INSCRIT")+COUNTIF(E17:AB17, "NON"))&gt;0, COUNTIF(E17:AB17, "NON")/(COUNTIF(E17:AB17, "OUI")+COUNTIF(E17:AB17, "INSCRIT")+COUNTIF(E17:AB17, "NON")), 0)</f>
        <v>0.1111111111111111</v>
      </c>
      <c r="AD17" s="37" t="s">
        <v>239</v>
      </c>
      <c r="AE17" s="126"/>
      <c r="AF17" s="37" t="s">
        <v>239</v>
      </c>
      <c r="AG17" s="91"/>
      <c r="AH17" s="37" t="s">
        <v>241</v>
      </c>
      <c r="AI17" s="42">
        <v>41464</v>
      </c>
      <c r="AJ17" s="37" t="s">
        <v>241</v>
      </c>
      <c r="AK17" s="248">
        <v>41505</v>
      </c>
      <c r="AL17" s="250">
        <f>COUNTIF('Liste AT'!$E$7:$E$31, "Siège UO TER EST")</f>
        <v>0</v>
      </c>
      <c r="AM17" s="37" t="s">
        <v>239</v>
      </c>
    </row>
    <row r="18" spans="1:39" ht="16.5" customHeight="1" x14ac:dyDescent="0.25">
      <c r="A18" s="38" t="s">
        <v>1150</v>
      </c>
      <c r="B18" s="127" t="s">
        <v>600</v>
      </c>
      <c r="C18" s="127" t="s">
        <v>601</v>
      </c>
      <c r="D18" s="127" t="s">
        <v>1144</v>
      </c>
      <c r="E18" s="43" t="s">
        <v>241</v>
      </c>
      <c r="F18" s="124">
        <v>40331</v>
      </c>
      <c r="G18" s="43" t="s">
        <v>239</v>
      </c>
      <c r="H18" s="124"/>
      <c r="I18" s="43" t="s">
        <v>239</v>
      </c>
      <c r="J18" s="126"/>
      <c r="K18" s="43" t="s">
        <v>239</v>
      </c>
      <c r="L18" s="124"/>
      <c r="M18" s="44" t="s">
        <v>241</v>
      </c>
      <c r="N18" s="124">
        <v>43473</v>
      </c>
      <c r="O18" s="44" t="s">
        <v>239</v>
      </c>
      <c r="P18" s="124"/>
      <c r="Q18" s="44" t="s">
        <v>241</v>
      </c>
      <c r="R18" s="124">
        <v>43251</v>
      </c>
      <c r="S18" s="124" t="s">
        <v>241</v>
      </c>
      <c r="T18" s="124">
        <v>42549</v>
      </c>
      <c r="U18" s="44" t="s">
        <v>241</v>
      </c>
      <c r="V18" s="91">
        <v>42817</v>
      </c>
      <c r="W18" s="44" t="s">
        <v>255</v>
      </c>
      <c r="X18" s="124"/>
      <c r="Y18" s="44" t="s">
        <v>255</v>
      </c>
      <c r="Z18" s="91"/>
      <c r="AA18" s="44" t="s">
        <v>241</v>
      </c>
      <c r="AB18" s="91">
        <v>42894</v>
      </c>
      <c r="AC18" s="249">
        <f>IF((COUNTIF(E18:AB18, "OUI")+COUNTIF(E18:AB18, "INSCRIT")+COUNTIF(E18:AB18, "NON"))&gt;0, COUNTIF(E18:AB18, "NON")/(COUNTIF(E18:AB18, "OUI")+COUNTIF(E18:AB18, "INSCRIT")+COUNTIF(E18:AB18, "NON")), 0)</f>
        <v>0.4</v>
      </c>
      <c r="AD18" s="37" t="s">
        <v>239</v>
      </c>
      <c r="AE18" s="126"/>
      <c r="AF18" s="37" t="s">
        <v>239</v>
      </c>
      <c r="AG18" s="91"/>
      <c r="AH18" s="37" t="s">
        <v>241</v>
      </c>
      <c r="AI18" s="248">
        <v>41491</v>
      </c>
      <c r="AJ18" s="37" t="s">
        <v>241</v>
      </c>
      <c r="AK18" s="248">
        <v>41505</v>
      </c>
      <c r="AL18" s="250"/>
      <c r="AM18" s="37" t="s">
        <v>241</v>
      </c>
    </row>
    <row r="19" spans="1:39" ht="16.5" customHeight="1" x14ac:dyDescent="0.25">
      <c r="A19" s="38" t="s">
        <v>1150</v>
      </c>
      <c r="B19" s="128" t="s">
        <v>831</v>
      </c>
      <c r="C19" s="128" t="s">
        <v>832</v>
      </c>
      <c r="D19" s="127" t="s">
        <v>833</v>
      </c>
      <c r="E19" s="43" t="s">
        <v>239</v>
      </c>
      <c r="F19" s="124"/>
      <c r="G19" s="43" t="s">
        <v>239</v>
      </c>
      <c r="H19" s="124"/>
      <c r="I19" s="43" t="s">
        <v>239</v>
      </c>
      <c r="J19" s="124"/>
      <c r="K19" s="43" t="s">
        <v>239</v>
      </c>
      <c r="L19" s="124"/>
      <c r="M19" s="44" t="s">
        <v>241</v>
      </c>
      <c r="N19" s="124">
        <v>43473</v>
      </c>
      <c r="O19" s="44" t="s">
        <v>239</v>
      </c>
      <c r="P19" s="124"/>
      <c r="Q19" s="44" t="s">
        <v>239</v>
      </c>
      <c r="R19" s="124"/>
      <c r="S19" s="124"/>
      <c r="T19" s="124"/>
      <c r="U19" s="44" t="s">
        <v>239</v>
      </c>
      <c r="V19" s="91"/>
      <c r="W19" s="44" t="s">
        <v>239</v>
      </c>
      <c r="X19" s="124"/>
      <c r="Y19" s="44" t="s">
        <v>239</v>
      </c>
      <c r="Z19" s="91"/>
      <c r="AA19" s="44" t="s">
        <v>241</v>
      </c>
      <c r="AB19" s="91">
        <v>42887</v>
      </c>
      <c r="AC19" s="249"/>
      <c r="AD19" s="37"/>
      <c r="AE19" s="124"/>
      <c r="AF19" s="37"/>
      <c r="AG19" s="91"/>
      <c r="AH19" s="37"/>
      <c r="AI19" s="124"/>
      <c r="AJ19" s="37"/>
      <c r="AK19" s="42"/>
      <c r="AL19" s="250"/>
      <c r="AM19" s="37"/>
    </row>
    <row r="20" spans="1:39" ht="16.5" customHeight="1" x14ac:dyDescent="0.25">
      <c r="A20" s="38" t="s">
        <v>1150</v>
      </c>
      <c r="B20" s="128" t="s">
        <v>784</v>
      </c>
      <c r="C20" s="128" t="s">
        <v>772</v>
      </c>
      <c r="D20" s="127" t="s">
        <v>1172</v>
      </c>
      <c r="E20" s="43" t="s">
        <v>239</v>
      </c>
      <c r="F20" s="124"/>
      <c r="G20" s="43" t="s">
        <v>239</v>
      </c>
      <c r="H20" s="124"/>
      <c r="I20" s="43" t="s">
        <v>239</v>
      </c>
      <c r="J20" s="124"/>
      <c r="K20" s="43" t="s">
        <v>241</v>
      </c>
      <c r="L20" s="124">
        <v>38986</v>
      </c>
      <c r="M20" s="44" t="s">
        <v>239</v>
      </c>
      <c r="N20" s="124"/>
      <c r="O20" s="44" t="s">
        <v>239</v>
      </c>
      <c r="P20" s="124"/>
      <c r="Q20" s="44" t="s">
        <v>239</v>
      </c>
      <c r="R20" s="124"/>
      <c r="S20" s="124"/>
      <c r="T20" s="124"/>
      <c r="U20" s="44" t="s">
        <v>239</v>
      </c>
      <c r="V20" s="91"/>
      <c r="W20" s="44" t="s">
        <v>239</v>
      </c>
      <c r="X20" s="124"/>
      <c r="Y20" s="44" t="s">
        <v>239</v>
      </c>
      <c r="Z20" s="91"/>
      <c r="AA20" s="44" t="s">
        <v>241</v>
      </c>
      <c r="AB20" s="91">
        <v>42902</v>
      </c>
      <c r="AC20" s="249">
        <f t="shared" si="0"/>
        <v>0.81818181818181823</v>
      </c>
      <c r="AD20" s="37" t="s">
        <v>239</v>
      </c>
      <c r="AE20" s="124"/>
      <c r="AF20" s="37"/>
      <c r="AG20" s="91"/>
      <c r="AH20" s="37"/>
      <c r="AI20" s="124"/>
      <c r="AJ20" s="37"/>
      <c r="AK20" s="42"/>
      <c r="AL20" s="250">
        <f>COUNTIF('Liste AT'!$E$7:$E$31, "Equipe mobile Ligne Est &amp; Merveilles/RSC Merveilles")</f>
        <v>0</v>
      </c>
      <c r="AM20" s="37" t="s">
        <v>239</v>
      </c>
    </row>
    <row r="21" spans="1:39" ht="16.5" customHeight="1" x14ac:dyDescent="0.25">
      <c r="A21" s="38" t="s">
        <v>1150</v>
      </c>
      <c r="B21" s="128" t="s">
        <v>722</v>
      </c>
      <c r="C21" s="128" t="s">
        <v>723</v>
      </c>
      <c r="D21" s="128" t="s">
        <v>1173</v>
      </c>
      <c r="E21" s="43" t="s">
        <v>241</v>
      </c>
      <c r="F21" s="124">
        <v>39947</v>
      </c>
      <c r="G21" s="43" t="s">
        <v>241</v>
      </c>
      <c r="H21" s="125">
        <v>39177</v>
      </c>
      <c r="I21" s="43" t="s">
        <v>241</v>
      </c>
      <c r="J21" s="124">
        <v>39177</v>
      </c>
      <c r="K21" s="43" t="s">
        <v>241</v>
      </c>
      <c r="L21" s="124">
        <v>43010</v>
      </c>
      <c r="M21" s="44" t="s">
        <v>241</v>
      </c>
      <c r="N21" s="124">
        <v>43370</v>
      </c>
      <c r="O21" s="44" t="s">
        <v>239</v>
      </c>
      <c r="P21" s="124"/>
      <c r="Q21" s="44" t="s">
        <v>241</v>
      </c>
      <c r="R21" s="124">
        <v>43571</v>
      </c>
      <c r="S21" s="124" t="s">
        <v>241</v>
      </c>
      <c r="T21" s="124">
        <v>42810</v>
      </c>
      <c r="U21" s="44" t="s">
        <v>241</v>
      </c>
      <c r="V21" s="91">
        <v>42810</v>
      </c>
      <c r="W21" s="44" t="s">
        <v>241</v>
      </c>
      <c r="X21" s="124">
        <v>42053</v>
      </c>
      <c r="Y21" s="44" t="s">
        <v>255</v>
      </c>
      <c r="Z21" s="91"/>
      <c r="AA21" s="44" t="s">
        <v>241</v>
      </c>
      <c r="AB21" s="91">
        <v>43557</v>
      </c>
      <c r="AC21" s="249">
        <f t="shared" si="0"/>
        <v>9.0909090909090912E-2</v>
      </c>
      <c r="AD21" s="37" t="s">
        <v>241</v>
      </c>
      <c r="AE21" s="124">
        <v>43525</v>
      </c>
      <c r="AF21" s="37" t="s">
        <v>239</v>
      </c>
      <c r="AG21" s="91"/>
      <c r="AH21" s="37" t="s">
        <v>241</v>
      </c>
      <c r="AI21" s="42">
        <v>41617</v>
      </c>
      <c r="AJ21" s="37" t="s">
        <v>241</v>
      </c>
      <c r="AK21" s="42">
        <v>41480</v>
      </c>
      <c r="AL21" s="250">
        <f>COUNTIF('Liste AT'!$E$7:$E$31, "Agent de la relation client Est")</f>
        <v>0</v>
      </c>
      <c r="AM21" s="37" t="s">
        <v>241</v>
      </c>
    </row>
    <row r="22" spans="1:39" ht="16.5" customHeight="1" x14ac:dyDescent="0.25">
      <c r="A22" s="38" t="s">
        <v>1150</v>
      </c>
      <c r="B22" s="127" t="s">
        <v>676</v>
      </c>
      <c r="C22" s="127" t="s">
        <v>677</v>
      </c>
      <c r="D22" s="128" t="s">
        <v>775</v>
      </c>
      <c r="E22" s="43" t="s">
        <v>239</v>
      </c>
      <c r="F22" s="124"/>
      <c r="G22" s="43" t="s">
        <v>239</v>
      </c>
      <c r="H22" s="124"/>
      <c r="I22" s="43" t="s">
        <v>241</v>
      </c>
      <c r="J22" s="124">
        <v>41331</v>
      </c>
      <c r="K22" s="43" t="s">
        <v>241</v>
      </c>
      <c r="L22" s="124">
        <v>43010</v>
      </c>
      <c r="M22" s="44" t="s">
        <v>239</v>
      </c>
      <c r="N22" s="124"/>
      <c r="O22" s="44" t="s">
        <v>241</v>
      </c>
      <c r="P22" s="124">
        <v>41436</v>
      </c>
      <c r="Q22" s="44" t="s">
        <v>241</v>
      </c>
      <c r="R22" s="124">
        <v>40290</v>
      </c>
      <c r="S22" s="124" t="s">
        <v>241</v>
      </c>
      <c r="T22" s="124">
        <v>42549</v>
      </c>
      <c r="U22" s="44" t="s">
        <v>239</v>
      </c>
      <c r="V22" s="91"/>
      <c r="W22" s="44" t="s">
        <v>241</v>
      </c>
      <c r="X22" s="124">
        <v>40629</v>
      </c>
      <c r="Y22" s="44" t="s">
        <v>241</v>
      </c>
      <c r="Z22" s="91">
        <v>39133</v>
      </c>
      <c r="AA22" s="44" t="s">
        <v>239</v>
      </c>
      <c r="AB22" s="91"/>
      <c r="AC22" s="249">
        <f t="shared" si="0"/>
        <v>0.41666666666666669</v>
      </c>
      <c r="AD22" s="37" t="s">
        <v>537</v>
      </c>
      <c r="AE22" s="124"/>
      <c r="AF22" s="37" t="s">
        <v>239</v>
      </c>
      <c r="AG22" s="91"/>
      <c r="AH22" s="37" t="s">
        <v>241</v>
      </c>
      <c r="AI22" s="42">
        <v>41617</v>
      </c>
      <c r="AJ22" s="37" t="s">
        <v>241</v>
      </c>
      <c r="AK22" s="42">
        <v>41459</v>
      </c>
      <c r="AL22" s="250">
        <f>COUNTIF('Liste AT'!$E$7:$E$31, "Secteur Menton-Vintimille")</f>
        <v>0</v>
      </c>
      <c r="AM22" s="37" t="s">
        <v>239</v>
      </c>
    </row>
    <row r="23" spans="1:39" ht="16.5" customHeight="1" x14ac:dyDescent="0.25">
      <c r="A23" s="38" t="s">
        <v>1150</v>
      </c>
      <c r="B23" s="127" t="s">
        <v>261</v>
      </c>
      <c r="C23" s="127" t="s">
        <v>602</v>
      </c>
      <c r="D23" s="127" t="s">
        <v>1174</v>
      </c>
      <c r="E23" s="43" t="s">
        <v>241</v>
      </c>
      <c r="F23" s="124">
        <v>40001</v>
      </c>
      <c r="G23" s="43" t="s">
        <v>241</v>
      </c>
      <c r="H23" s="125">
        <v>41452</v>
      </c>
      <c r="I23" s="43" t="s">
        <v>241</v>
      </c>
      <c r="J23" s="124">
        <v>41310</v>
      </c>
      <c r="K23" s="43" t="s">
        <v>239</v>
      </c>
      <c r="L23" s="124"/>
      <c r="M23" s="44" t="s">
        <v>241</v>
      </c>
      <c r="N23" s="124">
        <v>43480</v>
      </c>
      <c r="O23" s="44" t="s">
        <v>241</v>
      </c>
      <c r="P23" s="124">
        <v>40241</v>
      </c>
      <c r="Q23" s="44" t="s">
        <v>241</v>
      </c>
      <c r="R23" s="124">
        <v>41024</v>
      </c>
      <c r="S23" s="124" t="s">
        <v>241</v>
      </c>
      <c r="T23" s="124">
        <v>42801</v>
      </c>
      <c r="U23" s="44" t="s">
        <v>241</v>
      </c>
      <c r="V23" s="91">
        <v>42824</v>
      </c>
      <c r="W23" s="44" t="s">
        <v>241</v>
      </c>
      <c r="X23" s="124">
        <v>43851</v>
      </c>
      <c r="Y23" s="44" t="s">
        <v>255</v>
      </c>
      <c r="Z23" s="91"/>
      <c r="AA23" s="44" t="s">
        <v>239</v>
      </c>
      <c r="AB23" s="91"/>
      <c r="AC23" s="249">
        <f t="shared" si="0"/>
        <v>0.18181818181818182</v>
      </c>
      <c r="AD23" s="37" t="s">
        <v>241</v>
      </c>
      <c r="AE23" s="124"/>
      <c r="AF23" s="37" t="s">
        <v>239</v>
      </c>
      <c r="AG23" s="91"/>
      <c r="AH23" s="37" t="s">
        <v>241</v>
      </c>
      <c r="AI23" s="42">
        <v>41381</v>
      </c>
      <c r="AJ23" s="37" t="s">
        <v>241</v>
      </c>
      <c r="AK23" s="42"/>
      <c r="AL23" s="250">
        <f>COUNTIF('Liste AT'!$E$7:$E$31, "COE Nice")</f>
        <v>0</v>
      </c>
      <c r="AM23" s="37" t="s">
        <v>241</v>
      </c>
    </row>
    <row r="24" spans="1:39" ht="16.5" customHeight="1" x14ac:dyDescent="0.25">
      <c r="A24" s="38" t="s">
        <v>270</v>
      </c>
      <c r="B24" s="128" t="s">
        <v>1151</v>
      </c>
      <c r="C24" s="128" t="s">
        <v>1152</v>
      </c>
      <c r="D24" s="127" t="s">
        <v>1153</v>
      </c>
      <c r="E24" s="43" t="s">
        <v>239</v>
      </c>
      <c r="F24" s="124"/>
      <c r="G24" s="43" t="s">
        <v>239</v>
      </c>
      <c r="H24" s="124"/>
      <c r="I24" s="43" t="s">
        <v>239</v>
      </c>
      <c r="J24" s="124"/>
      <c r="K24" s="43" t="s">
        <v>239</v>
      </c>
      <c r="L24" s="124"/>
      <c r="M24" s="44" t="s">
        <v>241</v>
      </c>
      <c r="N24" s="124">
        <v>42110</v>
      </c>
      <c r="O24" s="44" t="s">
        <v>239</v>
      </c>
      <c r="P24" s="124"/>
      <c r="Q24" s="44" t="s">
        <v>239</v>
      </c>
      <c r="R24" s="124"/>
      <c r="S24" s="124"/>
      <c r="T24" s="124"/>
      <c r="U24" s="44" t="s">
        <v>239</v>
      </c>
      <c r="V24" s="91"/>
      <c r="W24" s="44" t="s">
        <v>239</v>
      </c>
      <c r="X24" s="124"/>
      <c r="Y24" s="44" t="s">
        <v>239</v>
      </c>
      <c r="Z24" s="91"/>
      <c r="AA24" s="44" t="s">
        <v>239</v>
      </c>
      <c r="AB24" s="91"/>
      <c r="AC24" s="249"/>
      <c r="AD24" s="37"/>
      <c r="AE24" s="124"/>
      <c r="AF24" s="37"/>
      <c r="AG24" s="91"/>
      <c r="AH24" s="37"/>
      <c r="AI24" s="42"/>
      <c r="AJ24" s="37"/>
      <c r="AK24" s="42"/>
      <c r="AL24" s="250"/>
      <c r="AM24" s="37"/>
    </row>
    <row r="25" spans="1:39" ht="16.5" customHeight="1" x14ac:dyDescent="0.25">
      <c r="A25" s="38" t="s">
        <v>270</v>
      </c>
      <c r="B25" s="128" t="s">
        <v>257</v>
      </c>
      <c r="C25" s="128" t="s">
        <v>74</v>
      </c>
      <c r="D25" s="127" t="s">
        <v>680</v>
      </c>
      <c r="E25" s="43" t="s">
        <v>241</v>
      </c>
      <c r="F25" s="124">
        <v>40731</v>
      </c>
      <c r="G25" s="43" t="s">
        <v>239</v>
      </c>
      <c r="H25" s="124"/>
      <c r="I25" s="43" t="s">
        <v>239</v>
      </c>
      <c r="J25" s="126"/>
      <c r="K25" s="43" t="s">
        <v>255</v>
      </c>
      <c r="L25" s="124"/>
      <c r="M25" s="44" t="s">
        <v>241</v>
      </c>
      <c r="N25" s="124">
        <v>43280</v>
      </c>
      <c r="O25" s="44" t="s">
        <v>255</v>
      </c>
      <c r="P25" s="124"/>
      <c r="Q25" s="44" t="s">
        <v>239</v>
      </c>
      <c r="R25" s="124"/>
      <c r="S25" s="124"/>
      <c r="T25" s="124"/>
      <c r="U25" s="44" t="s">
        <v>239</v>
      </c>
      <c r="V25" s="91"/>
      <c r="W25" s="44" t="s">
        <v>255</v>
      </c>
      <c r="X25" s="124"/>
      <c r="Y25" s="44" t="s">
        <v>255</v>
      </c>
      <c r="Z25" s="91"/>
      <c r="AA25" s="44" t="s">
        <v>239</v>
      </c>
      <c r="AB25" s="91"/>
      <c r="AC25" s="249">
        <f>IF((COUNTIF(E25:AB25, "OUI")+COUNTIF(E25:AB25, "INSCRIT")+COUNTIF(E25:AB25, "NON"))&gt;0, COUNTIF(E25:AB25, "NON")/(COUNTIF(E25:AB25, "OUI")+COUNTIF(E25:AB25, "INSCRIT")+COUNTIF(E25:AB25, "NON")), 0)</f>
        <v>0.7142857142857143</v>
      </c>
      <c r="AD25" s="37" t="s">
        <v>239</v>
      </c>
      <c r="AE25" s="126"/>
      <c r="AF25" s="37" t="s">
        <v>239</v>
      </c>
      <c r="AG25" s="91"/>
      <c r="AH25" s="37" t="s">
        <v>241</v>
      </c>
      <c r="AI25" s="248">
        <v>41449</v>
      </c>
      <c r="AJ25" s="37" t="s">
        <v>241</v>
      </c>
      <c r="AK25" s="248">
        <v>41505</v>
      </c>
      <c r="AL25" s="250"/>
      <c r="AM25" s="37" t="s">
        <v>241</v>
      </c>
    </row>
    <row r="26" spans="1:39" ht="16.5" customHeight="1" x14ac:dyDescent="0.25">
      <c r="A26" s="38" t="s">
        <v>1147</v>
      </c>
      <c r="B26" s="127" t="s">
        <v>679</v>
      </c>
      <c r="C26" s="127" t="s">
        <v>678</v>
      </c>
      <c r="D26" s="128" t="s">
        <v>1175</v>
      </c>
      <c r="E26" s="43" t="s">
        <v>241</v>
      </c>
      <c r="F26" s="124">
        <v>41592</v>
      </c>
      <c r="G26" s="43"/>
      <c r="H26" s="124"/>
      <c r="I26" s="43" t="s">
        <v>239</v>
      </c>
      <c r="J26" s="124"/>
      <c r="K26" s="43" t="s">
        <v>239</v>
      </c>
      <c r="L26" s="124"/>
      <c r="M26" s="44" t="s">
        <v>241</v>
      </c>
      <c r="N26" s="124">
        <v>43370</v>
      </c>
      <c r="O26" s="44" t="s">
        <v>241</v>
      </c>
      <c r="P26" s="124">
        <v>39786</v>
      </c>
      <c r="Q26" s="44" t="s">
        <v>239</v>
      </c>
      <c r="R26" s="124"/>
      <c r="S26" s="124" t="s">
        <v>241</v>
      </c>
      <c r="T26" s="124">
        <v>42656</v>
      </c>
      <c r="U26" s="44" t="s">
        <v>241</v>
      </c>
      <c r="V26" s="91">
        <v>42667</v>
      </c>
      <c r="W26" s="44" t="s">
        <v>239</v>
      </c>
      <c r="X26" s="124"/>
      <c r="Y26" s="44" t="s">
        <v>239</v>
      </c>
      <c r="Z26" s="91"/>
      <c r="AA26" s="44" t="s">
        <v>241</v>
      </c>
      <c r="AB26" s="91">
        <v>43391</v>
      </c>
      <c r="AC26" s="249">
        <f t="shared" si="0"/>
        <v>0.45454545454545453</v>
      </c>
      <c r="AD26" s="37"/>
      <c r="AE26" s="124"/>
      <c r="AF26" s="37" t="s">
        <v>239</v>
      </c>
      <c r="AG26" s="91"/>
      <c r="AH26" s="37"/>
      <c r="AI26" s="42"/>
      <c r="AJ26" s="37"/>
      <c r="AK26" s="42"/>
      <c r="AL26" s="250">
        <f>COUNTIF('Liste AT'!$E$7:$E$31, "Pôle QP")</f>
        <v>0</v>
      </c>
      <c r="AM26" s="37" t="s">
        <v>241</v>
      </c>
    </row>
    <row r="27" spans="1:39" ht="16.5" customHeight="1" x14ac:dyDescent="0.25">
      <c r="A27" s="38" t="s">
        <v>270</v>
      </c>
      <c r="B27" s="127" t="s">
        <v>625</v>
      </c>
      <c r="C27" s="127" t="s">
        <v>626</v>
      </c>
      <c r="D27" s="127" t="s">
        <v>1176</v>
      </c>
      <c r="E27" s="43" t="s">
        <v>239</v>
      </c>
      <c r="F27" s="124"/>
      <c r="G27" s="43" t="s">
        <v>239</v>
      </c>
      <c r="H27" s="124"/>
      <c r="I27" s="43" t="s">
        <v>239</v>
      </c>
      <c r="J27" s="124"/>
      <c r="K27" s="43" t="s">
        <v>255</v>
      </c>
      <c r="L27" s="124"/>
      <c r="M27" s="44" t="s">
        <v>239</v>
      </c>
      <c r="N27" s="124"/>
      <c r="O27" s="44" t="s">
        <v>255</v>
      </c>
      <c r="P27" s="124"/>
      <c r="Q27" s="44" t="s">
        <v>255</v>
      </c>
      <c r="R27" s="124"/>
      <c r="S27" s="124"/>
      <c r="T27" s="124"/>
      <c r="U27" s="44" t="s">
        <v>239</v>
      </c>
      <c r="V27" s="91"/>
      <c r="W27" s="44" t="s">
        <v>255</v>
      </c>
      <c r="X27" s="124"/>
      <c r="Y27" s="44" t="s">
        <v>255</v>
      </c>
      <c r="Z27" s="91"/>
      <c r="AA27" s="44" t="s">
        <v>239</v>
      </c>
      <c r="AB27" s="91"/>
      <c r="AC27" s="249">
        <f t="shared" si="0"/>
        <v>1</v>
      </c>
      <c r="AD27" s="37" t="s">
        <v>239</v>
      </c>
      <c r="AE27" s="124"/>
      <c r="AF27" s="37" t="s">
        <v>239</v>
      </c>
      <c r="AG27" s="91"/>
      <c r="AH27" s="37" t="s">
        <v>241</v>
      </c>
      <c r="AI27" s="42">
        <v>41474</v>
      </c>
      <c r="AJ27" s="37" t="s">
        <v>241</v>
      </c>
      <c r="AK27" s="42">
        <v>41505</v>
      </c>
      <c r="AL27" s="250">
        <f>COUNTIF('Liste AT'!$E$7:$E$31, "Pôle RH")</f>
        <v>0</v>
      </c>
      <c r="AM27" s="37" t="s">
        <v>239</v>
      </c>
    </row>
    <row r="28" spans="1:39" ht="16.5" customHeight="1" x14ac:dyDescent="0.25">
      <c r="A28" s="38" t="s">
        <v>1147</v>
      </c>
      <c r="B28" s="127" t="s">
        <v>681</v>
      </c>
      <c r="C28" s="127" t="s">
        <v>682</v>
      </c>
      <c r="D28" s="128" t="s">
        <v>1177</v>
      </c>
      <c r="E28" s="43" t="s">
        <v>239</v>
      </c>
      <c r="F28" s="124"/>
      <c r="G28" s="43" t="s">
        <v>239</v>
      </c>
      <c r="H28" s="124"/>
      <c r="I28" s="43" t="s">
        <v>239</v>
      </c>
      <c r="J28" s="124"/>
      <c r="K28" s="43" t="s">
        <v>239</v>
      </c>
      <c r="L28" s="124"/>
      <c r="M28" s="44" t="s">
        <v>241</v>
      </c>
      <c r="N28" s="124">
        <v>43370</v>
      </c>
      <c r="O28" s="44" t="s">
        <v>239</v>
      </c>
      <c r="P28" s="124"/>
      <c r="Q28" s="44" t="s">
        <v>241</v>
      </c>
      <c r="R28" s="124">
        <v>42171</v>
      </c>
      <c r="S28" s="124" t="s">
        <v>241</v>
      </c>
      <c r="T28" s="124">
        <v>42635</v>
      </c>
      <c r="U28" s="44" t="s">
        <v>241</v>
      </c>
      <c r="V28" s="91">
        <v>42653</v>
      </c>
      <c r="W28" s="44" t="s">
        <v>239</v>
      </c>
      <c r="X28" s="124"/>
      <c r="Y28" s="44" t="s">
        <v>239</v>
      </c>
      <c r="Z28" s="91"/>
      <c r="AA28" s="44" t="s">
        <v>241</v>
      </c>
      <c r="AB28" s="91">
        <v>43118</v>
      </c>
      <c r="AC28" s="249">
        <f>IF((COUNTIF(E28:AB28, "OUI")+COUNTIF(E28:AB28, "INSCRIT")+COUNTIF(E28:AB28, "NON"))&gt;0, COUNTIF(E28:AB28, "NON")/(COUNTIF(E28:AB28, "OUI")+COUNTIF(E28:AB28, "INSCRIT")+COUNTIF(E28:AB28, "NON")), 0)</f>
        <v>0.58333333333333337</v>
      </c>
      <c r="AD28" s="37"/>
      <c r="AE28" s="126"/>
      <c r="AF28" s="37"/>
      <c r="AG28" s="91"/>
      <c r="AH28" s="37"/>
      <c r="AI28" s="248"/>
      <c r="AJ28" s="37"/>
      <c r="AK28" s="248"/>
      <c r="AL28" s="250">
        <f>COUNTIF('Liste AT'!$E$7:$E$31, "Pôle S")</f>
        <v>0</v>
      </c>
      <c r="AM28" s="37" t="s">
        <v>241</v>
      </c>
    </row>
    <row r="29" spans="1:39" ht="16.5" customHeight="1" x14ac:dyDescent="0.25">
      <c r="A29" s="38" t="s">
        <v>1147</v>
      </c>
      <c r="B29" s="127" t="s">
        <v>258</v>
      </c>
      <c r="C29" s="127" t="s">
        <v>70</v>
      </c>
      <c r="D29" s="127" t="s">
        <v>1177</v>
      </c>
      <c r="E29" s="43" t="s">
        <v>239</v>
      </c>
      <c r="F29" s="124"/>
      <c r="G29" s="43" t="s">
        <v>239</v>
      </c>
      <c r="H29" s="124"/>
      <c r="I29" s="43" t="s">
        <v>239</v>
      </c>
      <c r="J29" s="126"/>
      <c r="K29" s="43" t="s">
        <v>239</v>
      </c>
      <c r="L29" s="124"/>
      <c r="M29" s="44" t="s">
        <v>241</v>
      </c>
      <c r="N29" s="124">
        <v>43363</v>
      </c>
      <c r="O29" s="44" t="s">
        <v>255</v>
      </c>
      <c r="P29" s="124"/>
      <c r="Q29" s="44" t="s">
        <v>255</v>
      </c>
      <c r="R29" s="124"/>
      <c r="S29" s="124" t="s">
        <v>241</v>
      </c>
      <c r="T29" s="124">
        <v>41921</v>
      </c>
      <c r="U29" s="44" t="s">
        <v>241</v>
      </c>
      <c r="V29" s="91">
        <v>42817</v>
      </c>
      <c r="W29" s="44" t="s">
        <v>241</v>
      </c>
      <c r="X29" s="124">
        <v>43123</v>
      </c>
      <c r="Y29" s="44" t="s">
        <v>255</v>
      </c>
      <c r="Z29" s="91"/>
      <c r="AA29" s="44" t="s">
        <v>241</v>
      </c>
      <c r="AB29" s="91">
        <v>42909</v>
      </c>
      <c r="AC29" s="249">
        <f t="shared" si="0"/>
        <v>0.44444444444444442</v>
      </c>
      <c r="AD29" s="37" t="s">
        <v>239</v>
      </c>
      <c r="AE29" s="126"/>
      <c r="AF29" s="37" t="s">
        <v>239</v>
      </c>
      <c r="AG29" s="91"/>
      <c r="AH29" s="37" t="s">
        <v>241</v>
      </c>
      <c r="AI29" s="248">
        <v>41491</v>
      </c>
      <c r="AJ29" s="37" t="s">
        <v>241</v>
      </c>
      <c r="AK29" s="248">
        <v>41505</v>
      </c>
      <c r="AL29" s="250"/>
      <c r="AM29" s="37" t="s">
        <v>241</v>
      </c>
    </row>
    <row r="30" spans="1:39" ht="16.5" customHeight="1" x14ac:dyDescent="0.25">
      <c r="A30" s="38" t="s">
        <v>1147</v>
      </c>
      <c r="B30" s="128" t="s">
        <v>609</v>
      </c>
      <c r="C30" s="128" t="s">
        <v>610</v>
      </c>
      <c r="D30" s="128" t="s">
        <v>1178</v>
      </c>
      <c r="E30" s="43" t="s">
        <v>241</v>
      </c>
      <c r="F30" s="124">
        <v>42793</v>
      </c>
      <c r="G30" s="43" t="s">
        <v>241</v>
      </c>
      <c r="H30" s="124">
        <v>42793</v>
      </c>
      <c r="I30" s="43" t="s">
        <v>239</v>
      </c>
      <c r="J30" s="124"/>
      <c r="K30" s="43" t="s">
        <v>239</v>
      </c>
      <c r="L30" s="124"/>
      <c r="M30" s="44" t="s">
        <v>241</v>
      </c>
      <c r="N30" s="124">
        <v>43280</v>
      </c>
      <c r="O30" s="44" t="s">
        <v>239</v>
      </c>
      <c r="P30" s="124"/>
      <c r="Q30" s="44" t="s">
        <v>241</v>
      </c>
      <c r="R30" s="124">
        <v>42823</v>
      </c>
      <c r="S30" s="124"/>
      <c r="T30" s="124"/>
      <c r="U30" s="44" t="s">
        <v>241</v>
      </c>
      <c r="V30" s="91">
        <v>42824</v>
      </c>
      <c r="W30" s="44" t="s">
        <v>241</v>
      </c>
      <c r="X30" s="124">
        <v>43137</v>
      </c>
      <c r="Y30" s="44" t="s">
        <v>241</v>
      </c>
      <c r="Z30" s="91">
        <v>39112</v>
      </c>
      <c r="AA30" s="44" t="s">
        <v>241</v>
      </c>
      <c r="AB30" s="91">
        <v>42909</v>
      </c>
      <c r="AC30" s="249">
        <f t="shared" si="0"/>
        <v>0.27272727272727271</v>
      </c>
      <c r="AD30" s="37" t="s">
        <v>239</v>
      </c>
      <c r="AE30" s="126"/>
      <c r="AF30" s="37" t="s">
        <v>239</v>
      </c>
      <c r="AG30" s="91"/>
      <c r="AH30" s="37" t="s">
        <v>241</v>
      </c>
      <c r="AI30" s="248">
        <v>41491</v>
      </c>
      <c r="AJ30" s="37" t="s">
        <v>241</v>
      </c>
      <c r="AK30" s="248">
        <v>41505</v>
      </c>
      <c r="AL30" s="250"/>
      <c r="AM30" s="37" t="s">
        <v>241</v>
      </c>
    </row>
    <row r="31" spans="1:39" ht="16.5" customHeight="1" x14ac:dyDescent="0.25">
      <c r="A31" s="38" t="s">
        <v>1147</v>
      </c>
      <c r="B31" s="127" t="s">
        <v>667</v>
      </c>
      <c r="C31" s="127" t="s">
        <v>668</v>
      </c>
      <c r="D31" s="127" t="s">
        <v>1178</v>
      </c>
      <c r="E31" s="43" t="s">
        <v>241</v>
      </c>
      <c r="F31" s="124">
        <v>43132</v>
      </c>
      <c r="G31" s="43" t="s">
        <v>241</v>
      </c>
      <c r="H31" s="124">
        <v>43132</v>
      </c>
      <c r="I31" s="43" t="s">
        <v>239</v>
      </c>
      <c r="J31" s="126"/>
      <c r="K31" s="43" t="s">
        <v>239</v>
      </c>
      <c r="L31" s="124"/>
      <c r="M31" s="44" t="s">
        <v>241</v>
      </c>
      <c r="N31" s="124">
        <v>43217</v>
      </c>
      <c r="O31" s="44" t="s">
        <v>241</v>
      </c>
      <c r="P31" s="124">
        <v>43370</v>
      </c>
      <c r="Q31" s="44" t="s">
        <v>241</v>
      </c>
      <c r="R31" s="124">
        <v>43256</v>
      </c>
      <c r="S31" s="124"/>
      <c r="T31" s="124"/>
      <c r="U31" s="44" t="s">
        <v>239</v>
      </c>
      <c r="V31" s="91"/>
      <c r="W31" s="44" t="s">
        <v>241</v>
      </c>
      <c r="X31" s="124">
        <v>42066</v>
      </c>
      <c r="Y31" s="44" t="s">
        <v>239</v>
      </c>
      <c r="Z31" s="91"/>
      <c r="AA31" s="44" t="s">
        <v>241</v>
      </c>
      <c r="AB31" s="91">
        <v>43146</v>
      </c>
      <c r="AC31" s="249">
        <f t="shared" si="0"/>
        <v>0.36363636363636365</v>
      </c>
      <c r="AD31" s="37"/>
      <c r="AE31" s="126"/>
      <c r="AF31" s="37" t="s">
        <v>239</v>
      </c>
      <c r="AG31" s="91"/>
      <c r="AH31" s="37"/>
      <c r="AI31" s="248"/>
      <c r="AJ31" s="37"/>
      <c r="AK31" s="248"/>
      <c r="AL31" s="250"/>
      <c r="AM31" s="37" t="s">
        <v>241</v>
      </c>
    </row>
    <row r="32" spans="1:39" ht="16.5" customHeight="1" x14ac:dyDescent="0.25">
      <c r="A32" s="38" t="s">
        <v>270</v>
      </c>
      <c r="B32" s="127" t="s">
        <v>1154</v>
      </c>
      <c r="C32" s="127" t="s">
        <v>1155</v>
      </c>
      <c r="D32" s="127" t="s">
        <v>1156</v>
      </c>
      <c r="E32" s="43" t="s">
        <v>241</v>
      </c>
      <c r="F32" s="124">
        <v>40813</v>
      </c>
      <c r="G32" s="43" t="s">
        <v>239</v>
      </c>
      <c r="H32" s="124"/>
      <c r="I32" s="43" t="s">
        <v>241</v>
      </c>
      <c r="J32" s="126">
        <v>41389</v>
      </c>
      <c r="K32" s="43" t="s">
        <v>241</v>
      </c>
      <c r="L32" s="124">
        <v>41317</v>
      </c>
      <c r="M32" s="44" t="s">
        <v>241</v>
      </c>
      <c r="N32" s="124">
        <v>39980</v>
      </c>
      <c r="O32" s="44" t="s">
        <v>239</v>
      </c>
      <c r="P32" s="124"/>
      <c r="Q32" s="44" t="s">
        <v>239</v>
      </c>
      <c r="R32" s="124"/>
      <c r="S32" s="124"/>
      <c r="T32" s="124"/>
      <c r="U32" s="44" t="s">
        <v>239</v>
      </c>
      <c r="V32" s="91"/>
      <c r="W32" s="44" t="s">
        <v>241</v>
      </c>
      <c r="X32" s="124">
        <v>38855</v>
      </c>
      <c r="Y32" s="44" t="s">
        <v>241</v>
      </c>
      <c r="Z32" s="91">
        <v>39258</v>
      </c>
      <c r="AA32" s="44" t="s">
        <v>241</v>
      </c>
      <c r="AB32" s="91">
        <v>42915</v>
      </c>
      <c r="AC32" s="249"/>
      <c r="AD32" s="37"/>
      <c r="AE32" s="126"/>
      <c r="AF32" s="37"/>
      <c r="AG32" s="91"/>
      <c r="AH32" s="37"/>
      <c r="AI32" s="248"/>
      <c r="AJ32" s="37"/>
      <c r="AK32" s="248"/>
      <c r="AL32" s="250"/>
      <c r="AM32" s="37"/>
    </row>
    <row r="33" spans="1:39" ht="16.5" customHeight="1" x14ac:dyDescent="0.25">
      <c r="A33" s="38" t="s">
        <v>270</v>
      </c>
      <c r="B33" s="128" t="s">
        <v>1157</v>
      </c>
      <c r="C33" s="128" t="s">
        <v>1158</v>
      </c>
      <c r="D33" s="127" t="s">
        <v>1156</v>
      </c>
      <c r="E33" s="43" t="s">
        <v>239</v>
      </c>
      <c r="F33" s="124"/>
      <c r="G33" s="43" t="s">
        <v>239</v>
      </c>
      <c r="H33" s="124"/>
      <c r="I33" s="43" t="s">
        <v>239</v>
      </c>
      <c r="J33" s="124"/>
      <c r="K33" s="43" t="s">
        <v>239</v>
      </c>
      <c r="L33" s="124"/>
      <c r="M33" s="44" t="s">
        <v>239</v>
      </c>
      <c r="N33" s="124"/>
      <c r="O33" s="44" t="s">
        <v>239</v>
      </c>
      <c r="P33" s="124"/>
      <c r="Q33" s="44" t="s">
        <v>239</v>
      </c>
      <c r="R33" s="124"/>
      <c r="S33" s="124"/>
      <c r="T33" s="124"/>
      <c r="U33" s="44" t="s">
        <v>239</v>
      </c>
      <c r="V33" s="91"/>
      <c r="W33" s="44" t="s">
        <v>241</v>
      </c>
      <c r="X33" s="124">
        <v>38891</v>
      </c>
      <c r="Y33" s="44" t="s">
        <v>241</v>
      </c>
      <c r="Z33" s="91">
        <v>42786</v>
      </c>
      <c r="AA33" s="44" t="s">
        <v>239</v>
      </c>
      <c r="AB33" s="91"/>
      <c r="AC33" s="249"/>
      <c r="AD33" s="37"/>
      <c r="AE33" s="126"/>
      <c r="AF33" s="37"/>
      <c r="AG33" s="91"/>
      <c r="AH33" s="37"/>
      <c r="AI33" s="42"/>
      <c r="AJ33" s="37"/>
      <c r="AK33" s="248"/>
      <c r="AL33" s="250"/>
      <c r="AM33" s="37"/>
    </row>
    <row r="34" spans="1:39" ht="16.5" customHeight="1" x14ac:dyDescent="0.25">
      <c r="A34" s="38" t="s">
        <v>1147</v>
      </c>
      <c r="B34" s="128" t="s">
        <v>1159</v>
      </c>
      <c r="C34" s="128" t="s">
        <v>693</v>
      </c>
      <c r="D34" s="127" t="s">
        <v>1175</v>
      </c>
      <c r="E34" s="43" t="s">
        <v>239</v>
      </c>
      <c r="F34" s="124"/>
      <c r="G34" s="43" t="s">
        <v>239</v>
      </c>
      <c r="H34" s="124"/>
      <c r="I34" s="43" t="s">
        <v>239</v>
      </c>
      <c r="J34" s="126"/>
      <c r="K34" s="43" t="s">
        <v>239</v>
      </c>
      <c r="L34" s="124"/>
      <c r="M34" s="44" t="s">
        <v>241</v>
      </c>
      <c r="N34" s="124">
        <v>43844</v>
      </c>
      <c r="O34" s="44" t="s">
        <v>239</v>
      </c>
      <c r="P34" s="124"/>
      <c r="Q34" s="44" t="s">
        <v>239</v>
      </c>
      <c r="R34" s="124"/>
      <c r="S34" s="124"/>
      <c r="T34" s="124"/>
      <c r="U34" s="44" t="s">
        <v>239</v>
      </c>
      <c r="V34" s="91"/>
      <c r="W34" s="44" t="s">
        <v>241</v>
      </c>
      <c r="X34" s="124">
        <v>43438</v>
      </c>
      <c r="Y34" s="44" t="s">
        <v>239</v>
      </c>
      <c r="Z34" s="91"/>
      <c r="AA34" s="44" t="s">
        <v>241</v>
      </c>
      <c r="AB34" s="91">
        <v>42894</v>
      </c>
      <c r="AC34" s="249"/>
      <c r="AD34" s="37"/>
      <c r="AE34" s="126"/>
      <c r="AF34" s="37"/>
      <c r="AG34" s="91"/>
      <c r="AH34" s="37"/>
      <c r="AI34" s="248"/>
      <c r="AJ34" s="37"/>
      <c r="AK34" s="248"/>
      <c r="AL34" s="250"/>
      <c r="AM34" s="37"/>
    </row>
    <row r="35" spans="1:39" ht="16.5" customHeight="1" x14ac:dyDescent="0.25">
      <c r="A35" s="38" t="s">
        <v>1150</v>
      </c>
      <c r="B35" s="127" t="s">
        <v>835</v>
      </c>
      <c r="C35" s="127" t="s">
        <v>776</v>
      </c>
      <c r="D35" s="128" t="s">
        <v>1179</v>
      </c>
      <c r="E35" s="43" t="s">
        <v>239</v>
      </c>
      <c r="F35" s="124"/>
      <c r="G35" s="43" t="s">
        <v>239</v>
      </c>
      <c r="H35" s="124"/>
      <c r="I35" s="43" t="s">
        <v>239</v>
      </c>
      <c r="J35" s="124"/>
      <c r="K35" s="43" t="s">
        <v>239</v>
      </c>
      <c r="L35" s="124"/>
      <c r="M35" s="44" t="s">
        <v>241</v>
      </c>
      <c r="N35" s="124">
        <v>42172</v>
      </c>
      <c r="O35" s="44" t="s">
        <v>239</v>
      </c>
      <c r="P35" s="124"/>
      <c r="Q35" s="44" t="s">
        <v>241</v>
      </c>
      <c r="R35" s="124">
        <v>39120</v>
      </c>
      <c r="S35" s="124"/>
      <c r="T35" s="124"/>
      <c r="U35" s="44" t="s">
        <v>239</v>
      </c>
      <c r="V35" s="91"/>
      <c r="W35" s="44" t="s">
        <v>241</v>
      </c>
      <c r="X35" s="124">
        <v>41723</v>
      </c>
      <c r="Y35" s="44" t="s">
        <v>241</v>
      </c>
      <c r="Z35" s="91">
        <v>39154</v>
      </c>
      <c r="AA35" s="44" t="s">
        <v>239</v>
      </c>
      <c r="AB35" s="91"/>
      <c r="AC35" s="249">
        <f t="shared" si="0"/>
        <v>0.63636363636363635</v>
      </c>
      <c r="AD35" s="37"/>
      <c r="AE35" s="126"/>
      <c r="AF35" s="37"/>
      <c r="AG35" s="91"/>
      <c r="AH35" s="37"/>
      <c r="AI35" s="248"/>
      <c r="AJ35" s="37"/>
      <c r="AK35" s="248"/>
      <c r="AL35" s="250">
        <f>COUNTIF('Liste AT'!$E$7:$E$31, "Siège UO TER TRAINS")</f>
        <v>0</v>
      </c>
      <c r="AM35" s="37"/>
    </row>
    <row r="36" spans="1:39" ht="16.5" customHeight="1" x14ac:dyDescent="0.25">
      <c r="A36" s="38" t="s">
        <v>1150</v>
      </c>
      <c r="B36" s="127" t="s">
        <v>766</v>
      </c>
      <c r="C36" s="127" t="s">
        <v>767</v>
      </c>
      <c r="D36" s="415"/>
      <c r="E36" s="43" t="s">
        <v>241</v>
      </c>
      <c r="F36" s="124">
        <v>39742</v>
      </c>
      <c r="G36" s="43" t="s">
        <v>241</v>
      </c>
      <c r="H36" s="124">
        <v>39742</v>
      </c>
      <c r="I36" s="43" t="s">
        <v>241</v>
      </c>
      <c r="J36" s="124">
        <v>39709</v>
      </c>
      <c r="K36" s="43" t="s">
        <v>241</v>
      </c>
      <c r="L36" s="124">
        <v>39120</v>
      </c>
      <c r="M36" s="44" t="s">
        <v>241</v>
      </c>
      <c r="N36" s="124">
        <v>43487</v>
      </c>
      <c r="O36" s="44" t="s">
        <v>239</v>
      </c>
      <c r="P36" s="124"/>
      <c r="Q36" s="44" t="s">
        <v>239</v>
      </c>
      <c r="R36" s="124"/>
      <c r="S36" s="124"/>
      <c r="T36" s="124"/>
      <c r="U36" s="44" t="s">
        <v>239</v>
      </c>
      <c r="V36" s="91"/>
      <c r="W36" s="44" t="s">
        <v>241</v>
      </c>
      <c r="X36" s="124">
        <v>43181</v>
      </c>
      <c r="Y36" s="44" t="s">
        <v>239</v>
      </c>
      <c r="Z36" s="91"/>
      <c r="AA36" s="44" t="s">
        <v>239</v>
      </c>
      <c r="AB36" s="91"/>
      <c r="AC36" s="249">
        <f t="shared" si="0"/>
        <v>0.45454545454545453</v>
      </c>
      <c r="AD36" s="37"/>
      <c r="AE36" s="126"/>
      <c r="AF36" s="37"/>
      <c r="AG36" s="91"/>
      <c r="AH36" s="37"/>
      <c r="AI36" s="248"/>
      <c r="AJ36" s="37"/>
      <c r="AK36" s="248"/>
      <c r="AL36" s="250"/>
      <c r="AM36" s="37"/>
    </row>
    <row r="37" spans="1:39" ht="16.5" customHeight="1" x14ac:dyDescent="0.25">
      <c r="A37" s="38" t="s">
        <v>1150</v>
      </c>
      <c r="B37" s="128" t="s">
        <v>778</v>
      </c>
      <c r="C37" s="128" t="s">
        <v>780</v>
      </c>
      <c r="D37" s="127" t="s">
        <v>1160</v>
      </c>
      <c r="E37" s="43" t="s">
        <v>239</v>
      </c>
      <c r="F37" s="124"/>
      <c r="G37" s="43" t="s">
        <v>239</v>
      </c>
      <c r="H37" s="124"/>
      <c r="I37" s="43" t="s">
        <v>239</v>
      </c>
      <c r="J37" s="126"/>
      <c r="K37" s="43" t="s">
        <v>239</v>
      </c>
      <c r="L37" s="124"/>
      <c r="M37" s="44" t="s">
        <v>241</v>
      </c>
      <c r="N37" s="124">
        <v>43370</v>
      </c>
      <c r="O37" s="44" t="s">
        <v>239</v>
      </c>
      <c r="P37" s="124"/>
      <c r="Q37" s="44" t="s">
        <v>239</v>
      </c>
      <c r="R37" s="124"/>
      <c r="S37" s="124"/>
      <c r="T37" s="124"/>
      <c r="U37" s="44" t="s">
        <v>239</v>
      </c>
      <c r="V37" s="91"/>
      <c r="W37" s="44" t="s">
        <v>239</v>
      </c>
      <c r="X37" s="124"/>
      <c r="Y37" s="44" t="s">
        <v>239</v>
      </c>
      <c r="Z37" s="91"/>
      <c r="AA37" s="44" t="s">
        <v>239</v>
      </c>
      <c r="AB37" s="91"/>
      <c r="AC37" s="249">
        <f>IF((COUNTIF(E37:AB37, "OUI")+COUNTIF(E37:AB37, "INSCRIT")+COUNTIF(E37:AB37, "NON"))&gt;0, COUNTIF(E37:AB37, "NON")/(COUNTIF(E37:AB37, "OUI")+COUNTIF(E37:AB37, "INSCRIT")+COUNTIF(E37:AB37, "NON")), 0)</f>
        <v>0.90909090909090906</v>
      </c>
      <c r="AD37" s="37"/>
      <c r="AE37" s="126"/>
      <c r="AF37" s="37"/>
      <c r="AG37" s="91"/>
      <c r="AH37" s="37"/>
      <c r="AI37" s="248"/>
      <c r="AJ37" s="37"/>
      <c r="AK37" s="248"/>
      <c r="AL37" s="250"/>
      <c r="AM37" s="37"/>
    </row>
    <row r="38" spans="1:39" ht="16.5" customHeight="1" x14ac:dyDescent="0.25">
      <c r="A38" s="38" t="s">
        <v>1150</v>
      </c>
      <c r="B38" s="128" t="s">
        <v>779</v>
      </c>
      <c r="C38" s="128" t="s">
        <v>602</v>
      </c>
      <c r="D38" s="127" t="s">
        <v>781</v>
      </c>
      <c r="E38" s="43" t="s">
        <v>239</v>
      </c>
      <c r="F38" s="124"/>
      <c r="G38" s="43" t="s">
        <v>239</v>
      </c>
      <c r="H38" s="124"/>
      <c r="I38" s="43" t="s">
        <v>239</v>
      </c>
      <c r="J38" s="126"/>
      <c r="K38" s="43" t="s">
        <v>239</v>
      </c>
      <c r="L38" s="124"/>
      <c r="M38" s="44" t="s">
        <v>241</v>
      </c>
      <c r="N38" s="124">
        <v>43370</v>
      </c>
      <c r="O38" s="44" t="s">
        <v>239</v>
      </c>
      <c r="P38" s="124"/>
      <c r="Q38" s="44" t="s">
        <v>239</v>
      </c>
      <c r="R38" s="124"/>
      <c r="S38" s="124"/>
      <c r="T38" s="124"/>
      <c r="U38" s="44" t="s">
        <v>239</v>
      </c>
      <c r="V38" s="91"/>
      <c r="W38" s="44" t="s">
        <v>241</v>
      </c>
      <c r="X38" s="124">
        <v>41226</v>
      </c>
      <c r="Y38" s="44" t="s">
        <v>239</v>
      </c>
      <c r="Z38" s="91"/>
      <c r="AA38" s="44" t="s">
        <v>239</v>
      </c>
      <c r="AB38" s="91"/>
      <c r="AC38" s="249">
        <f>IF((COUNTIF(E38:AB38, "OUI")+COUNTIF(E38:AB38, "INSCRIT")+COUNTIF(E38:AB38, "NON"))&gt;0, COUNTIF(E38:AB38, "NON")/(COUNTIF(E38:AB38, "OUI")+COUNTIF(E38:AB38, "INSCRIT")+COUNTIF(E38:AB38, "NON")), 0)</f>
        <v>0.81818181818181823</v>
      </c>
      <c r="AD38" s="37"/>
      <c r="AE38" s="126"/>
      <c r="AF38" s="37"/>
      <c r="AG38" s="91"/>
      <c r="AH38" s="37"/>
      <c r="AI38" s="248"/>
      <c r="AJ38" s="37"/>
      <c r="AK38" s="248"/>
      <c r="AL38" s="250"/>
      <c r="AM38" s="37"/>
    </row>
    <row r="39" spans="1:39" ht="16.5" customHeight="1" x14ac:dyDescent="0.25">
      <c r="A39" s="291" t="s">
        <v>1150</v>
      </c>
      <c r="B39" s="127" t="s">
        <v>684</v>
      </c>
      <c r="C39" s="128" t="s">
        <v>709</v>
      </c>
      <c r="D39" s="274" t="s">
        <v>670</v>
      </c>
      <c r="E39" s="43" t="s">
        <v>239</v>
      </c>
      <c r="F39" s="124"/>
      <c r="G39" s="43" t="s">
        <v>239</v>
      </c>
      <c r="H39" s="124"/>
      <c r="I39" s="43" t="s">
        <v>241</v>
      </c>
      <c r="J39" s="124">
        <v>39884</v>
      </c>
      <c r="K39" s="43" t="s">
        <v>239</v>
      </c>
      <c r="L39" s="124"/>
      <c r="M39" s="44" t="s">
        <v>241</v>
      </c>
      <c r="N39" s="124">
        <v>43473</v>
      </c>
      <c r="O39" s="44" t="s">
        <v>239</v>
      </c>
      <c r="P39" s="124"/>
      <c r="Q39" s="44" t="s">
        <v>239</v>
      </c>
      <c r="R39" s="124"/>
      <c r="S39" s="124"/>
      <c r="T39" s="124"/>
      <c r="U39" s="44" t="s">
        <v>239</v>
      </c>
      <c r="V39" s="91"/>
      <c r="W39" s="44" t="s">
        <v>241</v>
      </c>
      <c r="X39" s="124">
        <v>42870</v>
      </c>
      <c r="Y39" s="44" t="s">
        <v>239</v>
      </c>
      <c r="Z39" s="91"/>
      <c r="AA39" s="44" t="s">
        <v>239</v>
      </c>
      <c r="AB39" s="91"/>
      <c r="AC39" s="249">
        <f t="shared" si="0"/>
        <v>0.72727272727272729</v>
      </c>
      <c r="AD39" s="37" t="s">
        <v>537</v>
      </c>
      <c r="AE39" s="126"/>
      <c r="AF39" s="37"/>
      <c r="AG39" s="91"/>
      <c r="AH39" s="37"/>
      <c r="AI39" s="42"/>
      <c r="AJ39" s="37"/>
      <c r="AK39" s="42"/>
      <c r="AL39" s="250">
        <f>COUNTIF('Liste AT'!$E$7:$E$31, "TER Bommarito")</f>
        <v>0</v>
      </c>
      <c r="AM39" s="37" t="s">
        <v>241</v>
      </c>
    </row>
    <row r="40" spans="1:39" ht="16.5" customHeight="1" x14ac:dyDescent="0.25">
      <c r="A40" s="291" t="s">
        <v>1150</v>
      </c>
      <c r="B40" s="127" t="s">
        <v>685</v>
      </c>
      <c r="C40" s="128" t="s">
        <v>710</v>
      </c>
      <c r="D40" s="274" t="s">
        <v>671</v>
      </c>
      <c r="E40" s="43" t="s">
        <v>241</v>
      </c>
      <c r="F40" s="124">
        <v>40730</v>
      </c>
      <c r="G40" s="43" t="s">
        <v>239</v>
      </c>
      <c r="H40" s="124"/>
      <c r="I40" s="43" t="s">
        <v>239</v>
      </c>
      <c r="J40" s="124"/>
      <c r="K40" s="43" t="s">
        <v>241</v>
      </c>
      <c r="L40" s="124">
        <v>43010</v>
      </c>
      <c r="M40" s="44" t="s">
        <v>241</v>
      </c>
      <c r="N40" s="124">
        <v>43370</v>
      </c>
      <c r="O40" s="44" t="s">
        <v>239</v>
      </c>
      <c r="P40" s="124"/>
      <c r="Q40" s="44" t="s">
        <v>239</v>
      </c>
      <c r="R40" s="124"/>
      <c r="S40" s="124" t="s">
        <v>241</v>
      </c>
      <c r="T40" s="124">
        <v>42761</v>
      </c>
      <c r="U40" s="44" t="s">
        <v>241</v>
      </c>
      <c r="V40" s="91">
        <v>42767</v>
      </c>
      <c r="W40" s="44" t="s">
        <v>239</v>
      </c>
      <c r="X40" s="124"/>
      <c r="Y40" s="44" t="s">
        <v>239</v>
      </c>
      <c r="Z40" s="91"/>
      <c r="AA40" s="44" t="s">
        <v>239</v>
      </c>
      <c r="AB40" s="91"/>
      <c r="AC40" s="249">
        <f t="shared" si="0"/>
        <v>0.58333333333333337</v>
      </c>
      <c r="AD40" s="37" t="s">
        <v>241</v>
      </c>
      <c r="AE40" s="126">
        <v>43391</v>
      </c>
      <c r="AF40" s="37"/>
      <c r="AG40" s="91"/>
      <c r="AH40" s="37"/>
      <c r="AI40" s="42"/>
      <c r="AJ40" s="37"/>
      <c r="AK40" s="42"/>
      <c r="AL40" s="250">
        <f>COUNTIF('Liste AT'!$E$7:$E$31, "TER Viteau")</f>
        <v>0</v>
      </c>
      <c r="AM40" s="37" t="s">
        <v>241</v>
      </c>
    </row>
    <row r="41" spans="1:39" ht="16.5" customHeight="1" x14ac:dyDescent="0.25">
      <c r="A41" s="291" t="s">
        <v>1150</v>
      </c>
      <c r="B41" s="127" t="s">
        <v>711</v>
      </c>
      <c r="C41" s="128" t="s">
        <v>752</v>
      </c>
      <c r="D41" s="274" t="s">
        <v>712</v>
      </c>
      <c r="E41" s="43" t="s">
        <v>239</v>
      </c>
      <c r="F41" s="124"/>
      <c r="G41" s="43" t="s">
        <v>239</v>
      </c>
      <c r="H41" s="124"/>
      <c r="I41" s="43" t="s">
        <v>239</v>
      </c>
      <c r="J41" s="124"/>
      <c r="K41" s="43" t="s">
        <v>239</v>
      </c>
      <c r="L41" s="124"/>
      <c r="M41" s="44" t="s">
        <v>241</v>
      </c>
      <c r="N41" s="124">
        <v>43473</v>
      </c>
      <c r="O41" s="44" t="s">
        <v>239</v>
      </c>
      <c r="P41" s="124"/>
      <c r="Q41" s="44" t="s">
        <v>239</v>
      </c>
      <c r="R41" s="124"/>
      <c r="S41" s="124"/>
      <c r="T41" s="124"/>
      <c r="U41" s="44" t="s">
        <v>239</v>
      </c>
      <c r="V41" s="91"/>
      <c r="W41" s="44" t="s">
        <v>241</v>
      </c>
      <c r="X41" s="124">
        <v>40865</v>
      </c>
      <c r="Y41" s="44" t="s">
        <v>239</v>
      </c>
      <c r="Z41" s="91"/>
      <c r="AA41" s="44" t="s">
        <v>241</v>
      </c>
      <c r="AB41" s="91">
        <v>42902</v>
      </c>
      <c r="AC41" s="249">
        <f t="shared" si="0"/>
        <v>0.72727272727272729</v>
      </c>
      <c r="AD41" s="37"/>
      <c r="AE41" s="126"/>
      <c r="AF41" s="37"/>
      <c r="AG41" s="91"/>
      <c r="AH41" s="37"/>
      <c r="AI41" s="42"/>
      <c r="AJ41" s="37"/>
      <c r="AK41" s="42"/>
      <c r="AL41" s="250">
        <f>COUNTIF('Liste AT'!$E$7:$E$31, "TER Garcia")</f>
        <v>0</v>
      </c>
      <c r="AM41" s="37" t="s">
        <v>241</v>
      </c>
    </row>
    <row r="42" spans="1:39" ht="16.5" customHeight="1" x14ac:dyDescent="0.25">
      <c r="A42" s="291" t="s">
        <v>1150</v>
      </c>
      <c r="B42" s="127" t="s">
        <v>686</v>
      </c>
      <c r="C42" s="128" t="s">
        <v>713</v>
      </c>
      <c r="D42" s="274" t="s">
        <v>672</v>
      </c>
      <c r="E42" s="43" t="s">
        <v>239</v>
      </c>
      <c r="F42" s="124"/>
      <c r="G42" s="43" t="s">
        <v>239</v>
      </c>
      <c r="H42" s="124"/>
      <c r="I42" s="43" t="s">
        <v>241</v>
      </c>
      <c r="J42" s="124">
        <v>43139</v>
      </c>
      <c r="K42" s="43" t="s">
        <v>239</v>
      </c>
      <c r="L42" s="124"/>
      <c r="M42" s="44" t="s">
        <v>241</v>
      </c>
      <c r="N42" s="124">
        <v>43473</v>
      </c>
      <c r="O42" s="44" t="s">
        <v>239</v>
      </c>
      <c r="P42" s="124"/>
      <c r="Q42" s="44" t="s">
        <v>239</v>
      </c>
      <c r="R42" s="124"/>
      <c r="S42" s="124"/>
      <c r="T42" s="124"/>
      <c r="U42" s="44" t="s">
        <v>239</v>
      </c>
      <c r="V42" s="91"/>
      <c r="W42" s="44" t="s">
        <v>241</v>
      </c>
      <c r="X42" s="124">
        <v>42870</v>
      </c>
      <c r="Y42" s="44" t="s">
        <v>239</v>
      </c>
      <c r="Z42" s="91"/>
      <c r="AA42" s="44" t="s">
        <v>239</v>
      </c>
      <c r="AB42" s="91"/>
      <c r="AC42" s="249">
        <f t="shared" si="0"/>
        <v>0.72727272727272729</v>
      </c>
      <c r="AD42" s="37" t="s">
        <v>241</v>
      </c>
      <c r="AE42" s="126">
        <v>43391</v>
      </c>
      <c r="AF42" s="37"/>
      <c r="AG42" s="91"/>
      <c r="AH42" s="37"/>
      <c r="AI42" s="42"/>
      <c r="AJ42" s="37"/>
      <c r="AK42" s="42"/>
      <c r="AL42" s="250">
        <f>COUNTIF('Liste AT'!$E$7:$E$31, "TER Porcher")</f>
        <v>0</v>
      </c>
      <c r="AM42" s="37" t="s">
        <v>241</v>
      </c>
    </row>
    <row r="43" spans="1:39" ht="16.5" customHeight="1" x14ac:dyDescent="0.25">
      <c r="A43" s="291" t="s">
        <v>1150</v>
      </c>
      <c r="B43" s="127" t="s">
        <v>687</v>
      </c>
      <c r="C43" s="128" t="s">
        <v>708</v>
      </c>
      <c r="D43" s="274" t="s">
        <v>673</v>
      </c>
      <c r="E43" s="43" t="s">
        <v>241</v>
      </c>
      <c r="F43" s="124">
        <v>39560</v>
      </c>
      <c r="G43" s="43" t="s">
        <v>239</v>
      </c>
      <c r="H43" s="124"/>
      <c r="I43" s="43" t="s">
        <v>241</v>
      </c>
      <c r="J43" s="124">
        <v>39793</v>
      </c>
      <c r="K43" s="43" t="s">
        <v>239</v>
      </c>
      <c r="L43" s="124"/>
      <c r="M43" s="44" t="s">
        <v>241</v>
      </c>
      <c r="N43" s="124">
        <v>43370</v>
      </c>
      <c r="O43" s="44" t="s">
        <v>239</v>
      </c>
      <c r="P43" s="124"/>
      <c r="Q43" s="44" t="s">
        <v>239</v>
      </c>
      <c r="R43" s="124"/>
      <c r="S43" s="124"/>
      <c r="T43" s="124"/>
      <c r="U43" s="44" t="s">
        <v>239</v>
      </c>
      <c r="V43" s="91"/>
      <c r="W43" s="44" t="s">
        <v>239</v>
      </c>
      <c r="X43" s="124"/>
      <c r="Y43" s="44" t="s">
        <v>239</v>
      </c>
      <c r="Z43" s="91"/>
      <c r="AA43" s="44" t="s">
        <v>241</v>
      </c>
      <c r="AB43" s="91">
        <v>42909</v>
      </c>
      <c r="AC43" s="249">
        <f t="shared" si="0"/>
        <v>0.63636363636363635</v>
      </c>
      <c r="AD43" s="37"/>
      <c r="AE43" s="126"/>
      <c r="AF43" s="37"/>
      <c r="AG43" s="91"/>
      <c r="AH43" s="37"/>
      <c r="AI43" s="42"/>
      <c r="AJ43" s="37"/>
      <c r="AK43" s="42"/>
      <c r="AL43" s="250">
        <f>COUNTIF('Liste AT'!$E$7:$E$31, "TER Giovagnoli")</f>
        <v>0</v>
      </c>
      <c r="AM43" s="37" t="s">
        <v>241</v>
      </c>
    </row>
    <row r="44" spans="1:39" ht="16.5" customHeight="1" x14ac:dyDescent="0.25">
      <c r="A44" s="291" t="s">
        <v>1150</v>
      </c>
      <c r="B44" s="128" t="s">
        <v>688</v>
      </c>
      <c r="C44" s="128" t="s">
        <v>714</v>
      </c>
      <c r="D44" s="274" t="s">
        <v>674</v>
      </c>
      <c r="E44" s="43" t="s">
        <v>239</v>
      </c>
      <c r="F44" s="124"/>
      <c r="G44" s="43" t="s">
        <v>239</v>
      </c>
      <c r="H44" s="124"/>
      <c r="I44" s="43" t="s">
        <v>241</v>
      </c>
      <c r="J44" s="124">
        <v>43139</v>
      </c>
      <c r="K44" s="43" t="s">
        <v>241</v>
      </c>
      <c r="L44" s="124">
        <v>43010</v>
      </c>
      <c r="M44" s="44" t="s">
        <v>241</v>
      </c>
      <c r="N44" s="124">
        <v>43370</v>
      </c>
      <c r="O44" s="44" t="s">
        <v>239</v>
      </c>
      <c r="P44" s="124"/>
      <c r="Q44" s="44" t="s">
        <v>239</v>
      </c>
      <c r="R44" s="124"/>
      <c r="S44" s="124"/>
      <c r="T44" s="124"/>
      <c r="U44" s="44" t="s">
        <v>239</v>
      </c>
      <c r="V44" s="91"/>
      <c r="W44" s="44" t="s">
        <v>239</v>
      </c>
      <c r="X44" s="124"/>
      <c r="Y44" s="44" t="s">
        <v>239</v>
      </c>
      <c r="Z44" s="91"/>
      <c r="AA44" s="44" t="s">
        <v>239</v>
      </c>
      <c r="AB44" s="91"/>
      <c r="AC44" s="249">
        <f t="shared" si="0"/>
        <v>0.72727272727272729</v>
      </c>
      <c r="AD44" s="37" t="s">
        <v>241</v>
      </c>
      <c r="AE44" s="126">
        <v>43391</v>
      </c>
      <c r="AF44" s="37"/>
      <c r="AG44" s="91"/>
      <c r="AH44" s="37"/>
      <c r="AI44" s="42"/>
      <c r="AJ44" s="37"/>
      <c r="AK44" s="42"/>
      <c r="AL44" s="250">
        <f>COUNTIF('Liste AT'!$E$7:$E$31, "TER Auguste")</f>
        <v>0</v>
      </c>
      <c r="AM44" s="37" t="s">
        <v>241</v>
      </c>
    </row>
    <row r="45" spans="1:39" ht="16.5" customHeight="1" x14ac:dyDescent="0.25">
      <c r="A45" s="421" t="s">
        <v>1147</v>
      </c>
      <c r="B45" s="277" t="s">
        <v>721</v>
      </c>
      <c r="C45" s="277" t="s">
        <v>760</v>
      </c>
      <c r="D45" s="278" t="s">
        <v>1180</v>
      </c>
      <c r="E45" s="275" t="s">
        <v>239</v>
      </c>
      <c r="F45" s="279"/>
      <c r="G45" s="275" t="s">
        <v>239</v>
      </c>
      <c r="H45" s="279"/>
      <c r="I45" s="275" t="s">
        <v>239</v>
      </c>
      <c r="J45" s="279"/>
      <c r="K45" s="275" t="s">
        <v>239</v>
      </c>
      <c r="L45" s="279"/>
      <c r="M45" s="280" t="s">
        <v>241</v>
      </c>
      <c r="N45" s="279">
        <v>43487</v>
      </c>
      <c r="O45" s="280" t="s">
        <v>241</v>
      </c>
      <c r="P45" s="279">
        <v>39786</v>
      </c>
      <c r="Q45" s="280" t="s">
        <v>241</v>
      </c>
      <c r="R45" s="279">
        <v>40290</v>
      </c>
      <c r="S45" s="279"/>
      <c r="T45" s="279"/>
      <c r="U45" s="280" t="s">
        <v>239</v>
      </c>
      <c r="V45" s="281"/>
      <c r="W45" s="280" t="s">
        <v>239</v>
      </c>
      <c r="X45" s="279"/>
      <c r="Y45" s="280" t="s">
        <v>239</v>
      </c>
      <c r="Z45" s="281"/>
      <c r="AA45" s="44" t="s">
        <v>241</v>
      </c>
      <c r="AB45" s="281">
        <v>43391</v>
      </c>
      <c r="AC45" s="249">
        <f t="shared" si="0"/>
        <v>0.63636363636363635</v>
      </c>
      <c r="AD45" s="282"/>
      <c r="AE45" s="283"/>
      <c r="AF45" s="282"/>
      <c r="AG45" s="281"/>
      <c r="AH45" s="282"/>
      <c r="AI45" s="284"/>
      <c r="AJ45" s="282"/>
      <c r="AK45" s="284"/>
      <c r="AL45" s="250"/>
      <c r="AM45" s="282"/>
    </row>
    <row r="46" spans="1:39" ht="16.5" customHeight="1" x14ac:dyDescent="0.25">
      <c r="A46" s="421" t="s">
        <v>1150</v>
      </c>
      <c r="B46" s="276" t="s">
        <v>689</v>
      </c>
      <c r="C46" s="277" t="s">
        <v>706</v>
      </c>
      <c r="D46" s="278" t="s">
        <v>691</v>
      </c>
      <c r="E46" s="275" t="s">
        <v>239</v>
      </c>
      <c r="F46" s="279"/>
      <c r="G46" s="275" t="s">
        <v>239</v>
      </c>
      <c r="H46" s="279"/>
      <c r="I46" s="275" t="s">
        <v>239</v>
      </c>
      <c r="J46" s="279"/>
      <c r="K46" s="275" t="s">
        <v>239</v>
      </c>
      <c r="L46" s="279"/>
      <c r="M46" s="280" t="s">
        <v>239</v>
      </c>
      <c r="N46" s="279"/>
      <c r="O46" s="280" t="s">
        <v>239</v>
      </c>
      <c r="P46" s="279"/>
      <c r="Q46" s="280" t="s">
        <v>239</v>
      </c>
      <c r="R46" s="279"/>
      <c r="S46" s="279"/>
      <c r="T46" s="279"/>
      <c r="U46" s="280" t="s">
        <v>239</v>
      </c>
      <c r="V46" s="281"/>
      <c r="W46" s="280" t="s">
        <v>239</v>
      </c>
      <c r="X46" s="279"/>
      <c r="Y46" s="280" t="s">
        <v>239</v>
      </c>
      <c r="Z46" s="281"/>
      <c r="AA46" s="44" t="s">
        <v>239</v>
      </c>
      <c r="AB46" s="281"/>
      <c r="AC46" s="249">
        <f t="shared" si="0"/>
        <v>1</v>
      </c>
      <c r="AD46" s="282"/>
      <c r="AE46" s="283"/>
      <c r="AF46" s="282"/>
      <c r="AG46" s="281"/>
      <c r="AH46" s="282"/>
      <c r="AI46" s="284"/>
      <c r="AJ46" s="282"/>
      <c r="AK46" s="284"/>
      <c r="AL46" s="250">
        <f>COUNTIF('Liste AT'!$E$7:$E$31, "EMI Accompagnement")</f>
        <v>0</v>
      </c>
      <c r="AM46" s="282" t="s">
        <v>239</v>
      </c>
    </row>
    <row r="47" spans="1:39" s="46" customFormat="1" ht="16.5" customHeight="1" x14ac:dyDescent="0.25">
      <c r="A47" s="291" t="s">
        <v>1150</v>
      </c>
      <c r="B47" s="273" t="s">
        <v>690</v>
      </c>
      <c r="C47" s="128" t="s">
        <v>693</v>
      </c>
      <c r="D47" s="274" t="s">
        <v>692</v>
      </c>
      <c r="E47" s="43" t="s">
        <v>241</v>
      </c>
      <c r="F47" s="124">
        <v>40731</v>
      </c>
      <c r="G47" s="43" t="s">
        <v>239</v>
      </c>
      <c r="H47" s="124"/>
      <c r="I47" s="43" t="s">
        <v>239</v>
      </c>
      <c r="J47" s="124"/>
      <c r="K47" s="43" t="s">
        <v>239</v>
      </c>
      <c r="L47" s="124"/>
      <c r="M47" s="44" t="s">
        <v>241</v>
      </c>
      <c r="N47" s="124">
        <v>43217</v>
      </c>
      <c r="O47" s="44" t="s">
        <v>239</v>
      </c>
      <c r="P47" s="124"/>
      <c r="Q47" s="44" t="s">
        <v>239</v>
      </c>
      <c r="R47" s="124"/>
      <c r="S47" s="124"/>
      <c r="T47" s="124"/>
      <c r="U47" s="44" t="s">
        <v>239</v>
      </c>
      <c r="V47" s="91"/>
      <c r="W47" s="44" t="s">
        <v>241</v>
      </c>
      <c r="X47" s="124">
        <v>43489</v>
      </c>
      <c r="Y47" s="44" t="s">
        <v>239</v>
      </c>
      <c r="Z47" s="91"/>
      <c r="AA47" s="44" t="s">
        <v>241</v>
      </c>
      <c r="AB47" s="91">
        <v>43489</v>
      </c>
      <c r="AC47" s="249">
        <f t="shared" si="0"/>
        <v>0.63636363636363635</v>
      </c>
      <c r="AD47" s="37"/>
      <c r="AE47" s="126"/>
      <c r="AF47" s="37"/>
      <c r="AG47" s="91"/>
      <c r="AH47" s="37"/>
      <c r="AI47" s="42"/>
      <c r="AJ47" s="37"/>
      <c r="AK47" s="42"/>
      <c r="AL47" s="250">
        <f>COUNTIF('Liste AT'!$E$7:$E$31, "EMI ESCALE")</f>
        <v>0</v>
      </c>
      <c r="AM47" s="37" t="s">
        <v>239</v>
      </c>
    </row>
    <row r="48" spans="1:39" s="30" customFormat="1" ht="16.5" customHeight="1" x14ac:dyDescent="0.25">
      <c r="A48" s="291" t="s">
        <v>1150</v>
      </c>
      <c r="B48" s="128" t="s">
        <v>1161</v>
      </c>
      <c r="C48" s="128" t="s">
        <v>1162</v>
      </c>
      <c r="D48" s="274" t="s">
        <v>1181</v>
      </c>
      <c r="E48" s="291"/>
      <c r="F48" s="91"/>
      <c r="G48" s="291"/>
      <c r="H48" s="91"/>
      <c r="I48" s="291"/>
      <c r="J48" s="91"/>
      <c r="K48" s="291"/>
      <c r="L48" s="91"/>
      <c r="M48" s="419"/>
      <c r="N48" s="91"/>
      <c r="O48" s="419"/>
      <c r="P48" s="91"/>
      <c r="Q48" s="419"/>
      <c r="R48" s="91"/>
      <c r="S48" s="91"/>
      <c r="T48" s="91"/>
      <c r="U48" s="419"/>
      <c r="V48" s="91"/>
      <c r="W48" s="419"/>
      <c r="X48" s="91"/>
      <c r="Y48" s="419"/>
      <c r="Z48" s="91"/>
      <c r="AA48" s="91"/>
      <c r="AB48" s="91"/>
      <c r="AC48" s="416"/>
      <c r="AD48" s="38"/>
      <c r="AE48" s="417"/>
      <c r="AF48" s="38"/>
      <c r="AG48" s="91"/>
      <c r="AH48" s="38"/>
      <c r="AI48" s="91"/>
      <c r="AJ48" s="38"/>
      <c r="AK48" s="91"/>
      <c r="AL48" s="418"/>
      <c r="AM48" s="38"/>
    </row>
    <row r="49" spans="1:42" s="30" customFormat="1" ht="16.5" customHeight="1" x14ac:dyDescent="0.25">
      <c r="A49" s="291" t="s">
        <v>1150</v>
      </c>
      <c r="B49" s="127" t="s">
        <v>1163</v>
      </c>
      <c r="C49" s="128" t="s">
        <v>1164</v>
      </c>
      <c r="D49" s="274" t="s">
        <v>1144</v>
      </c>
      <c r="E49" s="291"/>
      <c r="F49" s="91"/>
      <c r="G49" s="291"/>
      <c r="H49" s="91"/>
      <c r="I49" s="291"/>
      <c r="J49" s="91"/>
      <c r="K49" s="291"/>
      <c r="L49" s="91"/>
      <c r="M49" s="419"/>
      <c r="N49" s="91"/>
      <c r="O49" s="419"/>
      <c r="P49" s="91"/>
      <c r="Q49" s="419"/>
      <c r="R49" s="91"/>
      <c r="S49" s="91"/>
      <c r="T49" s="91"/>
      <c r="U49" s="419"/>
      <c r="V49" s="91"/>
      <c r="W49" s="419"/>
      <c r="X49" s="91"/>
      <c r="Y49" s="419"/>
      <c r="Z49" s="91"/>
      <c r="AA49" s="91"/>
      <c r="AB49" s="91"/>
      <c r="AC49" s="416"/>
      <c r="AD49" s="38"/>
      <c r="AE49" s="417"/>
      <c r="AF49" s="38"/>
      <c r="AG49" s="91"/>
      <c r="AH49" s="38"/>
      <c r="AI49" s="91"/>
      <c r="AJ49" s="38"/>
      <c r="AK49" s="91"/>
      <c r="AL49" s="418"/>
      <c r="AM49" s="38"/>
    </row>
    <row r="50" spans="1:42" s="30" customFormat="1" ht="19.5" customHeight="1" x14ac:dyDescent="0.25">
      <c r="A50" s="291" t="s">
        <v>1150</v>
      </c>
      <c r="B50" s="127" t="s">
        <v>1165</v>
      </c>
      <c r="C50" s="127" t="s">
        <v>1166</v>
      </c>
      <c r="D50" s="274" t="s">
        <v>1182</v>
      </c>
      <c r="E50" s="38"/>
      <c r="F50" s="91"/>
      <c r="G50" s="91"/>
      <c r="H50" s="91"/>
      <c r="I50" s="417"/>
      <c r="J50" s="417"/>
      <c r="K50" s="38"/>
      <c r="L50" s="91"/>
      <c r="M50" s="91"/>
      <c r="N50" s="91"/>
      <c r="O50" s="91"/>
      <c r="P50" s="91" t="s">
        <v>716</v>
      </c>
      <c r="Q50" s="45"/>
      <c r="R50" s="417"/>
      <c r="S50" s="417"/>
      <c r="T50" s="417"/>
      <c r="U50" s="417"/>
      <c r="V50" s="417"/>
      <c r="W50" s="417"/>
      <c r="X50" s="417"/>
      <c r="Y50" s="417"/>
      <c r="Z50" s="417"/>
      <c r="AA50" s="417"/>
      <c r="AB50" s="417"/>
      <c r="AC50" s="417"/>
      <c r="AD50" s="45"/>
      <c r="AE50" s="45"/>
      <c r="AF50" s="45"/>
      <c r="AG50" s="45"/>
      <c r="AH50" s="45"/>
      <c r="AI50" s="45"/>
      <c r="AJ50" s="45"/>
      <c r="AK50" s="45"/>
      <c r="AL50" s="38"/>
      <c r="AM50" s="45"/>
    </row>
    <row r="51" spans="1:42" s="30" customFormat="1" x14ac:dyDescent="0.25">
      <c r="A51" s="41"/>
      <c r="D51" s="285"/>
      <c r="E51" s="41"/>
      <c r="F51" s="32"/>
      <c r="G51" s="32"/>
      <c r="H51" s="32"/>
      <c r="I51" s="32"/>
      <c r="J51" s="287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2"/>
      <c r="AL51" s="41"/>
    </row>
    <row r="52" spans="1:42" s="30" customFormat="1" x14ac:dyDescent="0.25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2"/>
      <c r="AL52" s="41"/>
    </row>
    <row r="53" spans="1:42" s="30" customFormat="1" x14ac:dyDescent="0.25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D53" s="291" t="s">
        <v>241</v>
      </c>
      <c r="AE53" s="78">
        <f>COUNTIF(AD$11:AD$43, "OUI")</f>
        <v>6</v>
      </c>
      <c r="AF53" s="286"/>
      <c r="AG53" s="286"/>
      <c r="AH53" s="291" t="s">
        <v>241</v>
      </c>
      <c r="AI53" s="78">
        <f>COUNTIF(AH$11:AH$43, "OUI")</f>
        <v>13</v>
      </c>
      <c r="AJ53" s="291" t="s">
        <v>241</v>
      </c>
      <c r="AK53" s="78">
        <f>COUNTIF(AJ$11:AJ$43, "OUI")</f>
        <v>13</v>
      </c>
      <c r="AL53" s="41"/>
    </row>
    <row r="54" spans="1:42" s="30" customFormat="1" x14ac:dyDescent="0.25">
      <c r="A54" s="41"/>
      <c r="E54" s="41"/>
      <c r="F54" s="32"/>
      <c r="G54" s="32"/>
      <c r="H54" s="32"/>
      <c r="I54" s="32"/>
      <c r="J54" s="287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2"/>
      <c r="AD54" s="291" t="s">
        <v>537</v>
      </c>
      <c r="AE54" s="78">
        <f>COUNTIF(AD$11:AD$43, "PREVU")</f>
        <v>2</v>
      </c>
      <c r="AF54" s="286"/>
      <c r="AG54" s="286"/>
      <c r="AH54" s="291" t="s">
        <v>537</v>
      </c>
      <c r="AI54" s="78">
        <f>COUNTIF(AH$11:AH$43, "PREVU")</f>
        <v>0</v>
      </c>
      <c r="AJ54" s="291" t="s">
        <v>537</v>
      </c>
      <c r="AK54" s="78">
        <f>COUNTIF(AJ$11:AJ$43, "PREVU")</f>
        <v>0</v>
      </c>
      <c r="AL54" s="41"/>
    </row>
    <row r="55" spans="1:42" s="289" customFormat="1" x14ac:dyDescent="0.25">
      <c r="A55" s="288"/>
      <c r="E55" s="288"/>
      <c r="F55" s="290"/>
      <c r="G55" s="290"/>
      <c r="H55" s="290"/>
      <c r="I55" s="30"/>
      <c r="J55" s="30"/>
      <c r="K55" s="288"/>
      <c r="L55" s="290"/>
      <c r="M55" s="290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290"/>
      <c r="AD55" s="291" t="s">
        <v>239</v>
      </c>
      <c r="AE55" s="78">
        <f>COUNTIF(AD$11:AD$43, "NON")</f>
        <v>10</v>
      </c>
      <c r="AF55" s="286"/>
      <c r="AG55" s="286"/>
      <c r="AH55" s="291" t="s">
        <v>239</v>
      </c>
      <c r="AI55" s="78">
        <f>COUNTIF(AH$11:AH$43, "NON")</f>
        <v>1</v>
      </c>
      <c r="AJ55" s="291" t="s">
        <v>239</v>
      </c>
      <c r="AK55" s="78">
        <f>COUNTIF(AJ$11:AJ$43, "NON")</f>
        <v>1</v>
      </c>
      <c r="AL55" s="288"/>
    </row>
    <row r="56" spans="1:42" s="30" customFormat="1" x14ac:dyDescent="0.25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D56" s="41"/>
      <c r="AE56" s="32"/>
      <c r="AF56" s="32"/>
      <c r="AG56" s="32"/>
      <c r="AH56" s="41"/>
      <c r="AI56" s="32"/>
      <c r="AJ56" s="41"/>
      <c r="AK56" s="32"/>
      <c r="AL56" s="41"/>
      <c r="AO56" s="23"/>
      <c r="AP56" s="23"/>
    </row>
    <row r="57" spans="1:42" x14ac:dyDescent="0.25">
      <c r="I57" s="27"/>
      <c r="J57" s="159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28"/>
      <c r="AE57" s="27"/>
      <c r="AF57" s="27"/>
      <c r="AG57" s="27"/>
      <c r="AO57" s="30"/>
      <c r="AP57" s="30"/>
    </row>
    <row r="58" spans="1:42" x14ac:dyDescent="0.25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499" t="s">
        <v>538</v>
      </c>
      <c r="AE58" s="500"/>
      <c r="AF58" s="90"/>
      <c r="AG58" s="90"/>
      <c r="AH58" s="75" t="s">
        <v>241</v>
      </c>
      <c r="AI58" s="34">
        <f>AE53+AI53+AK53</f>
        <v>32</v>
      </c>
    </row>
    <row r="59" spans="1:42" s="30" customFormat="1" x14ac:dyDescent="0.25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41"/>
      <c r="AE59" s="32"/>
      <c r="AF59" s="32"/>
      <c r="AG59" s="32"/>
      <c r="AH59" s="76" t="s">
        <v>537</v>
      </c>
      <c r="AI59" s="78">
        <f>AE54+AI54+AK54</f>
        <v>2</v>
      </c>
      <c r="AJ59" s="41"/>
      <c r="AK59" s="32"/>
      <c r="AL59" s="41"/>
      <c r="AO59" s="23"/>
      <c r="AP59" s="23"/>
    </row>
    <row r="60" spans="1:42" x14ac:dyDescent="0.25">
      <c r="I60" s="27"/>
      <c r="J60" s="159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28"/>
      <c r="AE60" s="27"/>
      <c r="AF60" s="27"/>
      <c r="AG60" s="27"/>
      <c r="AH60" s="77" t="s">
        <v>239</v>
      </c>
      <c r="AI60" s="34">
        <f>AE55+AI55+AK55</f>
        <v>12</v>
      </c>
      <c r="AO60" s="30"/>
      <c r="AP60" s="30"/>
    </row>
    <row r="61" spans="1:42" x14ac:dyDescent="0.25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28"/>
      <c r="AE61" s="27"/>
      <c r="AF61" s="27"/>
      <c r="AG61" s="27"/>
    </row>
    <row r="62" spans="1:42" s="30" customFormat="1" x14ac:dyDescent="0.25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41"/>
      <c r="AE62" s="32"/>
      <c r="AF62" s="32"/>
      <c r="AG62" s="32"/>
      <c r="AH62" s="41"/>
      <c r="AI62" s="32"/>
      <c r="AJ62" s="41"/>
      <c r="AK62" s="32"/>
      <c r="AL62" s="41"/>
      <c r="AO62" s="23"/>
      <c r="AP62" s="23"/>
    </row>
    <row r="63" spans="1:42" x14ac:dyDescent="0.25">
      <c r="I63" s="41"/>
      <c r="J63" s="159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28"/>
      <c r="AE63" s="27"/>
      <c r="AF63" s="27"/>
      <c r="AG63" s="27"/>
      <c r="AO63" s="30"/>
      <c r="AP63" s="30"/>
    </row>
    <row r="64" spans="1:42" x14ac:dyDescent="0.25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28"/>
      <c r="AE64" s="27"/>
      <c r="AF64" s="27"/>
      <c r="AG64" s="27"/>
    </row>
    <row r="65" spans="3:49" x14ac:dyDescent="0.25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28"/>
      <c r="AE65" s="27"/>
      <c r="AF65" s="27"/>
      <c r="AG65" s="27"/>
    </row>
    <row r="66" spans="3:49" x14ac:dyDescent="0.25">
      <c r="I66" s="41"/>
      <c r="J66" s="159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28"/>
      <c r="AE66" s="27"/>
      <c r="AF66" s="27"/>
      <c r="AG66" s="27"/>
    </row>
    <row r="67" spans="3:49" x14ac:dyDescent="0.25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28"/>
      <c r="AE67" s="27"/>
      <c r="AF67" s="27"/>
      <c r="AG67" s="27"/>
    </row>
    <row r="68" spans="3:49" x14ac:dyDescent="0.25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28"/>
      <c r="AE68" s="27"/>
      <c r="AF68" s="27"/>
      <c r="AG68" s="27"/>
      <c r="AH68" s="23"/>
      <c r="AI68" s="23"/>
      <c r="AJ68" s="23"/>
      <c r="AK68" s="23"/>
      <c r="AL68" s="23"/>
    </row>
    <row r="69" spans="3:49" x14ac:dyDescent="0.25">
      <c r="I69" s="41"/>
      <c r="J69" s="159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28"/>
      <c r="AE69" s="27"/>
      <c r="AF69" s="27"/>
      <c r="AG69" s="27"/>
      <c r="AH69" s="23"/>
      <c r="AI69" s="23"/>
      <c r="AJ69" s="23"/>
      <c r="AK69" s="23"/>
      <c r="AL69" s="23"/>
    </row>
    <row r="70" spans="3:49" x14ac:dyDescent="0.25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28"/>
      <c r="AE70" s="27"/>
      <c r="AF70" s="27"/>
      <c r="AG70" s="27"/>
      <c r="AH70" s="23"/>
      <c r="AI70" s="23"/>
      <c r="AJ70" s="23"/>
      <c r="AK70" s="23"/>
      <c r="AL70" s="23"/>
    </row>
    <row r="71" spans="3:49" ht="13.5" thickBot="1" x14ac:dyDescent="0.3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28"/>
      <c r="AE71" s="27"/>
      <c r="AF71" s="27"/>
      <c r="AG71" s="27"/>
      <c r="AH71" s="23"/>
      <c r="AI71" s="23"/>
      <c r="AJ71" s="23"/>
      <c r="AK71" s="23"/>
      <c r="AL71" s="23"/>
    </row>
    <row r="72" spans="3:49" ht="15.75" x14ac:dyDescent="0.25">
      <c r="I72" s="41"/>
      <c r="J72" s="159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28"/>
      <c r="AE72" s="27"/>
      <c r="AF72" s="27"/>
      <c r="AG72" s="27"/>
      <c r="AH72" s="23"/>
      <c r="AI72" s="23"/>
      <c r="AJ72" s="23"/>
      <c r="AK72" s="23"/>
      <c r="AL72" s="23"/>
      <c r="AQ72" s="508" t="s">
        <v>2</v>
      </c>
      <c r="AR72" s="509"/>
      <c r="AS72" s="509"/>
      <c r="AT72" s="509"/>
      <c r="AU72" s="509"/>
      <c r="AV72" s="509"/>
      <c r="AW72" s="510"/>
    </row>
    <row r="73" spans="3:49" x14ac:dyDescent="0.25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28"/>
      <c r="AE73" s="27"/>
      <c r="AF73" s="27"/>
      <c r="AG73" s="27"/>
      <c r="AH73" s="23"/>
      <c r="AI73" s="23"/>
      <c r="AJ73" s="23"/>
      <c r="AK73" s="23"/>
      <c r="AL73" s="23"/>
      <c r="AQ73" s="162" t="s">
        <v>621</v>
      </c>
      <c r="AR73" s="80"/>
      <c r="AS73" s="35" t="s">
        <v>244</v>
      </c>
      <c r="AT73" s="37" t="s">
        <v>241</v>
      </c>
      <c r="AU73" s="43">
        <f>SUM(COUNTIFS(A11:A44,{"TER MIXTE";"TER ESCALE EST"},E11:E44,"OUI"))</f>
        <v>0</v>
      </c>
      <c r="AV73" s="37" t="s">
        <v>239</v>
      </c>
      <c r="AW73" s="163">
        <f>SUM(COUNTIFS(A11:A44,{"TER MIXTE";"TER ESCALE EST"},E11:E44,"NON"))</f>
        <v>0</v>
      </c>
    </row>
    <row r="74" spans="3:49" x14ac:dyDescent="0.25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28"/>
      <c r="AE74" s="27"/>
      <c r="AF74" s="27"/>
      <c r="AG74" s="27"/>
      <c r="AH74" s="23"/>
      <c r="AI74" s="23"/>
      <c r="AJ74" s="23"/>
      <c r="AK74" s="23"/>
      <c r="AL74" s="23"/>
      <c r="AQ74" s="164"/>
      <c r="AR74" s="26"/>
      <c r="AS74" s="35" t="s">
        <v>622</v>
      </c>
      <c r="AT74" s="37" t="s">
        <v>241</v>
      </c>
      <c r="AU74" s="160">
        <f>AU73/$AP$11</f>
        <v>0</v>
      </c>
      <c r="AV74" s="37" t="s">
        <v>239</v>
      </c>
      <c r="AW74" s="165">
        <f>AW73/$AP$11</f>
        <v>0</v>
      </c>
    </row>
    <row r="75" spans="3:49" x14ac:dyDescent="0.25">
      <c r="I75" s="41"/>
      <c r="J75" s="159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28"/>
      <c r="AE75" s="27"/>
      <c r="AF75" s="27"/>
      <c r="AG75" s="27"/>
      <c r="AH75" s="23"/>
      <c r="AI75" s="23"/>
      <c r="AJ75" s="23"/>
      <c r="AK75" s="23"/>
      <c r="AL75" s="23"/>
      <c r="AQ75" s="166"/>
      <c r="AR75" s="30"/>
      <c r="AS75" s="41"/>
      <c r="AT75" s="40"/>
      <c r="AU75" s="41"/>
      <c r="AV75" s="40"/>
      <c r="AW75" s="167"/>
    </row>
    <row r="76" spans="3:49" x14ac:dyDescent="0.25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28"/>
      <c r="AE76" s="27"/>
      <c r="AF76" s="27"/>
      <c r="AG76" s="27"/>
      <c r="AH76" s="23"/>
      <c r="AI76" s="23"/>
      <c r="AJ76" s="23"/>
      <c r="AK76" s="23"/>
      <c r="AL76" s="23"/>
      <c r="AQ76" s="162" t="s">
        <v>3</v>
      </c>
      <c r="AR76" s="80"/>
      <c r="AS76" s="35" t="s">
        <v>244</v>
      </c>
      <c r="AT76" s="37" t="s">
        <v>241</v>
      </c>
      <c r="AU76" s="43">
        <f>SUM(COUNTIFS(A11:A44,{"TER MIXTE";"TER ESCALE EST"},G11:G44,"OUI"))</f>
        <v>0</v>
      </c>
      <c r="AV76" s="37" t="s">
        <v>239</v>
      </c>
      <c r="AW76" s="163">
        <f>SUM(COUNTIFS(A11:A44,{"TER MIXTE";"TER ESCALE EST"},G11:G44,"NON"))</f>
        <v>0</v>
      </c>
    </row>
    <row r="77" spans="3:49" x14ac:dyDescent="0.25">
      <c r="I77" s="102"/>
      <c r="J77" s="102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28"/>
      <c r="AE77" s="27"/>
      <c r="AF77" s="27"/>
      <c r="AG77" s="27"/>
      <c r="AH77" s="23"/>
      <c r="AI77" s="23"/>
      <c r="AJ77" s="23"/>
      <c r="AK77" s="23"/>
      <c r="AL77" s="23"/>
      <c r="AQ77" s="164"/>
      <c r="AR77" s="26"/>
      <c r="AS77" s="35" t="s">
        <v>243</v>
      </c>
      <c r="AT77" s="37" t="s">
        <v>241</v>
      </c>
      <c r="AU77" s="160">
        <f>AU76/$AP$11</f>
        <v>0</v>
      </c>
      <c r="AV77" s="37" t="s">
        <v>239</v>
      </c>
      <c r="AW77" s="165">
        <f>AW76/$AP$11</f>
        <v>0</v>
      </c>
    </row>
    <row r="78" spans="3:49" x14ac:dyDescent="0.25">
      <c r="I78" s="41"/>
      <c r="J78" s="159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28"/>
      <c r="AE78" s="27"/>
      <c r="AF78" s="27"/>
      <c r="AG78" s="27"/>
      <c r="AH78" s="23"/>
      <c r="AI78" s="23"/>
      <c r="AJ78" s="23"/>
      <c r="AK78" s="23"/>
      <c r="AL78" s="23"/>
      <c r="AQ78" s="166"/>
      <c r="AR78" s="30"/>
      <c r="AS78" s="41"/>
      <c r="AT78" s="40"/>
      <c r="AU78" s="41"/>
      <c r="AV78" s="40"/>
      <c r="AW78" s="167"/>
    </row>
    <row r="79" spans="3:49" x14ac:dyDescent="0.25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28"/>
      <c r="AE79" s="27"/>
      <c r="AF79" s="27"/>
      <c r="AG79" s="27"/>
      <c r="AH79" s="23"/>
      <c r="AI79" s="23"/>
      <c r="AJ79" s="23"/>
      <c r="AK79" s="23"/>
      <c r="AL79" s="23"/>
      <c r="AQ79" s="168" t="s">
        <v>250</v>
      </c>
      <c r="AR79" s="39"/>
      <c r="AS79" s="35" t="s">
        <v>244</v>
      </c>
      <c r="AT79" s="37" t="s">
        <v>241</v>
      </c>
      <c r="AU79" s="36">
        <f>SUM(COUNTIFS(A11:A44,{"TER MIXTE";"TER ESCALE EST"},I11:I44,"OUI"))</f>
        <v>0</v>
      </c>
      <c r="AV79" s="37" t="s">
        <v>239</v>
      </c>
      <c r="AW79" s="163">
        <f>SUM(COUNTIFS(A11:A44,{"TER MIXTE";"TER ESCALE EST"},I11:I44,"NON"))</f>
        <v>0</v>
      </c>
    </row>
    <row r="80" spans="3:49" x14ac:dyDescent="0.25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28"/>
      <c r="AE80" s="27"/>
      <c r="AF80" s="27"/>
      <c r="AG80" s="27"/>
      <c r="AH80" s="23"/>
      <c r="AI80" s="23"/>
      <c r="AJ80" s="23"/>
      <c r="AK80" s="23"/>
      <c r="AL80" s="23"/>
      <c r="AQ80" s="164"/>
      <c r="AR80" s="26"/>
      <c r="AS80" s="35" t="s">
        <v>243</v>
      </c>
      <c r="AT80" s="37" t="s">
        <v>241</v>
      </c>
      <c r="AU80" s="160">
        <f>AU79/$AP$11</f>
        <v>0</v>
      </c>
      <c r="AV80" s="37" t="s">
        <v>239</v>
      </c>
      <c r="AW80" s="165">
        <f>AW79/$AP$11</f>
        <v>0</v>
      </c>
    </row>
    <row r="81" spans="1:49" x14ac:dyDescent="0.25">
      <c r="C81" s="26"/>
      <c r="D81" s="26"/>
      <c r="E81" s="28"/>
      <c r="F81" s="27"/>
      <c r="G81" s="27"/>
      <c r="H81" s="27"/>
      <c r="I81" s="41"/>
      <c r="J81" s="159"/>
      <c r="M81" s="27"/>
      <c r="N81" s="161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28"/>
      <c r="AE81" s="27"/>
      <c r="AF81" s="27"/>
      <c r="AG81" s="27"/>
      <c r="AH81" s="23"/>
      <c r="AI81" s="23"/>
      <c r="AJ81" s="23"/>
      <c r="AK81" s="23"/>
      <c r="AL81" s="23"/>
      <c r="AQ81" s="166"/>
      <c r="AR81" s="30"/>
      <c r="AS81" s="41"/>
      <c r="AT81" s="40"/>
      <c r="AU81" s="41"/>
      <c r="AV81" s="40"/>
      <c r="AW81" s="167"/>
    </row>
    <row r="82" spans="1:49" x14ac:dyDescent="0.25">
      <c r="C82" s="26"/>
      <c r="D82" s="26"/>
      <c r="E82" s="28"/>
      <c r="F82" s="181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28"/>
      <c r="AE82" s="27"/>
      <c r="AF82" s="27"/>
      <c r="AG82" s="27"/>
      <c r="AH82" s="23"/>
      <c r="AI82" s="23"/>
      <c r="AJ82" s="23"/>
      <c r="AK82" s="23"/>
      <c r="AL82" s="23"/>
      <c r="AQ82" s="168" t="s">
        <v>248</v>
      </c>
      <c r="AR82" s="39"/>
      <c r="AS82" s="35" t="s">
        <v>244</v>
      </c>
      <c r="AT82" s="37" t="s">
        <v>241</v>
      </c>
      <c r="AU82" s="36">
        <f>SUM(COUNTIFS(A11:A44,{"TER MIXTE";"TER ESCALE EST"},K11:K44,"OUI"))</f>
        <v>0</v>
      </c>
      <c r="AV82" s="37" t="s">
        <v>239</v>
      </c>
      <c r="AW82" s="163">
        <f>SUM(COUNTIFS(A11:A44,{"TER MIXTE";"TER ESCALE EST"},K11:K44,"NON"))</f>
        <v>0</v>
      </c>
    </row>
    <row r="83" spans="1:49" x14ac:dyDescent="0.25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28"/>
      <c r="AE83" s="27"/>
      <c r="AF83" s="27"/>
      <c r="AG83" s="27"/>
      <c r="AH83" s="23"/>
      <c r="AI83" s="23"/>
      <c r="AJ83" s="23"/>
      <c r="AK83" s="23"/>
      <c r="AL83" s="23"/>
      <c r="AQ83" s="164"/>
      <c r="AR83" s="26"/>
      <c r="AS83" s="35" t="s">
        <v>243</v>
      </c>
      <c r="AT83" s="37" t="s">
        <v>241</v>
      </c>
      <c r="AU83" s="160">
        <f>AU82/$AP$11</f>
        <v>0</v>
      </c>
      <c r="AV83" s="37" t="s">
        <v>239</v>
      </c>
      <c r="AW83" s="165">
        <f>AW82/$AP$11</f>
        <v>0</v>
      </c>
    </row>
    <row r="84" spans="1:49" x14ac:dyDescent="0.25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28"/>
      <c r="AE84" s="27"/>
      <c r="AF84" s="27"/>
      <c r="AG84" s="27"/>
      <c r="AH84" s="23"/>
      <c r="AI84" s="23"/>
      <c r="AJ84" s="23"/>
      <c r="AK84" s="23"/>
      <c r="AL84" s="23"/>
      <c r="AQ84" s="166"/>
      <c r="AR84" s="30"/>
      <c r="AS84" s="41"/>
      <c r="AT84" s="40"/>
      <c r="AU84" s="41"/>
      <c r="AV84" s="40"/>
      <c r="AW84" s="167"/>
    </row>
    <row r="85" spans="1:49" x14ac:dyDescent="0.25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28"/>
      <c r="AE85" s="27"/>
      <c r="AF85" s="27"/>
      <c r="AG85" s="27"/>
      <c r="AH85" s="23"/>
      <c r="AI85" s="23"/>
      <c r="AJ85" s="23"/>
      <c r="AK85" s="23"/>
      <c r="AL85" s="23"/>
      <c r="AQ85" s="168" t="s">
        <v>247</v>
      </c>
      <c r="AR85" s="39"/>
      <c r="AS85" s="35" t="s">
        <v>244</v>
      </c>
      <c r="AT85" s="37" t="s">
        <v>241</v>
      </c>
      <c r="AU85" s="36">
        <f>SUM(COUNTIFS(A11:A44,{"TER MIXTE";"TER ESCALE EST"},M11:M44,"OUI"))</f>
        <v>0</v>
      </c>
      <c r="AV85" s="37" t="s">
        <v>239</v>
      </c>
      <c r="AW85" s="163">
        <f>SUM(COUNTIFS(A11:A44,{"TER MIXTE";"TER ESCALE EST"},M11:M44,"NON"))</f>
        <v>0</v>
      </c>
    </row>
    <row r="86" spans="1:49" x14ac:dyDescent="0.25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8"/>
      <c r="AE86" s="27"/>
      <c r="AF86" s="27"/>
      <c r="AG86" s="27"/>
      <c r="AH86" s="23"/>
      <c r="AI86" s="23"/>
      <c r="AJ86" s="23"/>
      <c r="AK86" s="23"/>
      <c r="AL86" s="23"/>
      <c r="AQ86" s="164"/>
      <c r="AR86" s="26"/>
      <c r="AS86" s="35" t="s">
        <v>243</v>
      </c>
      <c r="AT86" s="37" t="s">
        <v>241</v>
      </c>
      <c r="AU86" s="160">
        <f>AU85/$AP$11</f>
        <v>0</v>
      </c>
      <c r="AV86" s="37" t="s">
        <v>239</v>
      </c>
      <c r="AW86" s="165">
        <f>AW85/$AP$11</f>
        <v>0</v>
      </c>
    </row>
    <row r="87" spans="1:49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8"/>
      <c r="AE87" s="27"/>
      <c r="AF87" s="27"/>
      <c r="AG87" s="27"/>
      <c r="AH87" s="23"/>
      <c r="AI87" s="23"/>
      <c r="AJ87" s="23"/>
      <c r="AK87" s="23"/>
      <c r="AL87" s="23"/>
      <c r="AQ87" s="164"/>
      <c r="AR87" s="26"/>
      <c r="AS87" s="28"/>
      <c r="AT87" s="26"/>
      <c r="AU87" s="27"/>
      <c r="AV87" s="28"/>
      <c r="AW87" s="169"/>
    </row>
    <row r="88" spans="1:49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8"/>
      <c r="AE88" s="27"/>
      <c r="AF88" s="27"/>
      <c r="AG88" s="27"/>
      <c r="AH88" s="23"/>
      <c r="AI88" s="23"/>
      <c r="AJ88" s="23"/>
      <c r="AK88" s="23"/>
      <c r="AL88" s="23"/>
      <c r="AQ88" s="168" t="s">
        <v>246</v>
      </c>
      <c r="AR88" s="39"/>
      <c r="AS88" s="35" t="s">
        <v>244</v>
      </c>
      <c r="AT88" s="37" t="s">
        <v>241</v>
      </c>
      <c r="AU88" s="36">
        <f>SUM(COUNTIFS(A11:A44,{"TER MIXTE";"TER ESCALE EST"},O11:O44,"OUI"))</f>
        <v>0</v>
      </c>
      <c r="AV88" s="37" t="s">
        <v>239</v>
      </c>
      <c r="AW88" s="163">
        <f>SUM(COUNTIFS(A11:A44,{"TER MIXTE";"TER ESCALE EST"},O11:O44,"NON"))</f>
        <v>0</v>
      </c>
    </row>
    <row r="89" spans="1:49" x14ac:dyDescent="0.25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8"/>
      <c r="AE89" s="27"/>
      <c r="AF89" s="27"/>
      <c r="AG89" s="27"/>
      <c r="AH89" s="23"/>
      <c r="AI89" s="23"/>
      <c r="AJ89" s="23"/>
      <c r="AK89" s="23"/>
      <c r="AL89" s="23"/>
      <c r="AQ89" s="164"/>
      <c r="AR89" s="26"/>
      <c r="AS89" s="35" t="s">
        <v>243</v>
      </c>
      <c r="AT89" s="37" t="s">
        <v>241</v>
      </c>
      <c r="AU89" s="160">
        <f>AU88/$AP$11</f>
        <v>0</v>
      </c>
      <c r="AV89" s="37" t="s">
        <v>239</v>
      </c>
      <c r="AW89" s="165">
        <f>AW88/$AP$11</f>
        <v>0</v>
      </c>
    </row>
    <row r="90" spans="1:49" x14ac:dyDescent="0.25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8"/>
      <c r="AE90" s="27"/>
      <c r="AF90" s="27"/>
      <c r="AG90" s="27"/>
      <c r="AH90" s="23"/>
      <c r="AI90" s="23"/>
      <c r="AJ90" s="23"/>
      <c r="AK90" s="23"/>
      <c r="AL90" s="23"/>
      <c r="AQ90" s="164"/>
      <c r="AR90" s="26"/>
      <c r="AS90" s="28"/>
      <c r="AT90" s="26"/>
      <c r="AU90" s="27"/>
      <c r="AV90" s="28"/>
      <c r="AW90" s="169"/>
    </row>
    <row r="91" spans="1:49" x14ac:dyDescent="0.25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8"/>
      <c r="AE91" s="27"/>
      <c r="AF91" s="27"/>
      <c r="AG91" s="27"/>
      <c r="AH91" s="23"/>
      <c r="AI91" s="23"/>
      <c r="AJ91" s="23"/>
      <c r="AK91" s="23"/>
      <c r="AL91" s="23"/>
      <c r="AQ91" s="174" t="s">
        <v>245</v>
      </c>
      <c r="AR91" s="175"/>
      <c r="AS91" s="35" t="s">
        <v>244</v>
      </c>
      <c r="AT91" s="37" t="s">
        <v>241</v>
      </c>
      <c r="AU91" s="36">
        <f>SUM(COUNTIFS(A11:A44,{"TER MIXTE";"TER ESCALE EST"},Q11:Q44,"OUI"))</f>
        <v>0</v>
      </c>
      <c r="AV91" s="37" t="s">
        <v>239</v>
      </c>
      <c r="AW91" s="163">
        <f>SUM(COUNTIFS(A11:A44,{"TER MIXTE";"TER ESCALE EST"},Q11:Q44,"NON"))</f>
        <v>0</v>
      </c>
    </row>
    <row r="92" spans="1:49" x14ac:dyDescent="0.25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8"/>
      <c r="AE92" s="27"/>
      <c r="AF92" s="27"/>
      <c r="AG92" s="27"/>
      <c r="AH92" s="23"/>
      <c r="AI92" s="23"/>
      <c r="AJ92" s="23"/>
      <c r="AK92" s="23"/>
      <c r="AL92" s="23"/>
      <c r="AQ92" s="164"/>
      <c r="AR92" s="26"/>
      <c r="AS92" s="35" t="s">
        <v>243</v>
      </c>
      <c r="AT92" s="37" t="s">
        <v>241</v>
      </c>
      <c r="AU92" s="160">
        <f>AU91/$AP$11</f>
        <v>0</v>
      </c>
      <c r="AV92" s="37" t="s">
        <v>239</v>
      </c>
      <c r="AW92" s="165">
        <f>AW91/$AP$11</f>
        <v>0</v>
      </c>
    </row>
    <row r="93" spans="1:49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8"/>
      <c r="AE93" s="27"/>
      <c r="AF93" s="27"/>
      <c r="AG93" s="27"/>
      <c r="AH93" s="23"/>
      <c r="AI93" s="23"/>
      <c r="AJ93" s="23"/>
      <c r="AK93" s="23"/>
      <c r="AL93" s="23"/>
      <c r="AQ93" s="164"/>
      <c r="AR93" s="26"/>
      <c r="AS93" s="28"/>
      <c r="AT93" s="26"/>
      <c r="AU93" s="27"/>
      <c r="AV93" s="28"/>
      <c r="AW93" s="169"/>
    </row>
    <row r="94" spans="1:49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8"/>
      <c r="AE94" s="27"/>
      <c r="AF94" s="27"/>
      <c r="AG94" s="27"/>
      <c r="AH94" s="23"/>
      <c r="AI94" s="23"/>
      <c r="AJ94" s="23"/>
      <c r="AK94" s="23"/>
      <c r="AL94" s="23"/>
      <c r="AQ94" s="168" t="s">
        <v>554</v>
      </c>
      <c r="AR94" s="39"/>
      <c r="AS94" s="35" t="s">
        <v>244</v>
      </c>
      <c r="AT94" s="37" t="s">
        <v>241</v>
      </c>
      <c r="AU94" s="36">
        <f>SUM(COUNTIFS(A11:A44,{"TER MIXTE";"TER ESCALE EST"},U11:U44,"OUI"))</f>
        <v>0</v>
      </c>
      <c r="AV94" s="37" t="s">
        <v>239</v>
      </c>
      <c r="AW94" s="163">
        <f>SUM(COUNTIFS(A11:A44,{"TER MIXTE";"TER ESCALE EST"},U11:U44,"NON"))</f>
        <v>0</v>
      </c>
    </row>
    <row r="95" spans="1:49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8"/>
      <c r="AE95" s="27"/>
      <c r="AF95" s="27"/>
      <c r="AG95" s="27"/>
      <c r="AH95" s="23"/>
      <c r="AI95" s="23"/>
      <c r="AJ95" s="23"/>
      <c r="AK95" s="23"/>
      <c r="AL95" s="23"/>
      <c r="AQ95" s="164"/>
      <c r="AR95" s="26"/>
      <c r="AS95" s="35" t="s">
        <v>243</v>
      </c>
      <c r="AT95" s="37" t="s">
        <v>241</v>
      </c>
      <c r="AU95" s="160">
        <f>AU94/$AP$11</f>
        <v>0</v>
      </c>
      <c r="AV95" s="37" t="s">
        <v>239</v>
      </c>
      <c r="AW95" s="165">
        <f>AW94/$AP$11</f>
        <v>0</v>
      </c>
    </row>
    <row r="96" spans="1:49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8"/>
      <c r="AE96" s="27"/>
      <c r="AF96" s="27"/>
      <c r="AG96" s="27"/>
      <c r="AH96" s="23"/>
      <c r="AI96" s="23"/>
      <c r="AJ96" s="23"/>
      <c r="AK96" s="23"/>
      <c r="AL96" s="23"/>
      <c r="AQ96" s="164"/>
      <c r="AR96" s="26"/>
      <c r="AS96" s="245"/>
      <c r="AT96" s="28"/>
      <c r="AU96" s="246"/>
      <c r="AV96" s="28"/>
      <c r="AW96" s="247"/>
    </row>
    <row r="97" spans="1:49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8"/>
      <c r="AE97" s="27"/>
      <c r="AF97" s="27"/>
      <c r="AG97" s="27"/>
      <c r="AH97" s="23"/>
      <c r="AI97" s="23"/>
      <c r="AJ97" s="23"/>
      <c r="AK97" s="23"/>
      <c r="AL97" s="23"/>
      <c r="AQ97" s="164"/>
      <c r="AR97" s="26"/>
      <c r="AS97" s="28"/>
      <c r="AT97" s="26"/>
      <c r="AU97" s="27"/>
      <c r="AV97" s="28"/>
      <c r="AW97" s="169"/>
    </row>
    <row r="98" spans="1:49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8"/>
      <c r="AE98" s="27"/>
      <c r="AF98" s="27"/>
      <c r="AG98" s="27"/>
      <c r="AH98" s="23"/>
      <c r="AI98" s="23"/>
      <c r="AJ98" s="23"/>
      <c r="AK98" s="23"/>
      <c r="AL98" s="23"/>
      <c r="AQ98" s="164"/>
      <c r="AR98" s="26"/>
      <c r="AS98" s="28"/>
      <c r="AT98" s="26"/>
      <c r="AU98" s="27"/>
      <c r="AV98" s="28"/>
      <c r="AW98" s="169"/>
    </row>
    <row r="99" spans="1:49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8"/>
      <c r="AE99" s="27"/>
      <c r="AF99" s="27"/>
      <c r="AG99" s="27"/>
      <c r="AH99" s="23"/>
      <c r="AI99" s="23"/>
      <c r="AJ99" s="23"/>
      <c r="AK99" s="23"/>
      <c r="AL99" s="23"/>
      <c r="AQ99" s="168" t="s">
        <v>575</v>
      </c>
      <c r="AR99" s="39"/>
      <c r="AS99" s="35" t="s">
        <v>244</v>
      </c>
      <c r="AT99" s="37" t="s">
        <v>241</v>
      </c>
      <c r="AU99" s="36">
        <f>SUM(COUNTIFS(A11:A44,{"TER MIXTE";"TER ESCALE EST"},W11:W44,"OUI"))</f>
        <v>0</v>
      </c>
      <c r="AV99" s="37" t="s">
        <v>239</v>
      </c>
      <c r="AW99" s="163">
        <f>SUM(COUNTIFS(A11:A44,{"TER MIXTE";"TER ESCALE EST"},W11:W44,"NON"))</f>
        <v>0</v>
      </c>
    </row>
    <row r="100" spans="1:49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8"/>
      <c r="AE100" s="27"/>
      <c r="AF100" s="27"/>
      <c r="AG100" s="27"/>
      <c r="AH100" s="23"/>
      <c r="AI100" s="23"/>
      <c r="AJ100" s="23"/>
      <c r="AK100" s="23"/>
      <c r="AL100" s="23"/>
      <c r="AQ100" s="164"/>
      <c r="AR100" s="26"/>
      <c r="AS100" s="35" t="s">
        <v>243</v>
      </c>
      <c r="AT100" s="37" t="s">
        <v>241</v>
      </c>
      <c r="AU100" s="160">
        <f>AU99/$AP$11</f>
        <v>0</v>
      </c>
      <c r="AV100" s="37" t="s">
        <v>239</v>
      </c>
      <c r="AW100" s="165">
        <f>AW99/$AP$11</f>
        <v>0</v>
      </c>
    </row>
    <row r="101" spans="1:49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8"/>
      <c r="AE101" s="27"/>
      <c r="AF101" s="27"/>
      <c r="AG101" s="27"/>
      <c r="AH101" s="23"/>
      <c r="AI101" s="23"/>
      <c r="AJ101" s="23"/>
      <c r="AK101" s="23"/>
      <c r="AL101" s="23"/>
      <c r="AQ101" s="164"/>
      <c r="AR101" s="26"/>
      <c r="AS101" s="41"/>
      <c r="AT101" s="102"/>
      <c r="AU101" s="102"/>
      <c r="AV101" s="102"/>
      <c r="AW101" s="170"/>
    </row>
    <row r="102" spans="1:49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8"/>
      <c r="AE102" s="27"/>
      <c r="AF102" s="27"/>
      <c r="AG102" s="27"/>
      <c r="AH102" s="23"/>
      <c r="AI102" s="23"/>
      <c r="AJ102" s="23"/>
      <c r="AK102" s="23"/>
      <c r="AL102" s="23"/>
      <c r="AQ102" s="168" t="s">
        <v>576</v>
      </c>
      <c r="AR102" s="39"/>
      <c r="AS102" s="35" t="s">
        <v>244</v>
      </c>
      <c r="AT102" s="37" t="s">
        <v>241</v>
      </c>
      <c r="AU102" s="36">
        <f>SUM(COUNTIFS(A11:A44,{"TER MIXTE";"TER ESCALE EST"},Y11:Y44,"OUI"))</f>
        <v>0</v>
      </c>
      <c r="AV102" s="37" t="s">
        <v>239</v>
      </c>
      <c r="AW102" s="163">
        <f>SUM(COUNTIFS(A11:A44,{"TER MIXTE";"TER ESCALE EST"},Y11:Y44,"NON"))</f>
        <v>0</v>
      </c>
    </row>
    <row r="103" spans="1:49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8"/>
      <c r="AE103" s="27"/>
      <c r="AF103" s="27"/>
      <c r="AG103" s="27"/>
      <c r="AH103" s="23"/>
      <c r="AI103" s="23"/>
      <c r="AJ103" s="23"/>
      <c r="AK103" s="23"/>
      <c r="AL103" s="23"/>
      <c r="AQ103" s="164"/>
      <c r="AR103" s="26"/>
      <c r="AS103" s="35" t="s">
        <v>243</v>
      </c>
      <c r="AT103" s="37" t="s">
        <v>241</v>
      </c>
      <c r="AU103" s="160">
        <f>AU102/$AP$11</f>
        <v>0</v>
      </c>
      <c r="AV103" s="37" t="s">
        <v>239</v>
      </c>
      <c r="AW103" s="165">
        <f>AW102/$AP$11</f>
        <v>0</v>
      </c>
    </row>
    <row r="104" spans="1:49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8"/>
      <c r="AE104" s="27"/>
      <c r="AF104" s="27"/>
      <c r="AG104" s="27"/>
      <c r="AH104" s="23"/>
      <c r="AI104" s="23"/>
      <c r="AJ104" s="23"/>
      <c r="AK104" s="23"/>
      <c r="AL104" s="23"/>
      <c r="AQ104" s="164"/>
      <c r="AR104" s="26"/>
      <c r="AS104" s="28"/>
      <c r="AT104" s="26"/>
      <c r="AU104" s="27"/>
      <c r="AV104" s="28"/>
      <c r="AW104" s="169"/>
    </row>
    <row r="105" spans="1:49" ht="13.5" thickBot="1" x14ac:dyDescent="0.3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8"/>
      <c r="AE105" s="27"/>
      <c r="AF105" s="27"/>
      <c r="AG105" s="27"/>
      <c r="AH105" s="23"/>
      <c r="AI105" s="23"/>
      <c r="AJ105" s="23"/>
      <c r="AK105" s="23"/>
      <c r="AL105" s="23"/>
      <c r="AQ105" s="171"/>
      <c r="AR105" s="172"/>
      <c r="AS105" s="176" t="s">
        <v>623</v>
      </c>
      <c r="AT105" s="177" t="s">
        <v>241</v>
      </c>
      <c r="AU105" s="178">
        <f>(AVERAGE(AU102,AU99,AU94,AU91,AU88,AU85,AU82,AU79,AU76,AU73))/AP11</f>
        <v>0</v>
      </c>
      <c r="AV105" s="179" t="s">
        <v>239</v>
      </c>
      <c r="AW105" s="180">
        <f>(AVERAGE(AW102,AW99,AW94,AW91,AW88,AW85,AW82,AW79,AW76,AW73))/AP11</f>
        <v>0</v>
      </c>
    </row>
    <row r="106" spans="1:49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8"/>
      <c r="AE106" s="27"/>
      <c r="AF106" s="27"/>
      <c r="AG106" s="27"/>
      <c r="AH106" s="23"/>
      <c r="AI106" s="23"/>
      <c r="AJ106" s="23"/>
      <c r="AK106" s="23"/>
      <c r="AL106" s="23"/>
    </row>
    <row r="107" spans="1:49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8"/>
      <c r="AE107" s="27"/>
      <c r="AF107" s="27"/>
      <c r="AG107" s="27"/>
      <c r="AH107" s="23"/>
      <c r="AI107" s="23"/>
      <c r="AJ107" s="23"/>
      <c r="AK107" s="23"/>
      <c r="AL107" s="23"/>
    </row>
    <row r="108" spans="1:49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8"/>
      <c r="AE108" s="27"/>
      <c r="AF108" s="27"/>
      <c r="AG108" s="27"/>
      <c r="AH108" s="23"/>
      <c r="AI108" s="23"/>
      <c r="AJ108" s="23"/>
      <c r="AK108" s="23"/>
      <c r="AL108" s="23"/>
    </row>
    <row r="109" spans="1:49" x14ac:dyDescent="0.25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8"/>
      <c r="AE109" s="27"/>
      <c r="AF109" s="27"/>
      <c r="AG109" s="27"/>
      <c r="AH109" s="23"/>
      <c r="AI109" s="23"/>
      <c r="AJ109" s="23"/>
      <c r="AK109" s="23"/>
      <c r="AL109" s="23"/>
    </row>
    <row r="110" spans="1:49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8"/>
      <c r="AE110" s="27"/>
      <c r="AF110" s="27"/>
      <c r="AG110" s="27"/>
      <c r="AH110" s="23"/>
      <c r="AI110" s="23"/>
      <c r="AJ110" s="23"/>
      <c r="AK110" s="23"/>
      <c r="AL110" s="23"/>
    </row>
    <row r="111" spans="1:49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8"/>
      <c r="AE111" s="27"/>
      <c r="AF111" s="27"/>
      <c r="AG111" s="27"/>
      <c r="AH111" s="23"/>
      <c r="AI111" s="23"/>
      <c r="AJ111" s="23"/>
      <c r="AK111" s="23"/>
      <c r="AL111" s="23"/>
    </row>
    <row r="112" spans="1:49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8"/>
      <c r="AE112" s="27"/>
      <c r="AF112" s="27"/>
      <c r="AG112" s="27"/>
      <c r="AH112" s="23"/>
      <c r="AI112" s="23"/>
      <c r="AJ112" s="23"/>
      <c r="AK112" s="23"/>
      <c r="AL112" s="23"/>
    </row>
    <row r="113" spans="1:38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8"/>
      <c r="AE113" s="27"/>
      <c r="AF113" s="27"/>
      <c r="AG113" s="27"/>
      <c r="AH113" s="23"/>
      <c r="AI113" s="23"/>
      <c r="AJ113" s="23"/>
      <c r="AK113" s="23"/>
      <c r="AL113" s="23"/>
    </row>
    <row r="114" spans="1:38" x14ac:dyDescent="0.25">
      <c r="AH114" s="23"/>
      <c r="AI114" s="23"/>
      <c r="AJ114" s="23"/>
      <c r="AK114" s="23"/>
      <c r="AL114" s="23"/>
    </row>
  </sheetData>
  <autoFilter ref="A7:AL47"/>
  <mergeCells count="22">
    <mergeCell ref="AQ72:AW72"/>
    <mergeCell ref="AD5:AM5"/>
    <mergeCell ref="A2:C2"/>
    <mergeCell ref="A4:C5"/>
    <mergeCell ref="E5:AC5"/>
    <mergeCell ref="E6:F6"/>
    <mergeCell ref="G6:H6"/>
    <mergeCell ref="I6:J6"/>
    <mergeCell ref="K6:L6"/>
    <mergeCell ref="M6:N6"/>
    <mergeCell ref="O6:P6"/>
    <mergeCell ref="Q6:R6"/>
    <mergeCell ref="AD6:AE6"/>
    <mergeCell ref="AF6:AG6"/>
    <mergeCell ref="AH6:AI6"/>
    <mergeCell ref="S6:T6"/>
    <mergeCell ref="AD58:AE58"/>
    <mergeCell ref="U6:V6"/>
    <mergeCell ref="Y6:Z6"/>
    <mergeCell ref="W6:X6"/>
    <mergeCell ref="AJ6:AK6"/>
    <mergeCell ref="AA6:AB6"/>
  </mergeCells>
  <phoneticPr fontId="8" type="noConversion"/>
  <conditionalFormatting sqref="W14:W15 Y19:Y20 U19:U20 W19:W20 Q19:Q20 K19:K20 O19:O20 I19:I20 G19:G20 M19:M20 E19:E20 K82:K65546 AV104:AV105 AV73:AV74 E82:E65546 AT104:AT105 E22 M22 G22 I22 O22 K22 Q22 W22 U22 Y22 E1:E8 M6:M8 G8 I6:I8 O8 K6:K8 Q8 U8:U15 Y8:Y15 W8:W12 G10:G15 E10:E15 M10:M15 I10:I15 O10:O15 K10:K15 Q10:Q15 U17 Y17 W17 G17 E17 M17 I17 O17 K17 Q17 AA8:AA20 U24:U29 Y24:Y29 W24:W29 G24:G29 E24:E29 M24:M29 I24:I29 O24:O29 K24:K29 Q24:Q29 U31:U49 Y31:Y49 W31:W49 G31:G49 E31:E49 M31:M49 I31:I49 O31:O49 K31:K50 Q31:Q49 AA22:AA47">
    <cfRule type="cellIs" dxfId="138" priority="255" stopIfTrue="1" operator="equal">
      <formula>"NON"</formula>
    </cfRule>
    <cfRule type="cellIs" dxfId="137" priority="256" stopIfTrue="1" operator="equal">
      <formula>"OUI"</formula>
    </cfRule>
    <cfRule type="cellIs" dxfId="136" priority="257" stopIfTrue="1" operator="equal">
      <formula>"INSCRIT"</formula>
    </cfRule>
  </conditionalFormatting>
  <conditionalFormatting sqref="AH19:AH20 AJ19:AJ20 AJ22 AH22 AJ10:AJ15 AH10:AH15 AJ8 AH8 AF19:AF20 AD19:AD20 AM19:AM20 AM8:AM17 AD8:AD17 AF8:AF17 AJ24:AJ29 AH24:AH29 AM23:AM29 AD22:AD29 AF22:AF29 AJ31:AJ49 AH31:AH49 AM31:AM49 AD31:AD49 AF31:AF49">
    <cfRule type="cellIs" dxfId="135" priority="243" stopIfTrue="1" operator="equal">
      <formula>"oui"</formula>
    </cfRule>
    <cfRule type="cellIs" dxfId="134" priority="244" stopIfTrue="1" operator="equal">
      <formula>"non"</formula>
    </cfRule>
    <cfRule type="cellIs" dxfId="133" priority="245" stopIfTrue="1" operator="equal">
      <formula>"prevu"</formula>
    </cfRule>
  </conditionalFormatting>
  <conditionalFormatting sqref="I57 I60 I63 I65:I66 I68:I69 I71 I1:I4 K1:K4 M1:M4 I54 M50:M65546 I50:I51 AT97:AT98 AV97:AV98 I74 I80:I65546 AV76:AV77 AV79:AV80 AV82:AV83 AV85:AV93 AT73:AT93">
    <cfRule type="cellIs" dxfId="132" priority="323" stopIfTrue="1" operator="equal">
      <formula>"NON"</formula>
    </cfRule>
    <cfRule type="cellIs" dxfId="131" priority="324" stopIfTrue="1" operator="equal">
      <formula>"OUI"</formula>
    </cfRule>
    <cfRule type="cellIs" dxfId="130" priority="325" stopIfTrue="1" operator="equal">
      <formula>"INSCRIT"</formula>
    </cfRule>
  </conditionalFormatting>
  <conditionalFormatting sqref="AC8:AC49">
    <cfRule type="cellIs" dxfId="129" priority="317" stopIfTrue="1" operator="greaterThan">
      <formula>0.75</formula>
    </cfRule>
    <cfRule type="cellIs" dxfId="128" priority="318" stopIfTrue="1" operator="between">
      <formula>0.5</formula>
      <formula>0.75</formula>
    </cfRule>
    <cfRule type="cellIs" dxfId="127" priority="319" stopIfTrue="1" operator="between">
      <formula>0.25</formula>
      <formula>0.5</formula>
    </cfRule>
  </conditionalFormatting>
  <conditionalFormatting sqref="AH17 AJ17">
    <cfRule type="cellIs" dxfId="126" priority="326" stopIfTrue="1" operator="equal">
      <formula>"oui"</formula>
    </cfRule>
    <cfRule type="cellIs" dxfId="125" priority="327" stopIfTrue="1" operator="equal">
      <formula>"non"</formula>
    </cfRule>
    <cfRule type="cellIs" dxfId="124" priority="328" stopIfTrue="1" operator="equal">
      <formula>"prevu"</formula>
    </cfRule>
  </conditionalFormatting>
  <conditionalFormatting sqref="AL22 AL19:AL20 AL9:AL15 AL17 AL24:AL29 AL31:AL49">
    <cfRule type="cellIs" dxfId="123" priority="329" stopIfTrue="1" operator="greaterThan">
      <formula>0</formula>
    </cfRule>
  </conditionalFormatting>
  <conditionalFormatting sqref="Q9 K9 O9 I9 G9 M9 E9">
    <cfRule type="cellIs" dxfId="122" priority="270" stopIfTrue="1" operator="equal">
      <formula>"NON"</formula>
    </cfRule>
    <cfRule type="cellIs" dxfId="121" priority="271" stopIfTrue="1" operator="equal">
      <formula>"OUI"</formula>
    </cfRule>
    <cfRule type="cellIs" dxfId="120" priority="272" stopIfTrue="1" operator="equal">
      <formula>"INSCRIT"</formula>
    </cfRule>
  </conditionalFormatting>
  <conditionalFormatting sqref="AH9 AJ9">
    <cfRule type="cellIs" dxfId="119" priority="273" stopIfTrue="1" operator="equal">
      <formula>"oui"</formula>
    </cfRule>
    <cfRule type="cellIs" dxfId="118" priority="274" stopIfTrue="1" operator="equal">
      <formula>"non"</formula>
    </cfRule>
    <cfRule type="cellIs" dxfId="117" priority="275" stopIfTrue="1" operator="equal">
      <formula>"prevu"</formula>
    </cfRule>
  </conditionalFormatting>
  <conditionalFormatting sqref="W13">
    <cfRule type="cellIs" dxfId="116" priority="252" stopIfTrue="1" operator="equal">
      <formula>"NON"</formula>
    </cfRule>
    <cfRule type="cellIs" dxfId="115" priority="253" stopIfTrue="1" operator="equal">
      <formula>"OUI"</formula>
    </cfRule>
    <cfRule type="cellIs" dxfId="114" priority="254" stopIfTrue="1" operator="equal">
      <formula>"INSCRIT"</formula>
    </cfRule>
  </conditionalFormatting>
  <conditionalFormatting sqref="I75 AT99:AT101 AV99:AV100">
    <cfRule type="cellIs" dxfId="113" priority="236" stopIfTrue="1" operator="equal">
      <formula>"NON"</formula>
    </cfRule>
    <cfRule type="cellIs" dxfId="112" priority="237" stopIfTrue="1" operator="equal">
      <formula>"OUI"</formula>
    </cfRule>
    <cfRule type="cellIs" dxfId="111" priority="238" stopIfTrue="1" operator="equal">
      <formula>"INSCRIT"</formula>
    </cfRule>
  </conditionalFormatting>
  <conditionalFormatting sqref="I72 AT94:AT96 AV94:AV96">
    <cfRule type="cellIs" dxfId="110" priority="239" stopIfTrue="1" operator="equal">
      <formula>"NON"</formula>
    </cfRule>
    <cfRule type="cellIs" dxfId="109" priority="240" stopIfTrue="1" operator="equal">
      <formula>"OUI"</formula>
    </cfRule>
    <cfRule type="cellIs" dxfId="108" priority="241" stopIfTrue="1" operator="equal">
      <formula>"INSCRIT"</formula>
    </cfRule>
  </conditionalFormatting>
  <conditionalFormatting sqref="I78 AT102:AT103 AV102:AV103">
    <cfRule type="cellIs" dxfId="107" priority="233" stopIfTrue="1" operator="equal">
      <formula>"NON"</formula>
    </cfRule>
    <cfRule type="cellIs" dxfId="106" priority="234" stopIfTrue="1" operator="equal">
      <formula>"OUI"</formula>
    </cfRule>
    <cfRule type="cellIs" dxfId="105" priority="235" stopIfTrue="1" operator="equal">
      <formula>"INSCRIT"</formula>
    </cfRule>
  </conditionalFormatting>
  <conditionalFormatting sqref="AH16 AJ16">
    <cfRule type="cellIs" dxfId="104" priority="156" stopIfTrue="1" operator="equal">
      <formula>"oui"</formula>
    </cfRule>
    <cfRule type="cellIs" dxfId="103" priority="157" stopIfTrue="1" operator="equal">
      <formula>"non"</formula>
    </cfRule>
    <cfRule type="cellIs" dxfId="102" priority="158" stopIfTrue="1" operator="equal">
      <formula>"prevu"</formula>
    </cfRule>
  </conditionalFormatting>
  <conditionalFormatting sqref="Y16 U16 W16 Q16 K16 O16 I16 G16 M16 E16">
    <cfRule type="cellIs" dxfId="101" priority="159" stopIfTrue="1" operator="equal">
      <formula>"NON"</formula>
    </cfRule>
    <cfRule type="cellIs" dxfId="100" priority="160" stopIfTrue="1" operator="equal">
      <formula>"OUI"</formula>
    </cfRule>
    <cfRule type="cellIs" dxfId="99" priority="161" stopIfTrue="1" operator="equal">
      <formula>"INSCRIT"</formula>
    </cfRule>
  </conditionalFormatting>
  <conditionalFormatting sqref="AL16">
    <cfRule type="cellIs" dxfId="98" priority="168" stopIfTrue="1" operator="greaterThan">
      <formula>0</formula>
    </cfRule>
  </conditionalFormatting>
  <conditionalFormatting sqref="AJ23 AH23">
    <cfRule type="cellIs" dxfId="97" priority="137" stopIfTrue="1" operator="equal">
      <formula>"oui"</formula>
    </cfRule>
    <cfRule type="cellIs" dxfId="96" priority="138" stopIfTrue="1" operator="equal">
      <formula>"non"</formula>
    </cfRule>
    <cfRule type="cellIs" dxfId="95" priority="139" stopIfTrue="1" operator="equal">
      <formula>"prevu"</formula>
    </cfRule>
  </conditionalFormatting>
  <conditionalFormatting sqref="U23 Y23">
    <cfRule type="cellIs" dxfId="94" priority="140" stopIfTrue="1" operator="equal">
      <formula>"NON"</formula>
    </cfRule>
    <cfRule type="cellIs" dxfId="93" priority="141" stopIfTrue="1" operator="equal">
      <formula>"OUI"</formula>
    </cfRule>
    <cfRule type="cellIs" dxfId="92" priority="142" stopIfTrue="1" operator="equal">
      <formula>"INSCRIT"</formula>
    </cfRule>
  </conditionalFormatting>
  <conditionalFormatting sqref="Q23 K23 O23 I23 G23 M23 E23">
    <cfRule type="cellIs" dxfId="91" priority="152" stopIfTrue="1" operator="equal">
      <formula>"NON"</formula>
    </cfRule>
    <cfRule type="cellIs" dxfId="90" priority="153" stopIfTrue="1" operator="equal">
      <formula>"OUI"</formula>
    </cfRule>
    <cfRule type="cellIs" dxfId="89" priority="154" stopIfTrue="1" operator="equal">
      <formula>"INSCRIT"</formula>
    </cfRule>
  </conditionalFormatting>
  <conditionalFormatting sqref="AL23">
    <cfRule type="cellIs" dxfId="88" priority="155" stopIfTrue="1" operator="greaterThan">
      <formula>0</formula>
    </cfRule>
  </conditionalFormatting>
  <conditionalFormatting sqref="W23">
    <cfRule type="cellIs" dxfId="87" priority="143" stopIfTrue="1" operator="equal">
      <formula>"NON"</formula>
    </cfRule>
    <cfRule type="cellIs" dxfId="86" priority="144" stopIfTrue="1" operator="equal">
      <formula>"OUI"</formula>
    </cfRule>
    <cfRule type="cellIs" dxfId="85" priority="145" stopIfTrue="1" operator="equal">
      <formula>"INSCRIT"</formula>
    </cfRule>
  </conditionalFormatting>
  <conditionalFormatting sqref="AM22">
    <cfRule type="cellIs" dxfId="84" priority="127" stopIfTrue="1" operator="equal">
      <formula>"oui"</formula>
    </cfRule>
    <cfRule type="cellIs" dxfId="83" priority="128" stopIfTrue="1" operator="equal">
      <formula>"non"</formula>
    </cfRule>
    <cfRule type="cellIs" dxfId="82" priority="129" stopIfTrue="1" operator="equal">
      <formula>"prevu"</formula>
    </cfRule>
  </conditionalFormatting>
  <conditionalFormatting sqref="U30 Y30 W30 Q30 K30 O30 I30 G30 M30 E30">
    <cfRule type="cellIs" dxfId="81" priority="92" stopIfTrue="1" operator="equal">
      <formula>"NON"</formula>
    </cfRule>
    <cfRule type="cellIs" dxfId="80" priority="93" stopIfTrue="1" operator="equal">
      <formula>"OUI"</formula>
    </cfRule>
    <cfRule type="cellIs" dxfId="79" priority="94" stopIfTrue="1" operator="equal">
      <formula>"INSCRIT"</formula>
    </cfRule>
  </conditionalFormatting>
  <conditionalFormatting sqref="AM30 AD30 AF30">
    <cfRule type="cellIs" dxfId="78" priority="89" stopIfTrue="1" operator="equal">
      <formula>"oui"</formula>
    </cfRule>
    <cfRule type="cellIs" dxfId="77" priority="90" stopIfTrue="1" operator="equal">
      <formula>"non"</formula>
    </cfRule>
    <cfRule type="cellIs" dxfId="76" priority="91" stopIfTrue="1" operator="equal">
      <formula>"prevu"</formula>
    </cfRule>
  </conditionalFormatting>
  <conditionalFormatting sqref="AL30">
    <cfRule type="cellIs" dxfId="75" priority="107" stopIfTrue="1" operator="greaterThan">
      <formula>0</formula>
    </cfRule>
  </conditionalFormatting>
  <conditionalFormatting sqref="AH30">
    <cfRule type="cellIs" dxfId="74" priority="98" stopIfTrue="1" operator="equal">
      <formula>"oui"</formula>
    </cfRule>
    <cfRule type="cellIs" dxfId="73" priority="99" stopIfTrue="1" operator="equal">
      <formula>"non"</formula>
    </cfRule>
    <cfRule type="cellIs" dxfId="72" priority="100" stopIfTrue="1" operator="equal">
      <formula>"prevu"</formula>
    </cfRule>
  </conditionalFormatting>
  <conditionalFormatting sqref="AJ30">
    <cfRule type="cellIs" dxfId="71" priority="95" stopIfTrue="1" operator="equal">
      <formula>"oui"</formula>
    </cfRule>
    <cfRule type="cellIs" dxfId="70" priority="96" stopIfTrue="1" operator="equal">
      <formula>"non"</formula>
    </cfRule>
    <cfRule type="cellIs" dxfId="69" priority="97" stopIfTrue="1" operator="equal">
      <formula>"prevu"</formula>
    </cfRule>
  </conditionalFormatting>
  <conditionalFormatting sqref="U18 Y18 W18 Q18 K18 O18 I18 G18 M18 E18">
    <cfRule type="cellIs" dxfId="68" priority="79" stopIfTrue="1" operator="equal">
      <formula>"NON"</formula>
    </cfRule>
    <cfRule type="cellIs" dxfId="67" priority="80" stopIfTrue="1" operator="equal">
      <formula>"OUI"</formula>
    </cfRule>
    <cfRule type="cellIs" dxfId="66" priority="81" stopIfTrue="1" operator="equal">
      <formula>"INSCRIT"</formula>
    </cfRule>
  </conditionalFormatting>
  <conditionalFormatting sqref="AM18 AD18 AF18 AH18 AJ18">
    <cfRule type="cellIs" dxfId="65" priority="76" stopIfTrue="1" operator="equal">
      <formula>"oui"</formula>
    </cfRule>
    <cfRule type="cellIs" dxfId="64" priority="77" stopIfTrue="1" operator="equal">
      <formula>"non"</formula>
    </cfRule>
    <cfRule type="cellIs" dxfId="63" priority="78" stopIfTrue="1" operator="equal">
      <formula>"prevu"</formula>
    </cfRule>
  </conditionalFormatting>
  <conditionalFormatting sqref="AL8 AL18">
    <cfRule type="cellIs" dxfId="62" priority="88" stopIfTrue="1" operator="greaterThan">
      <formula>0</formula>
    </cfRule>
  </conditionalFormatting>
  <conditionalFormatting sqref="A8:A63">
    <cfRule type="containsText" dxfId="61" priority="39" operator="containsText" text="EMI">
      <formula>NOT(ISERROR(SEARCH("EMI",A8)))</formula>
    </cfRule>
  </conditionalFormatting>
  <conditionalFormatting sqref="AJ21 AH21 AD21 AF21">
    <cfRule type="cellIs" dxfId="60" priority="12" stopIfTrue="1" operator="equal">
      <formula>"oui"</formula>
    </cfRule>
    <cfRule type="cellIs" dxfId="59" priority="13" stopIfTrue="1" operator="equal">
      <formula>"non"</formula>
    </cfRule>
    <cfRule type="cellIs" dxfId="58" priority="14" stopIfTrue="1" operator="equal">
      <formula>"prevu"</formula>
    </cfRule>
  </conditionalFormatting>
  <conditionalFormatting sqref="AL21">
    <cfRule type="cellIs" dxfId="57" priority="30" stopIfTrue="1" operator="greaterThan">
      <formula>0</formula>
    </cfRule>
  </conditionalFormatting>
  <conditionalFormatting sqref="AM21">
    <cfRule type="cellIs" dxfId="56" priority="9" stopIfTrue="1" operator="equal">
      <formula>"oui"</formula>
    </cfRule>
    <cfRule type="cellIs" dxfId="55" priority="10" stopIfTrue="1" operator="equal">
      <formula>"non"</formula>
    </cfRule>
    <cfRule type="cellIs" dxfId="54" priority="11" stopIfTrue="1" operator="equal">
      <formula>"prevu"</formula>
    </cfRule>
  </conditionalFormatting>
  <conditionalFormatting sqref="W21 U21 Y21 AA21 Q21 K21 O21 I21 G21 M21 E21">
    <cfRule type="cellIs" dxfId="53" priority="2" stopIfTrue="1" operator="equal">
      <formula>"NON"</formula>
    </cfRule>
    <cfRule type="cellIs" dxfId="52" priority="3" stopIfTrue="1" operator="equal">
      <formula>"OUI"</formula>
    </cfRule>
    <cfRule type="cellIs" dxfId="51" priority="4" stopIfTrue="1" operator="equal">
      <formula>"INSCRIT"</formula>
    </cfRule>
  </conditionalFormatting>
  <conditionalFormatting sqref="AO4:AO6">
    <cfRule type="containsText" dxfId="50" priority="34" operator="containsText" text="EMI">
      <formula>NOT(ISERROR(SEARCH("EMI",AO4)))</formula>
    </cfRule>
    <cfRule type="containsText" dxfId="49" priority="35" operator="containsText" text="TER EST">
      <formula>NOT(ISERROR(SEARCH("TER EST",AO4)))</formula>
    </cfRule>
  </conditionalFormatting>
  <dataValidations count="4">
    <dataValidation type="list" allowBlank="1" showInputMessage="1" showErrorMessage="1" sqref="AO2:AO4 A8:A10 A17:A38">
      <formula1>UO</formula1>
    </dataValidation>
    <dataValidation type="list" allowBlank="1" showInputMessage="1" showErrorMessage="1" sqref="A11:A16 A39:A49">
      <formula1>UO_ESV</formula1>
    </dataValidation>
    <dataValidation type="list" allowBlank="1" showInputMessage="1" showErrorMessage="1" sqref="AA8:AA47 K8:K49 Y8:Y49 U8:U49 Q8:Q49 E8:E49 O8:O49 G8:G49 W8:W49 M8:M49 I8:I49">
      <formula1>SuiviFormation</formula1>
    </dataValidation>
    <dataValidation type="list" allowBlank="1" showInputMessage="1" showErrorMessage="1" sqref="AJ8:AJ49 AH8:AH49 AD8:AD49 AF8:AF49 AM8:AM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tabSelected="1" zoomScale="80" zoomScaleNormal="80" workbookViewId="0">
      <pane xSplit="4" ySplit="6" topLeftCell="E139" activePane="bottomRight" state="frozen"/>
      <selection pane="topRight" activeCell="E1" sqref="E1"/>
      <selection pane="bottomLeft" activeCell="A4" sqref="A4"/>
      <selection pane="bottomRight" activeCell="Q3" sqref="Q3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27.7109375" style="217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7.5703125" style="13" customWidth="1"/>
    <col min="13" max="13" width="11.5703125" style="13" customWidth="1"/>
    <col min="14" max="14" width="12.85546875" style="13" customWidth="1"/>
    <col min="15" max="15" width="8" style="217" customWidth="1"/>
    <col min="16" max="16" width="7.5703125" style="13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347" customWidth="1"/>
    <col min="32" max="32" width="12.28515625" style="355" customWidth="1"/>
    <col min="33" max="33" width="5.7109375" style="347" customWidth="1"/>
    <col min="34" max="34" width="5.7109375" style="14" customWidth="1"/>
    <col min="35" max="16384" width="11.42578125" style="13"/>
  </cols>
  <sheetData>
    <row r="1" spans="1:34" ht="4.5" customHeight="1" x14ac:dyDescent="0.25"/>
    <row r="2" spans="1:34" ht="12.75" customHeight="1" x14ac:dyDescent="0.25">
      <c r="B2" s="525" t="s">
        <v>290</v>
      </c>
      <c r="C2" s="525"/>
      <c r="D2" s="525"/>
    </row>
    <row r="3" spans="1:34" x14ac:dyDescent="0.25">
      <c r="B3" s="525"/>
      <c r="C3" s="525"/>
      <c r="D3" s="525"/>
      <c r="P3" s="13">
        <f>mois_stat</f>
        <v>43862</v>
      </c>
    </row>
    <row r="4" spans="1:34" ht="5.25" customHeight="1" thickBot="1" x14ac:dyDescent="0.3"/>
    <row r="5" spans="1:34" ht="19.5" customHeight="1" x14ac:dyDescent="0.25">
      <c r="A5" s="2"/>
      <c r="B5" s="522" t="s">
        <v>8</v>
      </c>
      <c r="C5" s="523"/>
      <c r="D5" s="524"/>
      <c r="E5" s="528" t="s">
        <v>9</v>
      </c>
      <c r="F5" s="529"/>
      <c r="G5" s="529"/>
      <c r="H5" s="530"/>
      <c r="I5" s="531" t="s">
        <v>10</v>
      </c>
      <c r="J5" s="532"/>
      <c r="K5" s="532"/>
      <c r="L5" s="532"/>
      <c r="M5" s="532"/>
      <c r="N5" s="532"/>
      <c r="O5" s="532"/>
      <c r="P5" s="533"/>
      <c r="Q5" s="534" t="s">
        <v>11</v>
      </c>
      <c r="R5" s="535"/>
      <c r="S5" s="535"/>
      <c r="T5" s="536"/>
      <c r="U5" s="537" t="s">
        <v>12</v>
      </c>
      <c r="V5" s="538"/>
      <c r="W5" s="538"/>
      <c r="X5" s="539"/>
      <c r="Y5" s="526" t="s">
        <v>81</v>
      </c>
      <c r="Z5" s="527"/>
      <c r="AA5" s="527"/>
      <c r="AB5" s="527"/>
      <c r="AC5" s="527"/>
      <c r="AD5" s="527"/>
      <c r="AE5" s="527"/>
      <c r="AF5" s="527"/>
      <c r="AG5" s="527"/>
      <c r="AH5" s="527"/>
    </row>
    <row r="6" spans="1:34" ht="127.5" customHeight="1" thickBot="1" x14ac:dyDescent="0.3">
      <c r="A6" s="3"/>
      <c r="B6" s="48" t="s">
        <v>13</v>
      </c>
      <c r="C6" s="49" t="s">
        <v>14</v>
      </c>
      <c r="D6" s="50" t="s">
        <v>15</v>
      </c>
      <c r="E6" s="51" t="s">
        <v>1183</v>
      </c>
      <c r="F6" s="462" t="s">
        <v>16</v>
      </c>
      <c r="G6" s="52" t="s">
        <v>80</v>
      </c>
      <c r="H6" s="53" t="s">
        <v>79</v>
      </c>
      <c r="I6" s="54" t="s">
        <v>17</v>
      </c>
      <c r="J6" s="54" t="s">
        <v>578</v>
      </c>
      <c r="K6" s="55" t="s">
        <v>18</v>
      </c>
      <c r="L6" s="55" t="s">
        <v>19</v>
      </c>
      <c r="M6" s="56" t="s">
        <v>579</v>
      </c>
      <c r="N6" s="56" t="s">
        <v>580</v>
      </c>
      <c r="O6" s="467" t="s">
        <v>582</v>
      </c>
      <c r="P6" s="468" t="s">
        <v>1210</v>
      </c>
      <c r="Q6" s="57" t="s">
        <v>20</v>
      </c>
      <c r="R6" s="58" t="s">
        <v>21</v>
      </c>
      <c r="S6" s="58" t="s">
        <v>22</v>
      </c>
      <c r="T6" s="59" t="s">
        <v>23</v>
      </c>
      <c r="U6" s="60" t="s">
        <v>707</v>
      </c>
      <c r="V6" s="61" t="s">
        <v>24</v>
      </c>
      <c r="W6" s="61" t="s">
        <v>25</v>
      </c>
      <c r="X6" s="62" t="s">
        <v>553</v>
      </c>
      <c r="Y6" s="129" t="s">
        <v>26</v>
      </c>
      <c r="Z6" s="130" t="s">
        <v>702</v>
      </c>
      <c r="AA6" s="130" t="s">
        <v>718</v>
      </c>
      <c r="AB6" s="130" t="s">
        <v>701</v>
      </c>
      <c r="AC6" s="130" t="s">
        <v>724</v>
      </c>
      <c r="AD6" s="130" t="s">
        <v>703</v>
      </c>
      <c r="AE6" s="348" t="s">
        <v>787</v>
      </c>
      <c r="AF6" s="351" t="s">
        <v>788</v>
      </c>
      <c r="AG6" s="352" t="s">
        <v>786</v>
      </c>
      <c r="AH6" s="130" t="s">
        <v>704</v>
      </c>
    </row>
    <row r="7" spans="1:34" ht="165" customHeight="1" x14ac:dyDescent="0.25">
      <c r="A7" s="153" t="s">
        <v>848</v>
      </c>
      <c r="B7" s="208" t="s">
        <v>1139</v>
      </c>
      <c r="C7" s="206" t="s">
        <v>1140</v>
      </c>
      <c r="D7" s="5">
        <v>45</v>
      </c>
      <c r="E7" s="216" t="s">
        <v>834</v>
      </c>
      <c r="F7" s="463"/>
      <c r="G7" s="218" t="s">
        <v>35</v>
      </c>
      <c r="H7" s="219" t="s">
        <v>35</v>
      </c>
      <c r="I7" s="224">
        <v>43831</v>
      </c>
      <c r="J7" s="112">
        <v>0</v>
      </c>
      <c r="K7" s="1" t="s">
        <v>36</v>
      </c>
      <c r="L7" s="6" t="s">
        <v>37</v>
      </c>
      <c r="M7" s="7"/>
      <c r="N7" s="495"/>
      <c r="O7" s="222" t="str">
        <f t="shared" ref="O7:O70" si="0">IF(L7="avec arrêt",(N7-M7)+1,"")</f>
        <v/>
      </c>
      <c r="P7" s="470" t="str">
        <f>IFERROR(IF(L7="avec arrêt",IF(MONTH(N7)='Liste AT'!$X$2,0,N7-EOMONTH('Stats AT BDD'!$X$2,0)),""),"")</f>
        <v/>
      </c>
      <c r="Q7" s="212" t="s">
        <v>97</v>
      </c>
      <c r="R7" s="213" t="s">
        <v>292</v>
      </c>
      <c r="S7" s="213" t="s">
        <v>410</v>
      </c>
      <c r="T7" s="214" t="s">
        <v>506</v>
      </c>
      <c r="U7" s="12" t="s">
        <v>33</v>
      </c>
      <c r="V7" s="6" t="s">
        <v>40</v>
      </c>
      <c r="W7" s="6" t="s">
        <v>93</v>
      </c>
      <c r="X7" s="214" t="s">
        <v>1141</v>
      </c>
      <c r="Y7" s="220" t="s">
        <v>261</v>
      </c>
      <c r="Z7" s="225">
        <f t="shared" ref="Z7:Z38" si="1">IF(ISBLANK(I7),"",I7+2)</f>
        <v>43833</v>
      </c>
      <c r="AA7" s="7">
        <v>43832</v>
      </c>
      <c r="AB7" s="226" t="str">
        <f t="shared" ref="AB7:AB17" ca="1" si="2">IF(ISBLANK(AA7),IF(Z7&lt;TODAY(),"non",""),IF(AA7&gt;Z7,"non","oui"))</f>
        <v>oui</v>
      </c>
      <c r="AC7" s="221"/>
      <c r="AD7" s="221"/>
      <c r="AE7" s="357">
        <f t="shared" ref="AE7:AE38" si="3">IF(ISBLANK(I7),"",I7+30)</f>
        <v>43861</v>
      </c>
      <c r="AF7" s="353"/>
      <c r="AG7" s="356" t="str">
        <f t="shared" ref="AG7:AG35" ca="1" si="4">IF(ISBLANK(AF7),IF(AE7&lt;TODAY(),"non",""),IF(AF7&gt;AE7,"non","oui"))</f>
        <v>non</v>
      </c>
      <c r="AH7" s="221"/>
    </row>
    <row r="8" spans="1:34" ht="97.5" customHeight="1" x14ac:dyDescent="0.25">
      <c r="A8" s="153" t="s">
        <v>849</v>
      </c>
      <c r="B8" s="208"/>
      <c r="C8" s="206"/>
      <c r="D8" s="5"/>
      <c r="E8" s="216"/>
      <c r="F8" s="463"/>
      <c r="G8" s="218"/>
      <c r="H8" s="219"/>
      <c r="I8" s="224"/>
      <c r="J8" s="112"/>
      <c r="K8" s="1"/>
      <c r="L8" s="6" t="s">
        <v>28</v>
      </c>
      <c r="M8" s="7">
        <v>43862</v>
      </c>
      <c r="N8" s="7">
        <v>43926</v>
      </c>
      <c r="O8" s="222">
        <f t="shared" si="0"/>
        <v>65</v>
      </c>
      <c r="P8" s="470">
        <f>IFERROR(IF(L8="avec arrêt",IF(MONTH(N8)=mois_stat,0,N8-EOMONTH('Stats AT BDD'!$X$2,0)),""),"")</f>
        <v>36</v>
      </c>
      <c r="Q8" s="8"/>
      <c r="R8" s="9"/>
      <c r="S8" s="9"/>
      <c r="T8" s="10"/>
      <c r="U8" s="12"/>
      <c r="V8" s="6"/>
      <c r="W8" s="6"/>
      <c r="X8" s="214"/>
      <c r="Y8" s="220"/>
      <c r="Z8" s="225" t="str">
        <f t="shared" si="1"/>
        <v/>
      </c>
      <c r="AA8" s="7"/>
      <c r="AB8" s="226" t="str">
        <f t="shared" ca="1" si="2"/>
        <v/>
      </c>
      <c r="AC8" s="221"/>
      <c r="AD8" s="221"/>
      <c r="AE8" s="357" t="str">
        <f t="shared" si="3"/>
        <v/>
      </c>
      <c r="AF8" s="353"/>
      <c r="AG8" s="356" t="str">
        <f t="shared" ca="1" si="4"/>
        <v/>
      </c>
      <c r="AH8" s="221"/>
    </row>
    <row r="9" spans="1:34" ht="144.75" customHeight="1" x14ac:dyDescent="0.25">
      <c r="A9" s="153" t="s">
        <v>850</v>
      </c>
      <c r="B9" s="11"/>
      <c r="C9" s="4"/>
      <c r="D9" s="5"/>
      <c r="E9" s="216"/>
      <c r="F9" s="463"/>
      <c r="G9" s="218"/>
      <c r="H9" s="219"/>
      <c r="I9" s="224"/>
      <c r="J9" s="112"/>
      <c r="K9" s="1"/>
      <c r="L9" s="6"/>
      <c r="M9" s="7"/>
      <c r="N9" s="7"/>
      <c r="O9" s="222" t="str">
        <f t="shared" si="0"/>
        <v/>
      </c>
      <c r="P9" s="470" t="str">
        <f>IFERROR(IF(L9="avec arrêt",IF(MONTH(N9)='Liste AT'!$X$2,0,N9-EOMONTH('Stats AT BDD'!$X$2,0)),""),"")</f>
        <v/>
      </c>
      <c r="Q9" s="8"/>
      <c r="R9" s="9"/>
      <c r="S9" s="9"/>
      <c r="T9" s="10"/>
      <c r="U9" s="12"/>
      <c r="V9" s="6"/>
      <c r="W9" s="6"/>
      <c r="X9" s="214"/>
      <c r="Y9" s="220"/>
      <c r="Z9" s="225" t="str">
        <f t="shared" si="1"/>
        <v/>
      </c>
      <c r="AA9" s="7"/>
      <c r="AB9" s="226" t="str">
        <f t="shared" ca="1" si="2"/>
        <v/>
      </c>
      <c r="AC9" s="221"/>
      <c r="AD9" s="221"/>
      <c r="AE9" s="357" t="str">
        <f t="shared" si="3"/>
        <v/>
      </c>
      <c r="AF9" s="353"/>
      <c r="AG9" s="356" t="str">
        <f t="shared" ca="1" si="4"/>
        <v/>
      </c>
      <c r="AH9" s="221"/>
    </row>
    <row r="10" spans="1:34" ht="67.5" customHeight="1" x14ac:dyDescent="0.25">
      <c r="A10" s="153" t="s">
        <v>851</v>
      </c>
      <c r="B10" s="11"/>
      <c r="C10" s="4"/>
      <c r="D10" s="5"/>
      <c r="E10" s="216"/>
      <c r="F10" s="463"/>
      <c r="G10" s="218"/>
      <c r="H10" s="219"/>
      <c r="I10" s="224"/>
      <c r="J10" s="112"/>
      <c r="K10" s="1"/>
      <c r="L10" s="6"/>
      <c r="M10" s="7"/>
      <c r="N10" s="7"/>
      <c r="O10" s="222" t="str">
        <f t="shared" si="0"/>
        <v/>
      </c>
      <c r="P10" s="470" t="str">
        <f>IFERROR(IF(L10="avec arrêt",IF(MONTH(N10)='Liste AT'!$X$2,0,N10-EOMONTH('Stats AT BDD'!$X$2,0)),""),"")</f>
        <v/>
      </c>
      <c r="Q10" s="8"/>
      <c r="R10" s="9"/>
      <c r="S10" s="9"/>
      <c r="T10" s="10"/>
      <c r="U10" s="12"/>
      <c r="V10" s="6"/>
      <c r="W10" s="6"/>
      <c r="X10" s="214"/>
      <c r="Y10" s="220"/>
      <c r="Z10" s="225" t="str">
        <f t="shared" si="1"/>
        <v/>
      </c>
      <c r="AA10" s="7"/>
      <c r="AB10" s="226" t="str">
        <f t="shared" ca="1" si="2"/>
        <v/>
      </c>
      <c r="AC10" s="221"/>
      <c r="AD10" s="221"/>
      <c r="AE10" s="357" t="str">
        <f t="shared" si="3"/>
        <v/>
      </c>
      <c r="AF10" s="353"/>
      <c r="AG10" s="356" t="str">
        <f t="shared" ca="1" si="4"/>
        <v/>
      </c>
      <c r="AH10" s="221"/>
    </row>
    <row r="11" spans="1:34" ht="67.5" customHeight="1" x14ac:dyDescent="0.25">
      <c r="A11" s="153" t="s">
        <v>852</v>
      </c>
      <c r="B11" s="11"/>
      <c r="C11" s="4"/>
      <c r="D11" s="5"/>
      <c r="E11" s="216"/>
      <c r="F11" s="463"/>
      <c r="G11" s="218"/>
      <c r="H11" s="219"/>
      <c r="I11" s="224"/>
      <c r="J11" s="112"/>
      <c r="K11" s="1"/>
      <c r="L11" s="6"/>
      <c r="M11" s="7"/>
      <c r="N11" s="7"/>
      <c r="O11" s="222" t="str">
        <f t="shared" si="0"/>
        <v/>
      </c>
      <c r="P11" s="470" t="str">
        <f>IFERROR(IF(L11="avec arrêt",IF(MONTH(N11)='Liste AT'!$X$2,0,N11-EOMONTH('Stats AT BDD'!$X$2,0)),""),"")</f>
        <v/>
      </c>
      <c r="Q11" s="8"/>
      <c r="R11" s="9"/>
      <c r="S11" s="9"/>
      <c r="T11" s="10"/>
      <c r="U11" s="12"/>
      <c r="V11" s="6"/>
      <c r="W11" s="6"/>
      <c r="X11" s="214"/>
      <c r="Y11" s="220"/>
      <c r="Z11" s="225" t="str">
        <f t="shared" si="1"/>
        <v/>
      </c>
      <c r="AA11" s="7"/>
      <c r="AB11" s="226" t="str">
        <f t="shared" ca="1" si="2"/>
        <v/>
      </c>
      <c r="AC11" s="221"/>
      <c r="AD11" s="221"/>
      <c r="AE11" s="357" t="str">
        <f t="shared" si="3"/>
        <v/>
      </c>
      <c r="AF11" s="353"/>
      <c r="AG11" s="356" t="str">
        <f t="shared" ca="1" si="4"/>
        <v/>
      </c>
      <c r="AH11" s="221"/>
    </row>
    <row r="12" spans="1:34" ht="67.5" customHeight="1" x14ac:dyDescent="0.25">
      <c r="A12" s="153" t="s">
        <v>853</v>
      </c>
      <c r="B12" s="11"/>
      <c r="C12" s="4"/>
      <c r="D12" s="5"/>
      <c r="E12" s="216"/>
      <c r="F12" s="463"/>
      <c r="G12" s="218"/>
      <c r="H12" s="219"/>
      <c r="I12" s="224"/>
      <c r="J12" s="112"/>
      <c r="K12" s="1"/>
      <c r="L12" s="6"/>
      <c r="M12" s="7"/>
      <c r="N12" s="7"/>
      <c r="O12" s="222" t="str">
        <f t="shared" si="0"/>
        <v/>
      </c>
      <c r="P12" s="470" t="str">
        <f>IFERROR(IF(L12="avec arrêt",IF(MONTH(N12)='Liste AT'!$X$2,0,N12-EOMONTH('Stats AT BDD'!$X$2,0)),""),"")</f>
        <v/>
      </c>
      <c r="Q12" s="8"/>
      <c r="R12" s="9"/>
      <c r="S12" s="9"/>
      <c r="T12" s="10"/>
      <c r="U12" s="12"/>
      <c r="V12" s="6"/>
      <c r="W12" s="6"/>
      <c r="X12" s="310"/>
      <c r="Y12" s="74"/>
      <c r="Z12" s="225" t="str">
        <f t="shared" si="1"/>
        <v/>
      </c>
      <c r="AA12" s="7"/>
      <c r="AB12" s="226" t="str">
        <f t="shared" ca="1" si="2"/>
        <v/>
      </c>
      <c r="AC12" s="221"/>
      <c r="AD12" s="221"/>
      <c r="AE12" s="357" t="str">
        <f t="shared" si="3"/>
        <v/>
      </c>
      <c r="AF12" s="353"/>
      <c r="AG12" s="356" t="str">
        <f t="shared" ca="1" si="4"/>
        <v/>
      </c>
      <c r="AH12" s="221"/>
    </row>
    <row r="13" spans="1:34" s="217" customFormat="1" ht="162.75" customHeight="1" x14ac:dyDescent="0.25">
      <c r="A13" s="153" t="s">
        <v>854</v>
      </c>
      <c r="B13" s="208"/>
      <c r="C13" s="206"/>
      <c r="D13" s="207"/>
      <c r="E13" s="216"/>
      <c r="F13" s="463"/>
      <c r="G13" s="218"/>
      <c r="H13" s="219"/>
      <c r="I13" s="224"/>
      <c r="J13" s="223"/>
      <c r="K13" s="209"/>
      <c r="L13" s="210"/>
      <c r="M13" s="211"/>
      <c r="N13" s="211"/>
      <c r="O13" s="222" t="str">
        <f t="shared" si="0"/>
        <v/>
      </c>
      <c r="P13" s="470" t="str">
        <f>IFERROR(IF(L13="avec arrêt",IF(MONTH(N13)='Liste AT'!$X$2,0,N13-EOMONTH('Stats AT BDD'!$X$2,0)),""),"")</f>
        <v/>
      </c>
      <c r="Q13" s="212"/>
      <c r="R13" s="213"/>
      <c r="S13" s="213"/>
      <c r="T13" s="214"/>
      <c r="U13" s="216"/>
      <c r="V13" s="210"/>
      <c r="W13" s="210"/>
      <c r="X13" s="272"/>
      <c r="Y13" s="220"/>
      <c r="Z13" s="225" t="str">
        <f t="shared" si="1"/>
        <v/>
      </c>
      <c r="AA13" s="211"/>
      <c r="AB13" s="226" t="str">
        <f t="shared" ca="1" si="2"/>
        <v/>
      </c>
      <c r="AC13" s="221"/>
      <c r="AD13" s="221"/>
      <c r="AE13" s="357" t="str">
        <f t="shared" si="3"/>
        <v/>
      </c>
      <c r="AF13" s="353"/>
      <c r="AG13" s="356" t="str">
        <f t="shared" ca="1" si="4"/>
        <v/>
      </c>
      <c r="AH13" s="221"/>
    </row>
    <row r="14" spans="1:34" ht="67.5" customHeight="1" x14ac:dyDescent="0.25">
      <c r="A14" s="153" t="s">
        <v>855</v>
      </c>
      <c r="B14" s="11"/>
      <c r="C14" s="4"/>
      <c r="D14" s="5"/>
      <c r="E14" s="216"/>
      <c r="F14" s="463"/>
      <c r="G14" s="218"/>
      <c r="H14" s="219"/>
      <c r="I14" s="224"/>
      <c r="J14" s="112"/>
      <c r="K14" s="1"/>
      <c r="L14" s="6"/>
      <c r="M14" s="7"/>
      <c r="N14" s="7"/>
      <c r="O14" s="222" t="str">
        <f t="shared" si="0"/>
        <v/>
      </c>
      <c r="P14" s="470" t="str">
        <f>IFERROR(IF(L14="avec arrêt",IF(MONTH(N14)='Liste AT'!$X$2,0,N14-EOMONTH('Stats AT BDD'!$X$2,0)),""),"")</f>
        <v/>
      </c>
      <c r="Q14" s="8"/>
      <c r="R14" s="9"/>
      <c r="S14" s="9"/>
      <c r="T14" s="10"/>
      <c r="U14" s="12"/>
      <c r="V14" s="6"/>
      <c r="W14" s="6"/>
      <c r="X14" s="214"/>
      <c r="Y14" s="74"/>
      <c r="Z14" s="225" t="str">
        <f t="shared" si="1"/>
        <v/>
      </c>
      <c r="AA14" s="7"/>
      <c r="AB14" s="226" t="str">
        <f t="shared" ca="1" si="2"/>
        <v/>
      </c>
      <c r="AC14" s="221"/>
      <c r="AD14" s="221"/>
      <c r="AE14" s="357" t="str">
        <f t="shared" si="3"/>
        <v/>
      </c>
      <c r="AF14" s="353"/>
      <c r="AG14" s="356" t="str">
        <f t="shared" ca="1" si="4"/>
        <v/>
      </c>
      <c r="AH14" s="221"/>
    </row>
    <row r="15" spans="1:34" ht="67.5" customHeight="1" x14ac:dyDescent="0.2">
      <c r="A15" s="153" t="s">
        <v>856</v>
      </c>
      <c r="B15" s="11"/>
      <c r="C15" s="4"/>
      <c r="D15" s="5"/>
      <c r="E15" s="216"/>
      <c r="F15" s="463"/>
      <c r="G15" s="218"/>
      <c r="H15" s="219"/>
      <c r="I15" s="224"/>
      <c r="J15" s="112"/>
      <c r="K15" s="1"/>
      <c r="L15" s="6"/>
      <c r="M15" s="7"/>
      <c r="N15" s="7"/>
      <c r="O15" s="222" t="str">
        <f t="shared" si="0"/>
        <v/>
      </c>
      <c r="P15" s="470" t="str">
        <f>IFERROR(IF(L15="avec arrêt",IF(MONTH(N15)='Liste AT'!$X$2,0,N15-EOMONTH('Stats AT BDD'!$X$2,0)),""),"")</f>
        <v/>
      </c>
      <c r="Q15" s="8"/>
      <c r="R15" s="9"/>
      <c r="S15" s="9"/>
      <c r="T15" s="10"/>
      <c r="U15" s="12"/>
      <c r="V15" s="6"/>
      <c r="W15" s="6"/>
      <c r="X15" s="311"/>
      <c r="Y15" s="74"/>
      <c r="Z15" s="225" t="str">
        <f t="shared" si="1"/>
        <v/>
      </c>
      <c r="AA15" s="7"/>
      <c r="AB15" s="226" t="str">
        <f t="shared" ca="1" si="2"/>
        <v/>
      </c>
      <c r="AC15" s="221"/>
      <c r="AD15" s="221"/>
      <c r="AE15" s="357" t="str">
        <f t="shared" si="3"/>
        <v/>
      </c>
      <c r="AF15" s="353"/>
      <c r="AG15" s="356" t="str">
        <f t="shared" ca="1" si="4"/>
        <v/>
      </c>
      <c r="AH15" s="221"/>
    </row>
    <row r="16" spans="1:34" ht="85.5" customHeight="1" x14ac:dyDescent="0.25">
      <c r="A16" s="153" t="s">
        <v>857</v>
      </c>
      <c r="B16" s="11"/>
      <c r="C16" s="4"/>
      <c r="D16" s="5"/>
      <c r="E16" s="216"/>
      <c r="F16" s="463"/>
      <c r="G16" s="218"/>
      <c r="H16" s="219"/>
      <c r="I16" s="224"/>
      <c r="J16" s="112"/>
      <c r="K16" s="1"/>
      <c r="L16" s="6"/>
      <c r="M16" s="7"/>
      <c r="N16" s="7"/>
      <c r="O16" s="222" t="str">
        <f t="shared" si="0"/>
        <v/>
      </c>
      <c r="P16" s="470" t="str">
        <f>IFERROR(IF(L16="avec arrêt",IF(MONTH(N16)='Liste AT'!$X$2,0,N16-EOMONTH('Stats AT BDD'!$X$2,0)),""),"")</f>
        <v/>
      </c>
      <c r="Q16" s="8"/>
      <c r="R16" s="9"/>
      <c r="S16" s="9"/>
      <c r="T16" s="10"/>
      <c r="U16" s="12"/>
      <c r="V16" s="6"/>
      <c r="W16" s="6"/>
      <c r="X16" s="214"/>
      <c r="Y16" s="220"/>
      <c r="Z16" s="225" t="str">
        <f t="shared" si="1"/>
        <v/>
      </c>
      <c r="AA16" s="7"/>
      <c r="AB16" s="226" t="str">
        <f t="shared" ca="1" si="2"/>
        <v/>
      </c>
      <c r="AC16" s="221"/>
      <c r="AD16" s="221"/>
      <c r="AE16" s="357" t="str">
        <f t="shared" si="3"/>
        <v/>
      </c>
      <c r="AF16" s="353"/>
      <c r="AG16" s="356" t="str">
        <f t="shared" ca="1" si="4"/>
        <v/>
      </c>
      <c r="AH16" s="221"/>
    </row>
    <row r="17" spans="1:34" ht="67.5" customHeight="1" x14ac:dyDescent="0.25">
      <c r="A17" s="153" t="s">
        <v>858</v>
      </c>
      <c r="B17" s="11"/>
      <c r="C17" s="4"/>
      <c r="D17" s="5"/>
      <c r="E17" s="216"/>
      <c r="F17" s="463"/>
      <c r="G17" s="218"/>
      <c r="H17" s="219"/>
      <c r="I17" s="224"/>
      <c r="J17" s="112"/>
      <c r="K17" s="1"/>
      <c r="L17" s="6"/>
      <c r="M17" s="7"/>
      <c r="N17" s="7"/>
      <c r="O17" s="222" t="str">
        <f t="shared" si="0"/>
        <v/>
      </c>
      <c r="P17" s="470" t="str">
        <f>IFERROR(IF(L17="avec arrêt",IF(MONTH(N17)='Liste AT'!$X$2,0,N17-EOMONTH('Stats AT BDD'!$X$2,0)),""),"")</f>
        <v/>
      </c>
      <c r="Q17" s="8"/>
      <c r="R17" s="9"/>
      <c r="S17" s="9"/>
      <c r="T17" s="10"/>
      <c r="U17" s="12"/>
      <c r="V17" s="6"/>
      <c r="W17" s="6"/>
      <c r="X17" s="214"/>
      <c r="Y17" s="220"/>
      <c r="Z17" s="225" t="str">
        <f t="shared" si="1"/>
        <v/>
      </c>
      <c r="AA17" s="7"/>
      <c r="AB17" s="226" t="str">
        <f t="shared" ca="1" si="2"/>
        <v/>
      </c>
      <c r="AC17" s="221"/>
      <c r="AD17" s="221"/>
      <c r="AE17" s="357" t="str">
        <f t="shared" si="3"/>
        <v/>
      </c>
      <c r="AF17" s="353"/>
      <c r="AG17" s="356" t="str">
        <f t="shared" ca="1" si="4"/>
        <v/>
      </c>
      <c r="AH17" s="221"/>
    </row>
    <row r="18" spans="1:34" s="217" customFormat="1" ht="163.5" customHeight="1" x14ac:dyDescent="0.25">
      <c r="A18" s="153" t="s">
        <v>859</v>
      </c>
      <c r="B18" s="208"/>
      <c r="C18" s="206"/>
      <c r="D18" s="207"/>
      <c r="E18" s="216"/>
      <c r="F18" s="463"/>
      <c r="G18" s="218"/>
      <c r="H18" s="219"/>
      <c r="I18" s="224"/>
      <c r="J18" s="223"/>
      <c r="K18" s="209"/>
      <c r="L18" s="210"/>
      <c r="M18" s="211"/>
      <c r="N18" s="211"/>
      <c r="O18" s="222" t="str">
        <f t="shared" si="0"/>
        <v/>
      </c>
      <c r="P18" s="470" t="str">
        <f>IFERROR(IF(L18="avec arrêt",IF(MONTH(N18)='Liste AT'!$X$2,0,N18-EOMONTH('Stats AT BDD'!$X$2,0)),""),"")</f>
        <v/>
      </c>
      <c r="Q18" s="212"/>
      <c r="R18" s="213"/>
      <c r="S18" s="213"/>
      <c r="T18" s="214"/>
      <c r="U18" s="216"/>
      <c r="V18" s="210"/>
      <c r="W18" s="210"/>
      <c r="X18" s="214"/>
      <c r="Y18" s="220"/>
      <c r="Z18" s="225" t="str">
        <f t="shared" si="1"/>
        <v/>
      </c>
      <c r="AA18" s="211"/>
      <c r="AB18" s="226"/>
      <c r="AC18" s="221"/>
      <c r="AD18" s="221"/>
      <c r="AE18" s="357" t="str">
        <f t="shared" si="3"/>
        <v/>
      </c>
      <c r="AF18" s="353"/>
      <c r="AG18" s="356" t="str">
        <f t="shared" ca="1" si="4"/>
        <v/>
      </c>
      <c r="AH18" s="221"/>
    </row>
    <row r="19" spans="1:34" ht="113.25" customHeight="1" x14ac:dyDescent="0.25">
      <c r="A19" s="153" t="s">
        <v>860</v>
      </c>
      <c r="B19" s="11"/>
      <c r="C19" s="4"/>
      <c r="D19" s="5"/>
      <c r="E19" s="216"/>
      <c r="F19" s="463"/>
      <c r="G19" s="218"/>
      <c r="H19" s="219"/>
      <c r="I19" s="224"/>
      <c r="J19" s="112"/>
      <c r="K19" s="1"/>
      <c r="L19" s="6"/>
      <c r="M19" s="7"/>
      <c r="N19" s="7"/>
      <c r="O19" s="222" t="str">
        <f t="shared" si="0"/>
        <v/>
      </c>
      <c r="P19" s="470" t="str">
        <f>IFERROR(IF(L19="avec arrêt",IF(MONTH(N19)='Liste AT'!$X$2,0,N19-EOMONTH('Stats AT BDD'!$X$2,0)),""),"")</f>
        <v/>
      </c>
      <c r="Q19" s="8"/>
      <c r="R19" s="9"/>
      <c r="S19" s="9"/>
      <c r="T19" s="10"/>
      <c r="U19" s="12"/>
      <c r="V19" s="6"/>
      <c r="W19" s="6"/>
      <c r="X19" s="295"/>
      <c r="Y19" s="74"/>
      <c r="Z19" s="225" t="str">
        <f t="shared" si="1"/>
        <v/>
      </c>
      <c r="AA19" s="7"/>
      <c r="AB19" s="226" t="str">
        <f t="shared" ref="AB19:AB82" ca="1" si="5">IF(ISBLANK(AA19),IF(Z19&lt;TODAY(),"non",""),IF(AA19&gt;Z19,"non","oui"))</f>
        <v/>
      </c>
      <c r="AC19" s="221"/>
      <c r="AD19" s="221"/>
      <c r="AE19" s="357" t="str">
        <f t="shared" si="3"/>
        <v/>
      </c>
      <c r="AF19" s="353"/>
      <c r="AG19" s="356" t="str">
        <f t="shared" ca="1" si="4"/>
        <v/>
      </c>
      <c r="AH19" s="221"/>
    </row>
    <row r="20" spans="1:34" ht="89.25" customHeight="1" x14ac:dyDescent="0.25">
      <c r="A20" s="153" t="s">
        <v>861</v>
      </c>
      <c r="B20" s="11"/>
      <c r="C20" s="4"/>
      <c r="D20" s="5"/>
      <c r="E20" s="216"/>
      <c r="F20" s="463"/>
      <c r="G20" s="218"/>
      <c r="H20" s="219"/>
      <c r="I20" s="224"/>
      <c r="J20" s="112"/>
      <c r="K20" s="1"/>
      <c r="L20" s="6"/>
      <c r="M20" s="7"/>
      <c r="N20" s="7"/>
      <c r="O20" s="222" t="str">
        <f t="shared" si="0"/>
        <v/>
      </c>
      <c r="P20" s="470" t="str">
        <f>IFERROR(IF(L20="avec arrêt",IF(MONTH(N20)='Liste AT'!$X$2,0,N20-EOMONTH('Stats AT BDD'!$X$2,0)),""),"")</f>
        <v/>
      </c>
      <c r="Q20" s="212"/>
      <c r="R20" s="213"/>
      <c r="S20" s="9"/>
      <c r="T20" s="10"/>
      <c r="U20" s="12"/>
      <c r="V20" s="6"/>
      <c r="W20" s="6"/>
      <c r="X20" s="214"/>
      <c r="Y20" s="74"/>
      <c r="Z20" s="225" t="str">
        <f t="shared" si="1"/>
        <v/>
      </c>
      <c r="AA20" s="7"/>
      <c r="AB20" s="226" t="str">
        <f t="shared" ca="1" si="5"/>
        <v/>
      </c>
      <c r="AC20" s="221"/>
      <c r="AD20" s="221"/>
      <c r="AE20" s="357" t="str">
        <f t="shared" si="3"/>
        <v/>
      </c>
      <c r="AF20" s="353"/>
      <c r="AG20" s="356" t="str">
        <f t="shared" ca="1" si="4"/>
        <v/>
      </c>
      <c r="AH20" s="221"/>
    </row>
    <row r="21" spans="1:34" ht="123" customHeight="1" x14ac:dyDescent="0.25">
      <c r="A21" s="153" t="s">
        <v>862</v>
      </c>
      <c r="B21" s="11"/>
      <c r="C21" s="4"/>
      <c r="D21" s="5"/>
      <c r="E21" s="216"/>
      <c r="F21" s="463"/>
      <c r="G21" s="218"/>
      <c r="H21" s="219"/>
      <c r="I21" s="224"/>
      <c r="J21" s="112"/>
      <c r="K21" s="1"/>
      <c r="L21" s="6"/>
      <c r="M21" s="7"/>
      <c r="N21" s="7"/>
      <c r="O21" s="222" t="str">
        <f t="shared" si="0"/>
        <v/>
      </c>
      <c r="P21" s="470" t="str">
        <f>IFERROR(IF(L21="avec arrêt",IF(MONTH(N21)='Liste AT'!$X$2,0,N21-EOMONTH('Stats AT BDD'!$X$2,0)),""),"")</f>
        <v/>
      </c>
      <c r="Q21" s="8"/>
      <c r="R21" s="9"/>
      <c r="S21" s="9"/>
      <c r="T21" s="10"/>
      <c r="U21" s="12"/>
      <c r="V21" s="6"/>
      <c r="W21" s="6"/>
      <c r="X21" s="214"/>
      <c r="Y21" s="74"/>
      <c r="Z21" s="225" t="str">
        <f t="shared" si="1"/>
        <v/>
      </c>
      <c r="AA21" s="7"/>
      <c r="AB21" s="226" t="str">
        <f t="shared" ca="1" si="5"/>
        <v/>
      </c>
      <c r="AC21" s="221"/>
      <c r="AD21" s="221"/>
      <c r="AE21" s="357" t="str">
        <f t="shared" si="3"/>
        <v/>
      </c>
      <c r="AF21" s="353"/>
      <c r="AG21" s="356" t="str">
        <f t="shared" ca="1" si="4"/>
        <v/>
      </c>
      <c r="AH21" s="221"/>
    </row>
    <row r="22" spans="1:34" ht="67.5" customHeight="1" x14ac:dyDescent="0.25">
      <c r="A22" s="153" t="s">
        <v>863</v>
      </c>
      <c r="B22" s="11"/>
      <c r="C22" s="4"/>
      <c r="D22" s="5"/>
      <c r="E22" s="216"/>
      <c r="F22" s="463"/>
      <c r="G22" s="218"/>
      <c r="H22" s="219"/>
      <c r="I22" s="224"/>
      <c r="J22" s="112"/>
      <c r="K22" s="1"/>
      <c r="L22" s="6"/>
      <c r="M22" s="7"/>
      <c r="N22" s="7"/>
      <c r="O22" s="222" t="str">
        <f t="shared" si="0"/>
        <v/>
      </c>
      <c r="P22" s="470" t="str">
        <f>IFERROR(IF(L22="avec arrêt",IF(MONTH(N22)='Liste AT'!$X$2,0,N22-EOMONTH('Stats AT BDD'!$X$2,0)),""),"")</f>
        <v/>
      </c>
      <c r="Q22" s="8"/>
      <c r="R22" s="9"/>
      <c r="S22" s="9"/>
      <c r="T22" s="10"/>
      <c r="U22" s="12"/>
      <c r="V22" s="6"/>
      <c r="W22" s="6"/>
      <c r="X22" s="214"/>
      <c r="Y22" s="74"/>
      <c r="Z22" s="225" t="str">
        <f t="shared" si="1"/>
        <v/>
      </c>
      <c r="AA22" s="7"/>
      <c r="AB22" s="226" t="str">
        <f t="shared" ca="1" si="5"/>
        <v/>
      </c>
      <c r="AC22" s="221"/>
      <c r="AD22" s="221"/>
      <c r="AE22" s="357" t="str">
        <f t="shared" si="3"/>
        <v/>
      </c>
      <c r="AF22" s="353"/>
      <c r="AG22" s="356" t="str">
        <f t="shared" ca="1" si="4"/>
        <v/>
      </c>
      <c r="AH22" s="221"/>
    </row>
    <row r="23" spans="1:34" ht="67.5" customHeight="1" x14ac:dyDescent="0.25">
      <c r="A23" s="153" t="s">
        <v>864</v>
      </c>
      <c r="B23" s="11"/>
      <c r="C23" s="4"/>
      <c r="D23" s="5"/>
      <c r="E23" s="216"/>
      <c r="F23" s="463"/>
      <c r="G23" s="218"/>
      <c r="H23" s="219"/>
      <c r="I23" s="224"/>
      <c r="J23" s="112"/>
      <c r="K23" s="1"/>
      <c r="L23" s="6"/>
      <c r="M23" s="7"/>
      <c r="N23" s="7"/>
      <c r="O23" s="222" t="str">
        <f t="shared" si="0"/>
        <v/>
      </c>
      <c r="P23" s="470" t="str">
        <f>IFERROR(IF(L23="avec arrêt",IF(MONTH(N23)='Liste AT'!$X$2,0,N23-EOMONTH('Stats AT BDD'!$X$2,0)),""),"")</f>
        <v/>
      </c>
      <c r="Q23" s="8"/>
      <c r="R23" s="9"/>
      <c r="S23" s="9"/>
      <c r="T23" s="10"/>
      <c r="U23" s="12"/>
      <c r="V23" s="6"/>
      <c r="W23" s="6"/>
      <c r="X23" s="214"/>
      <c r="Y23" s="74"/>
      <c r="Z23" s="225" t="str">
        <f t="shared" si="1"/>
        <v/>
      </c>
      <c r="AA23" s="7"/>
      <c r="AB23" s="226" t="str">
        <f t="shared" ca="1" si="5"/>
        <v/>
      </c>
      <c r="AC23" s="221"/>
      <c r="AD23" s="221"/>
      <c r="AE23" s="357" t="str">
        <f t="shared" si="3"/>
        <v/>
      </c>
      <c r="AF23" s="353"/>
      <c r="AG23" s="356" t="str">
        <f t="shared" ca="1" si="4"/>
        <v/>
      </c>
      <c r="AH23" s="221"/>
    </row>
    <row r="24" spans="1:34" ht="67.5" customHeight="1" x14ac:dyDescent="0.25">
      <c r="A24" s="153" t="s">
        <v>865</v>
      </c>
      <c r="B24" s="11"/>
      <c r="C24" s="4"/>
      <c r="D24" s="5"/>
      <c r="E24" s="216"/>
      <c r="F24" s="463"/>
      <c r="G24" s="218"/>
      <c r="H24" s="219"/>
      <c r="I24" s="224"/>
      <c r="J24" s="112"/>
      <c r="K24" s="1"/>
      <c r="L24" s="6"/>
      <c r="M24" s="7"/>
      <c r="N24" s="7"/>
      <c r="O24" s="222" t="str">
        <f t="shared" si="0"/>
        <v/>
      </c>
      <c r="P24" s="470" t="str">
        <f>IFERROR(IF(L24="avec arrêt",IF(MONTH(N24)='Liste AT'!$X$2,0,N24-EOMONTH('Stats AT BDD'!$X$2,0)),""),"")</f>
        <v/>
      </c>
      <c r="Q24" s="8"/>
      <c r="R24" s="9"/>
      <c r="S24" s="9"/>
      <c r="T24" s="10"/>
      <c r="U24" s="12"/>
      <c r="V24" s="6"/>
      <c r="W24" s="6"/>
      <c r="X24" s="214"/>
      <c r="Y24" s="74"/>
      <c r="Z24" s="225" t="str">
        <f t="shared" si="1"/>
        <v/>
      </c>
      <c r="AA24" s="7"/>
      <c r="AB24" s="226" t="str">
        <f t="shared" ca="1" si="5"/>
        <v/>
      </c>
      <c r="AC24" s="221"/>
      <c r="AD24" s="221"/>
      <c r="AE24" s="357" t="str">
        <f t="shared" si="3"/>
        <v/>
      </c>
      <c r="AF24" s="353"/>
      <c r="AG24" s="356" t="str">
        <f t="shared" ca="1" si="4"/>
        <v/>
      </c>
      <c r="AH24" s="221"/>
    </row>
    <row r="25" spans="1:34" ht="67.5" customHeight="1" x14ac:dyDescent="0.25">
      <c r="A25" s="153" t="s">
        <v>866</v>
      </c>
      <c r="B25" s="11"/>
      <c r="C25" s="4"/>
      <c r="D25" s="5"/>
      <c r="E25" s="216"/>
      <c r="F25" s="463"/>
      <c r="G25" s="218"/>
      <c r="H25" s="219"/>
      <c r="I25" s="224"/>
      <c r="J25" s="112"/>
      <c r="K25" s="1"/>
      <c r="L25" s="6"/>
      <c r="M25" s="7"/>
      <c r="N25" s="7"/>
      <c r="O25" s="222" t="str">
        <f t="shared" si="0"/>
        <v/>
      </c>
      <c r="P25" s="470" t="str">
        <f>IFERROR(IF(L25="avec arrêt",IF(MONTH(N25)='Liste AT'!$X$2,0,N25-EOMONTH('Stats AT BDD'!$X$2,0)),""),"")</f>
        <v/>
      </c>
      <c r="Q25" s="8"/>
      <c r="R25" s="9"/>
      <c r="S25" s="9"/>
      <c r="T25" s="10"/>
      <c r="U25" s="12"/>
      <c r="V25" s="6"/>
      <c r="W25" s="6"/>
      <c r="X25" s="214"/>
      <c r="Y25" s="74"/>
      <c r="Z25" s="225" t="str">
        <f t="shared" si="1"/>
        <v/>
      </c>
      <c r="AA25" s="7"/>
      <c r="AB25" s="226" t="str">
        <f t="shared" ca="1" si="5"/>
        <v/>
      </c>
      <c r="AC25" s="221"/>
      <c r="AD25" s="221"/>
      <c r="AE25" s="357" t="str">
        <f t="shared" si="3"/>
        <v/>
      </c>
      <c r="AF25" s="353"/>
      <c r="AG25" s="356" t="str">
        <f t="shared" ca="1" si="4"/>
        <v/>
      </c>
      <c r="AH25" s="221"/>
    </row>
    <row r="26" spans="1:34" ht="67.5" customHeight="1" x14ac:dyDescent="0.25">
      <c r="A26" s="153" t="s">
        <v>867</v>
      </c>
      <c r="B26" s="11"/>
      <c r="C26" s="4"/>
      <c r="D26" s="5"/>
      <c r="E26" s="216"/>
      <c r="F26" s="463"/>
      <c r="G26" s="218"/>
      <c r="H26" s="219"/>
      <c r="I26" s="224"/>
      <c r="J26" s="112"/>
      <c r="K26" s="1"/>
      <c r="L26" s="6"/>
      <c r="M26" s="7"/>
      <c r="N26" s="7"/>
      <c r="O26" s="222" t="str">
        <f t="shared" si="0"/>
        <v/>
      </c>
      <c r="P26" s="470" t="str">
        <f>IFERROR(IF(L26="avec arrêt",IF(MONTH(N26)='Liste AT'!$X$2,0,N26-EOMONTH('Stats AT BDD'!$X$2,0)),""),"")</f>
        <v/>
      </c>
      <c r="Q26" s="8"/>
      <c r="R26" s="9"/>
      <c r="S26" s="9"/>
      <c r="T26" s="10"/>
      <c r="U26" s="12"/>
      <c r="V26" s="6"/>
      <c r="W26" s="6"/>
      <c r="X26" s="214"/>
      <c r="Y26" s="74"/>
      <c r="Z26" s="225" t="str">
        <f t="shared" si="1"/>
        <v/>
      </c>
      <c r="AA26" s="7"/>
      <c r="AB26" s="226" t="str">
        <f t="shared" ca="1" si="5"/>
        <v/>
      </c>
      <c r="AC26" s="221"/>
      <c r="AD26" s="221"/>
      <c r="AE26" s="357" t="str">
        <f t="shared" si="3"/>
        <v/>
      </c>
      <c r="AF26" s="353"/>
      <c r="AG26" s="356" t="str">
        <f t="shared" ca="1" si="4"/>
        <v/>
      </c>
      <c r="AH26" s="221"/>
    </row>
    <row r="27" spans="1:34" ht="67.5" customHeight="1" x14ac:dyDescent="0.25">
      <c r="A27" s="153" t="s">
        <v>868</v>
      </c>
      <c r="B27" s="11"/>
      <c r="C27" s="4"/>
      <c r="D27" s="5"/>
      <c r="E27" s="216"/>
      <c r="F27" s="463"/>
      <c r="G27" s="218"/>
      <c r="H27" s="219"/>
      <c r="I27" s="224"/>
      <c r="J27" s="112"/>
      <c r="K27" s="1"/>
      <c r="L27" s="6"/>
      <c r="M27" s="7"/>
      <c r="N27" s="7"/>
      <c r="O27" s="222" t="str">
        <f t="shared" si="0"/>
        <v/>
      </c>
      <c r="P27" s="470" t="str">
        <f>IFERROR(IF(L27="avec arrêt",IF(MONTH(N27)='Liste AT'!$X$2,0,N27-EOMONTH('Stats AT BDD'!$X$2,0)),""),"")</f>
        <v/>
      </c>
      <c r="Q27" s="8"/>
      <c r="R27" s="9"/>
      <c r="S27" s="9"/>
      <c r="T27" s="10"/>
      <c r="U27" s="12"/>
      <c r="V27" s="6"/>
      <c r="W27" s="6"/>
      <c r="X27" s="214"/>
      <c r="Y27" s="74"/>
      <c r="Z27" s="225" t="str">
        <f t="shared" si="1"/>
        <v/>
      </c>
      <c r="AA27" s="7"/>
      <c r="AB27" s="226" t="str">
        <f t="shared" ca="1" si="5"/>
        <v/>
      </c>
      <c r="AC27" s="221"/>
      <c r="AD27" s="221"/>
      <c r="AE27" s="357" t="str">
        <f t="shared" si="3"/>
        <v/>
      </c>
      <c r="AF27" s="353"/>
      <c r="AG27" s="356" t="str">
        <f t="shared" ca="1" si="4"/>
        <v/>
      </c>
      <c r="AH27" s="221"/>
    </row>
    <row r="28" spans="1:34" ht="67.5" customHeight="1" x14ac:dyDescent="0.25">
      <c r="A28" s="153" t="s">
        <v>869</v>
      </c>
      <c r="B28" s="11"/>
      <c r="C28" s="4"/>
      <c r="D28" s="5"/>
      <c r="E28" s="216"/>
      <c r="F28" s="463"/>
      <c r="G28" s="218"/>
      <c r="H28" s="219"/>
      <c r="I28" s="224"/>
      <c r="J28" s="112"/>
      <c r="K28" s="1"/>
      <c r="L28" s="6"/>
      <c r="M28" s="7"/>
      <c r="N28" s="7"/>
      <c r="O28" s="222" t="str">
        <f t="shared" si="0"/>
        <v/>
      </c>
      <c r="P28" s="470" t="str">
        <f>IFERROR(IF(L28="avec arrêt",IF(MONTH(N28)='Liste AT'!$X$2,0,N28-EOMONTH('Stats AT BDD'!$X$2,0)),""),"")</f>
        <v/>
      </c>
      <c r="Q28" s="8"/>
      <c r="R28" s="9"/>
      <c r="S28" s="9"/>
      <c r="T28" s="10"/>
      <c r="U28" s="12"/>
      <c r="V28" s="6"/>
      <c r="W28" s="6"/>
      <c r="X28" s="214"/>
      <c r="Y28" s="74"/>
      <c r="Z28" s="225" t="str">
        <f t="shared" si="1"/>
        <v/>
      </c>
      <c r="AA28" s="7"/>
      <c r="AB28" s="226" t="str">
        <f t="shared" ca="1" si="5"/>
        <v/>
      </c>
      <c r="AC28" s="221"/>
      <c r="AD28" s="221"/>
      <c r="AE28" s="357" t="str">
        <f t="shared" si="3"/>
        <v/>
      </c>
      <c r="AF28" s="353"/>
      <c r="AG28" s="356" t="str">
        <f t="shared" ca="1" si="4"/>
        <v/>
      </c>
      <c r="AH28" s="221"/>
    </row>
    <row r="29" spans="1:34" ht="67.5" customHeight="1" x14ac:dyDescent="0.25">
      <c r="A29" s="153" t="s">
        <v>870</v>
      </c>
      <c r="B29" s="142"/>
      <c r="C29" s="135"/>
      <c r="D29" s="136"/>
      <c r="E29" s="216"/>
      <c r="F29" s="463"/>
      <c r="G29" s="218"/>
      <c r="H29" s="219"/>
      <c r="I29" s="224"/>
      <c r="J29" s="150"/>
      <c r="K29" s="134"/>
      <c r="L29" s="137"/>
      <c r="M29" s="138"/>
      <c r="N29" s="138"/>
      <c r="O29" s="222" t="str">
        <f t="shared" si="0"/>
        <v/>
      </c>
      <c r="P29" s="470" t="str">
        <f>IFERROR(IF(L29="avec arrêt",IF(MONTH(N29)='Liste AT'!$X$2,0,N29-EOMONTH('Stats AT BDD'!$X$2,0)),""),"")</f>
        <v/>
      </c>
      <c r="Q29" s="139"/>
      <c r="R29" s="140"/>
      <c r="S29" s="140"/>
      <c r="T29" s="141"/>
      <c r="U29" s="143"/>
      <c r="V29" s="137"/>
      <c r="W29" s="137"/>
      <c r="X29" s="214"/>
      <c r="Y29" s="147"/>
      <c r="Z29" s="225" t="str">
        <f t="shared" si="1"/>
        <v/>
      </c>
      <c r="AA29" s="138"/>
      <c r="AB29" s="226" t="str">
        <f t="shared" ca="1" si="5"/>
        <v/>
      </c>
      <c r="AC29" s="221"/>
      <c r="AD29" s="221"/>
      <c r="AE29" s="357" t="str">
        <f t="shared" si="3"/>
        <v/>
      </c>
      <c r="AF29" s="353"/>
      <c r="AG29" s="356" t="str">
        <f t="shared" ca="1" si="4"/>
        <v/>
      </c>
      <c r="AH29" s="221"/>
    </row>
    <row r="30" spans="1:34" ht="67.5" customHeight="1" x14ac:dyDescent="0.25">
      <c r="A30" s="153" t="s">
        <v>871</v>
      </c>
      <c r="B30" s="142"/>
      <c r="C30" s="135"/>
      <c r="D30" s="136"/>
      <c r="E30" s="216"/>
      <c r="F30" s="463"/>
      <c r="G30" s="218"/>
      <c r="H30" s="219"/>
      <c r="I30" s="224"/>
      <c r="J30" s="150"/>
      <c r="K30" s="134"/>
      <c r="L30" s="137"/>
      <c r="M30" s="138"/>
      <c r="N30" s="138"/>
      <c r="O30" s="222" t="str">
        <f t="shared" si="0"/>
        <v/>
      </c>
      <c r="P30" s="470" t="str">
        <f>IFERROR(IF(L30="avec arrêt",IF(MONTH(N30)='Liste AT'!$X$2,0,N30-EOMONTH('Stats AT BDD'!$X$2,0)),""),"")</f>
        <v/>
      </c>
      <c r="Q30" s="139"/>
      <c r="R30" s="140"/>
      <c r="S30" s="140"/>
      <c r="T30" s="141"/>
      <c r="U30" s="143"/>
      <c r="V30" s="137"/>
      <c r="W30" s="137"/>
      <c r="X30" s="214"/>
      <c r="Y30" s="147"/>
      <c r="Z30" s="225" t="str">
        <f t="shared" si="1"/>
        <v/>
      </c>
      <c r="AA30" s="138"/>
      <c r="AB30" s="226" t="str">
        <f t="shared" ca="1" si="5"/>
        <v/>
      </c>
      <c r="AC30" s="221"/>
      <c r="AD30" s="221"/>
      <c r="AE30" s="357" t="str">
        <f t="shared" si="3"/>
        <v/>
      </c>
      <c r="AF30" s="353"/>
      <c r="AG30" s="356" t="str">
        <f t="shared" ca="1" si="4"/>
        <v/>
      </c>
      <c r="AH30" s="221"/>
    </row>
    <row r="31" spans="1:34" ht="67.5" customHeight="1" x14ac:dyDescent="0.25">
      <c r="A31" s="153" t="s">
        <v>872</v>
      </c>
      <c r="B31" s="142"/>
      <c r="C31" s="135"/>
      <c r="D31" s="136"/>
      <c r="E31" s="216"/>
      <c r="F31" s="463"/>
      <c r="G31" s="218"/>
      <c r="H31" s="219"/>
      <c r="I31" s="224"/>
      <c r="J31" s="150"/>
      <c r="K31" s="134"/>
      <c r="L31" s="137"/>
      <c r="M31" s="138"/>
      <c r="N31" s="138"/>
      <c r="O31" s="222" t="str">
        <f t="shared" si="0"/>
        <v/>
      </c>
      <c r="P31" s="470" t="str">
        <f>IFERROR(IF(L31="avec arrêt",IF(MONTH(N31)='Liste AT'!$X$2,0,N31-EOMONTH('Stats AT BDD'!$X$2,0)),""),"")</f>
        <v/>
      </c>
      <c r="Q31" s="139"/>
      <c r="R31" s="140"/>
      <c r="S31" s="140"/>
      <c r="T31" s="141"/>
      <c r="U31" s="143"/>
      <c r="V31" s="137"/>
      <c r="W31" s="137"/>
      <c r="X31" s="141"/>
      <c r="Y31" s="147"/>
      <c r="Z31" s="225" t="str">
        <f t="shared" si="1"/>
        <v/>
      </c>
      <c r="AA31" s="138"/>
      <c r="AB31" s="148" t="str">
        <f t="shared" ca="1" si="5"/>
        <v/>
      </c>
      <c r="AC31" s="221"/>
      <c r="AD31" s="221"/>
      <c r="AE31" s="357" t="str">
        <f t="shared" si="3"/>
        <v/>
      </c>
      <c r="AF31" s="353"/>
      <c r="AG31" s="356" t="str">
        <f t="shared" ca="1" si="4"/>
        <v/>
      </c>
      <c r="AH31" s="221"/>
    </row>
    <row r="32" spans="1:34" ht="67.5" customHeight="1" x14ac:dyDescent="0.25">
      <c r="A32" s="153" t="s">
        <v>873</v>
      </c>
      <c r="B32" s="142"/>
      <c r="C32" s="135"/>
      <c r="D32" s="136"/>
      <c r="E32" s="216"/>
      <c r="F32" s="463"/>
      <c r="G32" s="218"/>
      <c r="H32" s="219"/>
      <c r="I32" s="224"/>
      <c r="J32" s="150"/>
      <c r="K32" s="134"/>
      <c r="L32" s="137"/>
      <c r="M32" s="138"/>
      <c r="N32" s="138"/>
      <c r="O32" s="222" t="str">
        <f t="shared" si="0"/>
        <v/>
      </c>
      <c r="P32" s="470" t="str">
        <f>IFERROR(IF(L32="avec arrêt",IF(MONTH(N32)='Liste AT'!$X$2,0,N32-EOMONTH('Stats AT BDD'!$X$2,0)),""),"")</f>
        <v/>
      </c>
      <c r="Q32" s="139"/>
      <c r="R32" s="140"/>
      <c r="S32" s="140"/>
      <c r="T32" s="141"/>
      <c r="U32" s="143"/>
      <c r="V32" s="137"/>
      <c r="W32" s="137"/>
      <c r="X32" s="141"/>
      <c r="Y32" s="147"/>
      <c r="Z32" s="225" t="str">
        <f t="shared" si="1"/>
        <v/>
      </c>
      <c r="AA32" s="138"/>
      <c r="AB32" s="148" t="str">
        <f t="shared" ca="1" si="5"/>
        <v/>
      </c>
      <c r="AC32" s="221"/>
      <c r="AD32" s="221"/>
      <c r="AE32" s="357" t="str">
        <f t="shared" si="3"/>
        <v/>
      </c>
      <c r="AF32" s="353"/>
      <c r="AG32" s="356" t="str">
        <f t="shared" ca="1" si="4"/>
        <v/>
      </c>
      <c r="AH32" s="221"/>
    </row>
    <row r="33" spans="1:34" ht="67.5" customHeight="1" x14ac:dyDescent="0.25">
      <c r="A33" s="153" t="s">
        <v>874</v>
      </c>
      <c r="B33" s="142"/>
      <c r="C33" s="135"/>
      <c r="D33" s="136"/>
      <c r="E33" s="216"/>
      <c r="F33" s="463"/>
      <c r="G33" s="218"/>
      <c r="H33" s="219"/>
      <c r="I33" s="224"/>
      <c r="J33" s="150"/>
      <c r="K33" s="134"/>
      <c r="L33" s="137"/>
      <c r="M33" s="138"/>
      <c r="N33" s="138"/>
      <c r="O33" s="222" t="str">
        <f t="shared" si="0"/>
        <v/>
      </c>
      <c r="P33" s="470" t="str">
        <f>IFERROR(IF(L33="avec arrêt",IF(MONTH(N33)='Liste AT'!$X$2,0,N33-EOMONTH('Stats AT BDD'!$X$2,0)),""),"")</f>
        <v/>
      </c>
      <c r="Q33" s="139"/>
      <c r="R33" s="140"/>
      <c r="S33" s="140"/>
      <c r="T33" s="141"/>
      <c r="U33" s="143"/>
      <c r="V33" s="137"/>
      <c r="W33" s="137"/>
      <c r="X33" s="141"/>
      <c r="Y33" s="147"/>
      <c r="Z33" s="225" t="str">
        <f t="shared" si="1"/>
        <v/>
      </c>
      <c r="AA33" s="138"/>
      <c r="AB33" s="148" t="str">
        <f t="shared" ca="1" si="5"/>
        <v/>
      </c>
      <c r="AC33" s="221"/>
      <c r="AD33" s="221"/>
      <c r="AE33" s="357" t="str">
        <f t="shared" si="3"/>
        <v/>
      </c>
      <c r="AF33" s="353"/>
      <c r="AG33" s="356" t="str">
        <f t="shared" ca="1" si="4"/>
        <v/>
      </c>
      <c r="AH33" s="221"/>
    </row>
    <row r="34" spans="1:34" ht="67.5" customHeight="1" x14ac:dyDescent="0.25">
      <c r="A34" s="153" t="s">
        <v>875</v>
      </c>
      <c r="B34" s="142"/>
      <c r="C34" s="135"/>
      <c r="D34" s="136"/>
      <c r="E34" s="216"/>
      <c r="F34" s="463"/>
      <c r="G34" s="218"/>
      <c r="H34" s="219"/>
      <c r="I34" s="224"/>
      <c r="J34" s="150"/>
      <c r="K34" s="134"/>
      <c r="L34" s="137"/>
      <c r="M34" s="138"/>
      <c r="N34" s="138"/>
      <c r="O34" s="222" t="str">
        <f t="shared" si="0"/>
        <v/>
      </c>
      <c r="P34" s="470" t="str">
        <f>IFERROR(IF(L34="avec arrêt",IF(MONTH(N34)='Liste AT'!$X$2,0,N34-EOMONTH('Stats AT BDD'!$X$2,0)),""),"")</f>
        <v/>
      </c>
      <c r="Q34" s="139"/>
      <c r="R34" s="140"/>
      <c r="S34" s="140"/>
      <c r="T34" s="141"/>
      <c r="U34" s="143"/>
      <c r="V34" s="137"/>
      <c r="W34" s="137"/>
      <c r="X34" s="141"/>
      <c r="Y34" s="147"/>
      <c r="Z34" s="225" t="str">
        <f t="shared" si="1"/>
        <v/>
      </c>
      <c r="AA34" s="138"/>
      <c r="AB34" s="148" t="str">
        <f t="shared" ca="1" si="5"/>
        <v/>
      </c>
      <c r="AC34" s="221"/>
      <c r="AD34" s="221"/>
      <c r="AE34" s="357" t="str">
        <f t="shared" si="3"/>
        <v/>
      </c>
      <c r="AF34" s="353"/>
      <c r="AG34" s="356" t="str">
        <f t="shared" ca="1" si="4"/>
        <v/>
      </c>
      <c r="AH34" s="221"/>
    </row>
    <row r="35" spans="1:34" ht="67.5" customHeight="1" x14ac:dyDescent="0.25">
      <c r="A35" s="153" t="s">
        <v>876</v>
      </c>
      <c r="B35" s="142"/>
      <c r="C35" s="135"/>
      <c r="D35" s="136"/>
      <c r="E35" s="216"/>
      <c r="F35" s="463"/>
      <c r="G35" s="218"/>
      <c r="H35" s="219"/>
      <c r="I35" s="224"/>
      <c r="J35" s="150"/>
      <c r="K35" s="134"/>
      <c r="L35" s="137"/>
      <c r="M35" s="138"/>
      <c r="N35" s="138"/>
      <c r="O35" s="222" t="str">
        <f t="shared" si="0"/>
        <v/>
      </c>
      <c r="P35" s="470" t="str">
        <f>IFERROR(IF(L35="avec arrêt",IF(MONTH(N35)='Liste AT'!$X$2,0,N35-EOMONTH('Stats AT BDD'!$X$2,0)),""),"")</f>
        <v/>
      </c>
      <c r="Q35" s="139"/>
      <c r="R35" s="140"/>
      <c r="S35" s="140"/>
      <c r="T35" s="141"/>
      <c r="U35" s="143"/>
      <c r="V35" s="137"/>
      <c r="W35" s="137"/>
      <c r="X35" s="141"/>
      <c r="Y35" s="147"/>
      <c r="Z35" s="225" t="str">
        <f t="shared" si="1"/>
        <v/>
      </c>
      <c r="AA35" s="138"/>
      <c r="AB35" s="148" t="str">
        <f t="shared" ca="1" si="5"/>
        <v/>
      </c>
      <c r="AC35" s="221"/>
      <c r="AD35" s="221"/>
      <c r="AE35" s="357" t="str">
        <f t="shared" si="3"/>
        <v/>
      </c>
      <c r="AF35" s="353"/>
      <c r="AG35" s="356" t="str">
        <f t="shared" ca="1" si="4"/>
        <v/>
      </c>
      <c r="AH35" s="221"/>
    </row>
    <row r="36" spans="1:34" ht="67.5" customHeight="1" x14ac:dyDescent="0.25">
      <c r="A36" s="153" t="s">
        <v>877</v>
      </c>
      <c r="B36" s="142"/>
      <c r="C36" s="135"/>
      <c r="D36" s="136"/>
      <c r="E36" s="216"/>
      <c r="F36" s="463"/>
      <c r="G36" s="218"/>
      <c r="H36" s="219"/>
      <c r="I36" s="224"/>
      <c r="J36" s="223"/>
      <c r="K36" s="134"/>
      <c r="L36" s="137"/>
      <c r="M36" s="138"/>
      <c r="N36" s="138"/>
      <c r="O36" s="222" t="str">
        <f t="shared" si="0"/>
        <v/>
      </c>
      <c r="P36" s="470" t="str">
        <f>IFERROR(IF(L36="avec arrêt",IF(MONTH(N36)='Liste AT'!$X$2,0,N36-EOMONTH('Stats AT BDD'!$X$2,0)),""),"")</f>
        <v/>
      </c>
      <c r="Q36" s="139"/>
      <c r="R36" s="140"/>
      <c r="S36" s="140"/>
      <c r="T36" s="141"/>
      <c r="U36" s="143"/>
      <c r="V36" s="137"/>
      <c r="W36" s="137"/>
      <c r="X36" s="214"/>
      <c r="Y36" s="147"/>
      <c r="Z36" s="225" t="str">
        <f t="shared" si="1"/>
        <v/>
      </c>
      <c r="AA36" s="138"/>
      <c r="AB36" s="148" t="str">
        <f t="shared" ca="1" si="5"/>
        <v/>
      </c>
      <c r="AC36" s="221"/>
      <c r="AD36" s="221"/>
      <c r="AE36" s="357" t="str">
        <f t="shared" si="3"/>
        <v/>
      </c>
      <c r="AF36" s="353"/>
      <c r="AG36" s="356" t="str">
        <f t="shared" ref="AG36:AG65" ca="1" si="6">IF(ISBLANK(AF36),IF(AE36&lt;TODAY(),"non",""),IF(AF36&gt;AE36,"non","oui"))</f>
        <v/>
      </c>
      <c r="AH36" s="221"/>
    </row>
    <row r="37" spans="1:34" ht="67.5" customHeight="1" x14ac:dyDescent="0.25">
      <c r="A37" s="153" t="s">
        <v>878</v>
      </c>
      <c r="B37" s="142"/>
      <c r="C37" s="135"/>
      <c r="D37" s="136"/>
      <c r="E37" s="216"/>
      <c r="F37" s="463"/>
      <c r="G37" s="218"/>
      <c r="H37" s="219"/>
      <c r="I37" s="224"/>
      <c r="J37" s="150"/>
      <c r="K37" s="134"/>
      <c r="L37" s="137"/>
      <c r="M37" s="138"/>
      <c r="N37" s="138"/>
      <c r="O37" s="222" t="str">
        <f t="shared" si="0"/>
        <v/>
      </c>
      <c r="P37" s="470" t="str">
        <f>IFERROR(IF(L37="avec arrêt",IF(MONTH(N37)='Liste AT'!$X$2,0,N37-EOMONTH('Stats AT BDD'!$X$2,0)),""),"")</f>
        <v/>
      </c>
      <c r="Q37" s="139"/>
      <c r="R37" s="140"/>
      <c r="S37" s="140"/>
      <c r="T37" s="141"/>
      <c r="U37" s="143"/>
      <c r="V37" s="137"/>
      <c r="W37" s="137"/>
      <c r="X37" s="214"/>
      <c r="Y37" s="147"/>
      <c r="Z37" s="225" t="str">
        <f t="shared" si="1"/>
        <v/>
      </c>
      <c r="AA37" s="138"/>
      <c r="AB37" s="148" t="str">
        <f t="shared" ca="1" si="5"/>
        <v/>
      </c>
      <c r="AC37" s="221"/>
      <c r="AD37" s="221"/>
      <c r="AE37" s="357" t="str">
        <f t="shared" si="3"/>
        <v/>
      </c>
      <c r="AF37" s="353"/>
      <c r="AG37" s="356" t="str">
        <f t="shared" ca="1" si="6"/>
        <v/>
      </c>
      <c r="AH37" s="221"/>
    </row>
    <row r="38" spans="1:34" ht="67.5" customHeight="1" x14ac:dyDescent="0.25">
      <c r="A38" s="153" t="s">
        <v>879</v>
      </c>
      <c r="B38" s="142"/>
      <c r="C38" s="135"/>
      <c r="D38" s="136"/>
      <c r="E38" s="216"/>
      <c r="F38" s="463"/>
      <c r="G38" s="218"/>
      <c r="H38" s="219"/>
      <c r="I38" s="224"/>
      <c r="J38" s="150"/>
      <c r="K38" s="134"/>
      <c r="L38" s="137"/>
      <c r="M38" s="138"/>
      <c r="N38" s="138"/>
      <c r="O38" s="222" t="str">
        <f t="shared" si="0"/>
        <v/>
      </c>
      <c r="P38" s="470" t="str">
        <f>IFERROR(IF(L38="avec arrêt",IF(MONTH(N38)='Liste AT'!$X$2,0,N38-EOMONTH('Stats AT BDD'!$X$2,0)),""),"")</f>
        <v/>
      </c>
      <c r="Q38" s="139"/>
      <c r="R38" s="140"/>
      <c r="S38" s="140"/>
      <c r="T38" s="141"/>
      <c r="U38" s="143"/>
      <c r="V38" s="137"/>
      <c r="W38" s="137"/>
      <c r="X38" s="214"/>
      <c r="Y38" s="147"/>
      <c r="Z38" s="225" t="str">
        <f t="shared" si="1"/>
        <v/>
      </c>
      <c r="AA38" s="138"/>
      <c r="AB38" s="148" t="str">
        <f t="shared" ca="1" si="5"/>
        <v/>
      </c>
      <c r="AC38" s="221"/>
      <c r="AD38" s="221"/>
      <c r="AE38" s="357" t="str">
        <f t="shared" si="3"/>
        <v/>
      </c>
      <c r="AF38" s="353"/>
      <c r="AG38" s="356" t="str">
        <f t="shared" ca="1" si="6"/>
        <v/>
      </c>
      <c r="AH38" s="221"/>
    </row>
    <row r="39" spans="1:34" ht="67.5" customHeight="1" x14ac:dyDescent="0.25">
      <c r="A39" s="153" t="s">
        <v>880</v>
      </c>
      <c r="B39" s="142"/>
      <c r="C39" s="135"/>
      <c r="D39" s="136"/>
      <c r="E39" s="216"/>
      <c r="F39" s="463"/>
      <c r="G39" s="218"/>
      <c r="H39" s="219"/>
      <c r="I39" s="224"/>
      <c r="J39" s="150"/>
      <c r="K39" s="134"/>
      <c r="L39" s="137"/>
      <c r="M39" s="138"/>
      <c r="N39" s="138"/>
      <c r="O39" s="222" t="str">
        <f t="shared" si="0"/>
        <v/>
      </c>
      <c r="P39" s="470" t="str">
        <f>IFERROR(IF(L39="avec arrêt",IF(MONTH(N39)='Liste AT'!$X$2,0,N39-EOMONTH('Stats AT BDD'!$X$2,0)),""),"")</f>
        <v/>
      </c>
      <c r="Q39" s="139"/>
      <c r="R39" s="140"/>
      <c r="S39" s="140"/>
      <c r="T39" s="141"/>
      <c r="U39" s="143"/>
      <c r="V39" s="137"/>
      <c r="W39" s="137"/>
      <c r="X39" s="214"/>
      <c r="Y39" s="147"/>
      <c r="Z39" s="225" t="str">
        <f t="shared" ref="Z39:Z61" si="7">IF(ISBLANK(I39),"",I39+2)</f>
        <v/>
      </c>
      <c r="AA39" s="138"/>
      <c r="AB39" s="148" t="str">
        <f t="shared" ca="1" si="5"/>
        <v/>
      </c>
      <c r="AC39" s="221"/>
      <c r="AD39" s="221"/>
      <c r="AE39" s="357" t="str">
        <f t="shared" ref="AE39:AE73" si="8">IF(ISBLANK(I39),"",I39+30)</f>
        <v/>
      </c>
      <c r="AF39" s="353"/>
      <c r="AG39" s="356" t="str">
        <f t="shared" ca="1" si="6"/>
        <v/>
      </c>
      <c r="AH39" s="221"/>
    </row>
    <row r="40" spans="1:34" ht="67.5" customHeight="1" x14ac:dyDescent="0.25">
      <c r="A40" s="153" t="s">
        <v>881</v>
      </c>
      <c r="B40" s="142"/>
      <c r="C40" s="135"/>
      <c r="D40" s="136"/>
      <c r="E40" s="216"/>
      <c r="F40" s="463"/>
      <c r="G40" s="218"/>
      <c r="H40" s="219"/>
      <c r="I40" s="224"/>
      <c r="J40" s="150"/>
      <c r="K40" s="134"/>
      <c r="L40" s="137"/>
      <c r="M40" s="138"/>
      <c r="N40" s="138"/>
      <c r="O40" s="222" t="str">
        <f t="shared" si="0"/>
        <v/>
      </c>
      <c r="P40" s="470" t="str">
        <f>IFERROR(IF(L40="avec arrêt",IF(MONTH(N40)='Liste AT'!$X$2,0,N40-EOMONTH('Stats AT BDD'!$X$2,0)),""),"")</f>
        <v/>
      </c>
      <c r="Q40" s="139"/>
      <c r="R40" s="140"/>
      <c r="S40" s="140"/>
      <c r="T40" s="141"/>
      <c r="U40" s="143"/>
      <c r="V40" s="137"/>
      <c r="W40" s="137"/>
      <c r="X40" s="214"/>
      <c r="Y40" s="147"/>
      <c r="Z40" s="225" t="str">
        <f t="shared" si="7"/>
        <v/>
      </c>
      <c r="AA40" s="138"/>
      <c r="AB40" s="148" t="str">
        <f t="shared" ca="1" si="5"/>
        <v/>
      </c>
      <c r="AC40" s="221"/>
      <c r="AD40" s="221"/>
      <c r="AE40" s="357" t="str">
        <f t="shared" si="8"/>
        <v/>
      </c>
      <c r="AF40" s="353"/>
      <c r="AG40" s="356" t="str">
        <f t="shared" ca="1" si="6"/>
        <v/>
      </c>
      <c r="AH40" s="221"/>
    </row>
    <row r="41" spans="1:34" ht="67.5" customHeight="1" x14ac:dyDescent="0.25">
      <c r="A41" s="153" t="s">
        <v>882</v>
      </c>
      <c r="B41" s="142"/>
      <c r="C41" s="135"/>
      <c r="D41" s="136"/>
      <c r="E41" s="216"/>
      <c r="F41" s="463"/>
      <c r="G41" s="218"/>
      <c r="H41" s="219"/>
      <c r="I41" s="224"/>
      <c r="J41" s="150"/>
      <c r="K41" s="134"/>
      <c r="L41" s="137"/>
      <c r="M41" s="138"/>
      <c r="N41" s="138"/>
      <c r="O41" s="222" t="str">
        <f t="shared" si="0"/>
        <v/>
      </c>
      <c r="P41" s="470" t="str">
        <f>IFERROR(IF(L41="avec arrêt",IF(MONTH(N41)='Liste AT'!$X$2,0,N41-EOMONTH('Stats AT BDD'!$X$2,0)),""),"")</f>
        <v/>
      </c>
      <c r="Q41" s="139"/>
      <c r="R41" s="140"/>
      <c r="S41" s="140"/>
      <c r="T41" s="141"/>
      <c r="U41" s="143"/>
      <c r="V41" s="137"/>
      <c r="W41" s="137"/>
      <c r="X41" s="214"/>
      <c r="Y41" s="147"/>
      <c r="Z41" s="225" t="str">
        <f t="shared" si="7"/>
        <v/>
      </c>
      <c r="AA41" s="138"/>
      <c r="AB41" s="148" t="str">
        <f t="shared" ca="1" si="5"/>
        <v/>
      </c>
      <c r="AC41" s="221"/>
      <c r="AD41" s="221"/>
      <c r="AE41" s="357" t="str">
        <f t="shared" si="8"/>
        <v/>
      </c>
      <c r="AF41" s="353"/>
      <c r="AG41" s="356" t="str">
        <f t="shared" ca="1" si="6"/>
        <v/>
      </c>
      <c r="AH41" s="221"/>
    </row>
    <row r="42" spans="1:34" ht="67.5" customHeight="1" x14ac:dyDescent="0.25">
      <c r="A42" s="153" t="s">
        <v>883</v>
      </c>
      <c r="B42" s="142"/>
      <c r="C42" s="135"/>
      <c r="D42" s="136"/>
      <c r="E42" s="216"/>
      <c r="F42" s="463"/>
      <c r="G42" s="218"/>
      <c r="H42" s="219"/>
      <c r="I42" s="224"/>
      <c r="J42" s="150"/>
      <c r="K42" s="134"/>
      <c r="L42" s="137"/>
      <c r="M42" s="138"/>
      <c r="N42" s="138"/>
      <c r="O42" s="222" t="str">
        <f t="shared" si="0"/>
        <v/>
      </c>
      <c r="P42" s="470" t="str">
        <f>IFERROR(IF(L42="avec arrêt",IF(MONTH(N42)='Liste AT'!$X$2,0,N42-EOMONTH('Stats AT BDD'!$X$2,0)),""),"")</f>
        <v/>
      </c>
      <c r="Q42" s="139"/>
      <c r="R42" s="140"/>
      <c r="S42" s="140"/>
      <c r="T42" s="141"/>
      <c r="U42" s="143"/>
      <c r="V42" s="137"/>
      <c r="W42" s="137"/>
      <c r="X42" s="214"/>
      <c r="Y42" s="147"/>
      <c r="Z42" s="225" t="str">
        <f t="shared" si="7"/>
        <v/>
      </c>
      <c r="AA42" s="138"/>
      <c r="AB42" s="148" t="str">
        <f t="shared" ca="1" si="5"/>
        <v/>
      </c>
      <c r="AC42" s="221"/>
      <c r="AD42" s="221"/>
      <c r="AE42" s="357" t="str">
        <f t="shared" si="8"/>
        <v/>
      </c>
      <c r="AF42" s="353"/>
      <c r="AG42" s="356" t="str">
        <f t="shared" ca="1" si="6"/>
        <v/>
      </c>
      <c r="AH42" s="221"/>
    </row>
    <row r="43" spans="1:34" ht="67.5" customHeight="1" x14ac:dyDescent="0.25">
      <c r="A43" s="153" t="s">
        <v>884</v>
      </c>
      <c r="B43" s="142"/>
      <c r="C43" s="135"/>
      <c r="D43" s="136"/>
      <c r="E43" s="216"/>
      <c r="F43" s="463"/>
      <c r="G43" s="218"/>
      <c r="H43" s="219"/>
      <c r="I43" s="224"/>
      <c r="J43" s="150"/>
      <c r="K43" s="134"/>
      <c r="L43" s="137"/>
      <c r="M43" s="138"/>
      <c r="N43" s="138"/>
      <c r="O43" s="222" t="str">
        <f t="shared" si="0"/>
        <v/>
      </c>
      <c r="P43" s="470" t="str">
        <f>IFERROR(IF(L43="avec arrêt",IF(MONTH(N43)='Liste AT'!$X$2,0,N43-EOMONTH('Stats AT BDD'!$X$2,0)),""),"")</f>
        <v/>
      </c>
      <c r="Q43" s="139"/>
      <c r="R43" s="140"/>
      <c r="S43" s="140"/>
      <c r="T43" s="141"/>
      <c r="U43" s="143"/>
      <c r="V43" s="137"/>
      <c r="W43" s="137"/>
      <c r="X43" s="214"/>
      <c r="Y43" s="147"/>
      <c r="Z43" s="225" t="str">
        <f t="shared" si="7"/>
        <v/>
      </c>
      <c r="AA43" s="138"/>
      <c r="AB43" s="148" t="str">
        <f t="shared" ca="1" si="5"/>
        <v/>
      </c>
      <c r="AC43" s="221"/>
      <c r="AD43" s="221"/>
      <c r="AE43" s="357" t="str">
        <f t="shared" si="8"/>
        <v/>
      </c>
      <c r="AF43" s="353"/>
      <c r="AG43" s="356" t="str">
        <f t="shared" ca="1" si="6"/>
        <v/>
      </c>
      <c r="AH43" s="221"/>
    </row>
    <row r="44" spans="1:34" ht="67.5" customHeight="1" x14ac:dyDescent="0.25">
      <c r="A44" s="153" t="s">
        <v>885</v>
      </c>
      <c r="B44" s="142"/>
      <c r="C44" s="135"/>
      <c r="D44" s="136"/>
      <c r="E44" s="216"/>
      <c r="F44" s="463"/>
      <c r="G44" s="218"/>
      <c r="H44" s="219"/>
      <c r="I44" s="224"/>
      <c r="J44" s="150"/>
      <c r="K44" s="134"/>
      <c r="L44" s="137"/>
      <c r="M44" s="138"/>
      <c r="N44" s="138"/>
      <c r="O44" s="222" t="str">
        <f t="shared" si="0"/>
        <v/>
      </c>
      <c r="P44" s="470" t="str">
        <f>IFERROR(IF(L44="avec arrêt",IF(MONTH(N44)='Liste AT'!$X$2,0,N44-EOMONTH('Stats AT BDD'!$X$2,0)),""),"")</f>
        <v/>
      </c>
      <c r="Q44" s="139"/>
      <c r="R44" s="140"/>
      <c r="S44" s="140"/>
      <c r="T44" s="141"/>
      <c r="U44" s="143"/>
      <c r="V44" s="137"/>
      <c r="W44" s="137"/>
      <c r="X44" s="214"/>
      <c r="Y44" s="147"/>
      <c r="Z44" s="225" t="str">
        <f t="shared" si="7"/>
        <v/>
      </c>
      <c r="AA44" s="138"/>
      <c r="AB44" s="148" t="str">
        <f t="shared" ca="1" si="5"/>
        <v/>
      </c>
      <c r="AC44" s="221"/>
      <c r="AD44" s="221"/>
      <c r="AE44" s="357" t="str">
        <f t="shared" si="8"/>
        <v/>
      </c>
      <c r="AF44" s="353"/>
      <c r="AG44" s="356" t="str">
        <f t="shared" ca="1" si="6"/>
        <v/>
      </c>
      <c r="AH44" s="221"/>
    </row>
    <row r="45" spans="1:34" ht="67.5" customHeight="1" x14ac:dyDescent="0.25">
      <c r="A45" s="153" t="s">
        <v>886</v>
      </c>
      <c r="B45" s="142"/>
      <c r="C45" s="135"/>
      <c r="D45" s="136"/>
      <c r="E45" s="216"/>
      <c r="F45" s="463"/>
      <c r="G45" s="218"/>
      <c r="H45" s="219"/>
      <c r="I45" s="224"/>
      <c r="J45" s="150"/>
      <c r="K45" s="134"/>
      <c r="L45" s="137"/>
      <c r="M45" s="138"/>
      <c r="N45" s="138"/>
      <c r="O45" s="222" t="str">
        <f t="shared" si="0"/>
        <v/>
      </c>
      <c r="P45" s="470" t="str">
        <f>IFERROR(IF(L45="avec arrêt",IF(MONTH(N45)='Liste AT'!$X$2,0,N45-EOMONTH('Stats AT BDD'!$X$2,0)),""),"")</f>
        <v/>
      </c>
      <c r="Q45" s="139"/>
      <c r="R45" s="140"/>
      <c r="S45" s="140"/>
      <c r="T45" s="141"/>
      <c r="U45" s="143"/>
      <c r="V45" s="137"/>
      <c r="W45" s="137"/>
      <c r="X45" s="214"/>
      <c r="Y45" s="147"/>
      <c r="Z45" s="225" t="str">
        <f t="shared" si="7"/>
        <v/>
      </c>
      <c r="AA45" s="138"/>
      <c r="AB45" s="148" t="str">
        <f t="shared" ca="1" si="5"/>
        <v/>
      </c>
      <c r="AC45" s="221"/>
      <c r="AD45" s="221"/>
      <c r="AE45" s="357" t="str">
        <f t="shared" si="8"/>
        <v/>
      </c>
      <c r="AF45" s="353"/>
      <c r="AG45" s="356" t="str">
        <f t="shared" ca="1" si="6"/>
        <v/>
      </c>
      <c r="AH45" s="221"/>
    </row>
    <row r="46" spans="1:34" ht="67.5" customHeight="1" x14ac:dyDescent="0.25">
      <c r="A46" s="153" t="s">
        <v>887</v>
      </c>
      <c r="B46" s="142"/>
      <c r="C46" s="135"/>
      <c r="D46" s="136"/>
      <c r="E46" s="216"/>
      <c r="F46" s="463"/>
      <c r="G46" s="218"/>
      <c r="H46" s="219"/>
      <c r="I46" s="224"/>
      <c r="J46" s="150"/>
      <c r="K46" s="134"/>
      <c r="L46" s="137"/>
      <c r="M46" s="138"/>
      <c r="N46" s="138"/>
      <c r="O46" s="222" t="str">
        <f t="shared" si="0"/>
        <v/>
      </c>
      <c r="P46" s="470" t="str">
        <f>IFERROR(IF(L46="avec arrêt",IF(MONTH(N46)='Liste AT'!$X$2,0,N46-EOMONTH('Stats AT BDD'!$X$2,0)),""),"")</f>
        <v/>
      </c>
      <c r="Q46" s="139"/>
      <c r="R46" s="140"/>
      <c r="S46" s="140"/>
      <c r="T46" s="141"/>
      <c r="U46" s="143"/>
      <c r="V46" s="137"/>
      <c r="W46" s="137"/>
      <c r="X46" s="214"/>
      <c r="Y46" s="147"/>
      <c r="Z46" s="225" t="str">
        <f t="shared" si="7"/>
        <v/>
      </c>
      <c r="AA46" s="138"/>
      <c r="AB46" s="148" t="str">
        <f t="shared" ca="1" si="5"/>
        <v/>
      </c>
      <c r="AC46" s="221"/>
      <c r="AD46" s="221"/>
      <c r="AE46" s="357" t="str">
        <f t="shared" si="8"/>
        <v/>
      </c>
      <c r="AF46" s="353"/>
      <c r="AG46" s="356" t="str">
        <f t="shared" ca="1" si="6"/>
        <v/>
      </c>
      <c r="AH46" s="221"/>
    </row>
    <row r="47" spans="1:34" ht="67.5" customHeight="1" x14ac:dyDescent="0.25">
      <c r="A47" s="153" t="s">
        <v>888</v>
      </c>
      <c r="B47" s="142"/>
      <c r="C47" s="135"/>
      <c r="D47" s="136"/>
      <c r="E47" s="216"/>
      <c r="F47" s="463"/>
      <c r="G47" s="218"/>
      <c r="H47" s="219"/>
      <c r="I47" s="224"/>
      <c r="J47" s="150"/>
      <c r="K47" s="134"/>
      <c r="L47" s="137"/>
      <c r="M47" s="138"/>
      <c r="N47" s="138"/>
      <c r="O47" s="222" t="str">
        <f t="shared" si="0"/>
        <v/>
      </c>
      <c r="P47" s="470" t="str">
        <f>IFERROR(IF(L47="avec arrêt",IF(MONTH(N47)='Liste AT'!$X$2,0,N47-EOMONTH('Stats AT BDD'!$X$2,0)),""),"")</f>
        <v/>
      </c>
      <c r="Q47" s="139"/>
      <c r="R47" s="140"/>
      <c r="S47" s="140"/>
      <c r="T47" s="141"/>
      <c r="U47" s="143"/>
      <c r="V47" s="137"/>
      <c r="W47" s="137"/>
      <c r="X47" s="214"/>
      <c r="Y47" s="147"/>
      <c r="Z47" s="225" t="str">
        <f t="shared" si="7"/>
        <v/>
      </c>
      <c r="AA47" s="138"/>
      <c r="AB47" s="148" t="str">
        <f t="shared" ca="1" si="5"/>
        <v/>
      </c>
      <c r="AC47" s="221"/>
      <c r="AD47" s="221"/>
      <c r="AE47" s="357" t="str">
        <f t="shared" si="8"/>
        <v/>
      </c>
      <c r="AF47" s="353"/>
      <c r="AG47" s="356" t="str">
        <f t="shared" ca="1" si="6"/>
        <v/>
      </c>
      <c r="AH47" s="221"/>
    </row>
    <row r="48" spans="1:34" ht="67.5" customHeight="1" x14ac:dyDescent="0.25">
      <c r="A48" s="153" t="s">
        <v>889</v>
      </c>
      <c r="B48" s="142"/>
      <c r="C48" s="135"/>
      <c r="D48" s="136"/>
      <c r="E48" s="216"/>
      <c r="F48" s="463"/>
      <c r="G48" s="218"/>
      <c r="H48" s="219"/>
      <c r="I48" s="224"/>
      <c r="J48" s="150"/>
      <c r="K48" s="134"/>
      <c r="L48" s="137"/>
      <c r="M48" s="138"/>
      <c r="N48" s="138"/>
      <c r="O48" s="222" t="str">
        <f t="shared" si="0"/>
        <v/>
      </c>
      <c r="P48" s="470" t="str">
        <f>IFERROR(IF(L48="avec arrêt",IF(MONTH(N48)='Liste AT'!$X$2,0,N48-EOMONTH('Stats AT BDD'!$X$2,0)),""),"")</f>
        <v/>
      </c>
      <c r="Q48" s="139"/>
      <c r="R48" s="140"/>
      <c r="S48" s="140"/>
      <c r="T48" s="141"/>
      <c r="U48" s="143"/>
      <c r="V48" s="137"/>
      <c r="W48" s="137"/>
      <c r="X48" s="214"/>
      <c r="Y48" s="147"/>
      <c r="Z48" s="225" t="str">
        <f t="shared" si="7"/>
        <v/>
      </c>
      <c r="AA48" s="138"/>
      <c r="AB48" s="148" t="str">
        <f t="shared" ca="1" si="5"/>
        <v/>
      </c>
      <c r="AC48" s="221"/>
      <c r="AD48" s="221"/>
      <c r="AE48" s="357" t="str">
        <f t="shared" si="8"/>
        <v/>
      </c>
      <c r="AF48" s="353"/>
      <c r="AG48" s="356" t="str">
        <f t="shared" ca="1" si="6"/>
        <v/>
      </c>
      <c r="AH48" s="221"/>
    </row>
    <row r="49" spans="1:34" ht="67.5" customHeight="1" x14ac:dyDescent="0.25">
      <c r="A49" s="153" t="s">
        <v>890</v>
      </c>
      <c r="B49" s="142"/>
      <c r="C49" s="135"/>
      <c r="D49" s="136"/>
      <c r="E49" s="216"/>
      <c r="F49" s="463"/>
      <c r="G49" s="218"/>
      <c r="H49" s="219"/>
      <c r="I49" s="224"/>
      <c r="J49" s="150"/>
      <c r="K49" s="134"/>
      <c r="L49" s="137"/>
      <c r="M49" s="138"/>
      <c r="N49" s="138"/>
      <c r="O49" s="149" t="str">
        <f t="shared" si="0"/>
        <v/>
      </c>
      <c r="P49" s="470" t="str">
        <f>IFERROR(IF(L49="avec arrêt",IF(MONTH(N49)='Liste AT'!$X$2,0,N49-EOMONTH('Stats AT BDD'!$X$2,0)),""),"")</f>
        <v/>
      </c>
      <c r="Q49" s="139"/>
      <c r="R49" s="140"/>
      <c r="S49" s="140"/>
      <c r="T49" s="141"/>
      <c r="U49" s="143"/>
      <c r="V49" s="137"/>
      <c r="W49" s="137"/>
      <c r="X49" s="141"/>
      <c r="Y49" s="147"/>
      <c r="Z49" s="225" t="str">
        <f t="shared" si="7"/>
        <v/>
      </c>
      <c r="AA49" s="138"/>
      <c r="AB49" s="148" t="str">
        <f t="shared" ca="1" si="5"/>
        <v/>
      </c>
      <c r="AC49" s="221"/>
      <c r="AD49" s="221"/>
      <c r="AE49" s="357" t="str">
        <f t="shared" si="8"/>
        <v/>
      </c>
      <c r="AF49" s="353"/>
      <c r="AG49" s="356" t="str">
        <f t="shared" ca="1" si="6"/>
        <v/>
      </c>
      <c r="AH49" s="221"/>
    </row>
    <row r="50" spans="1:34" ht="67.5" customHeight="1" x14ac:dyDescent="0.25">
      <c r="A50" s="153" t="s">
        <v>891</v>
      </c>
      <c r="B50" s="142"/>
      <c r="C50" s="135"/>
      <c r="D50" s="136"/>
      <c r="E50" s="216"/>
      <c r="F50" s="463"/>
      <c r="G50" s="218"/>
      <c r="H50" s="219"/>
      <c r="I50" s="224"/>
      <c r="J50" s="150"/>
      <c r="K50" s="134"/>
      <c r="L50" s="137"/>
      <c r="M50" s="138"/>
      <c r="N50" s="138"/>
      <c r="O50" s="149" t="str">
        <f t="shared" si="0"/>
        <v/>
      </c>
      <c r="P50" s="470" t="str">
        <f>IFERROR(IF(L50="avec arrêt",IF(MONTH(N50)='Liste AT'!$X$2,0,N50-EOMONTH('Stats AT BDD'!$X$2,0)),""),"")</f>
        <v/>
      </c>
      <c r="Q50" s="139"/>
      <c r="R50" s="140"/>
      <c r="S50" s="140"/>
      <c r="T50" s="141"/>
      <c r="U50" s="143"/>
      <c r="V50" s="137"/>
      <c r="W50" s="137"/>
      <c r="X50" s="141"/>
      <c r="Y50" s="147"/>
      <c r="Z50" s="225" t="str">
        <f t="shared" si="7"/>
        <v/>
      </c>
      <c r="AA50" s="138"/>
      <c r="AB50" s="148" t="str">
        <f t="shared" ca="1" si="5"/>
        <v/>
      </c>
      <c r="AC50" s="221"/>
      <c r="AD50" s="221"/>
      <c r="AE50" s="357" t="str">
        <f t="shared" si="8"/>
        <v/>
      </c>
      <c r="AF50" s="353"/>
      <c r="AG50" s="356" t="str">
        <f t="shared" ca="1" si="6"/>
        <v/>
      </c>
      <c r="AH50" s="221"/>
    </row>
    <row r="51" spans="1:34" ht="67.5" customHeight="1" x14ac:dyDescent="0.25">
      <c r="A51" s="153" t="s">
        <v>892</v>
      </c>
      <c r="B51" s="142"/>
      <c r="C51" s="135"/>
      <c r="D51" s="136"/>
      <c r="E51" s="216"/>
      <c r="F51" s="463"/>
      <c r="G51" s="218"/>
      <c r="H51" s="219"/>
      <c r="I51" s="224"/>
      <c r="J51" s="150"/>
      <c r="K51" s="134"/>
      <c r="L51" s="137"/>
      <c r="M51" s="138"/>
      <c r="N51" s="138"/>
      <c r="O51" s="149" t="str">
        <f t="shared" si="0"/>
        <v/>
      </c>
      <c r="P51" s="470" t="str">
        <f>IFERROR(IF(L51="avec arrêt",IF(MONTH(N51)='Liste AT'!$X$2,0,N51-EOMONTH('Stats AT BDD'!$X$2,0)),""),"")</f>
        <v/>
      </c>
      <c r="Q51" s="139"/>
      <c r="R51" s="140"/>
      <c r="S51" s="140"/>
      <c r="T51" s="141"/>
      <c r="U51" s="143"/>
      <c r="V51" s="137"/>
      <c r="W51" s="137"/>
      <c r="X51" s="141"/>
      <c r="Y51" s="147"/>
      <c r="Z51" s="225" t="str">
        <f t="shared" si="7"/>
        <v/>
      </c>
      <c r="AA51" s="138"/>
      <c r="AB51" s="148" t="str">
        <f t="shared" ca="1" si="5"/>
        <v/>
      </c>
      <c r="AC51" s="221"/>
      <c r="AD51" s="221"/>
      <c r="AE51" s="357" t="str">
        <f t="shared" si="8"/>
        <v/>
      </c>
      <c r="AF51" s="353"/>
      <c r="AG51" s="356" t="str">
        <f t="shared" ca="1" si="6"/>
        <v/>
      </c>
      <c r="AH51" s="221"/>
    </row>
    <row r="52" spans="1:34" ht="67.5" customHeight="1" x14ac:dyDescent="0.25">
      <c r="A52" s="153" t="s">
        <v>893</v>
      </c>
      <c r="B52" s="142"/>
      <c r="C52" s="135"/>
      <c r="D52" s="136"/>
      <c r="E52" s="216"/>
      <c r="F52" s="463"/>
      <c r="G52" s="218"/>
      <c r="H52" s="219"/>
      <c r="I52" s="224"/>
      <c r="J52" s="150"/>
      <c r="K52" s="134"/>
      <c r="L52" s="137"/>
      <c r="M52" s="138"/>
      <c r="N52" s="138"/>
      <c r="O52" s="149" t="str">
        <f t="shared" si="0"/>
        <v/>
      </c>
      <c r="P52" s="470" t="str">
        <f>IFERROR(IF(L52="avec arrêt",IF(MONTH(N52)='Liste AT'!$X$2,0,N52-EOMONTH('Stats AT BDD'!$X$2,0)),""),"")</f>
        <v/>
      </c>
      <c r="Q52" s="139"/>
      <c r="R52" s="140"/>
      <c r="S52" s="140"/>
      <c r="T52" s="141"/>
      <c r="U52" s="143"/>
      <c r="V52" s="137"/>
      <c r="W52" s="137"/>
      <c r="X52" s="141"/>
      <c r="Y52" s="147"/>
      <c r="Z52" s="225" t="str">
        <f t="shared" si="7"/>
        <v/>
      </c>
      <c r="AA52" s="138"/>
      <c r="AB52" s="148" t="str">
        <f t="shared" ca="1" si="5"/>
        <v/>
      </c>
      <c r="AC52" s="221"/>
      <c r="AD52" s="221"/>
      <c r="AE52" s="357" t="str">
        <f t="shared" si="8"/>
        <v/>
      </c>
      <c r="AF52" s="353"/>
      <c r="AG52" s="356" t="str">
        <f t="shared" ca="1" si="6"/>
        <v/>
      </c>
      <c r="AH52" s="221"/>
    </row>
    <row r="53" spans="1:34" ht="67.5" customHeight="1" x14ac:dyDescent="0.25">
      <c r="A53" s="153" t="s">
        <v>894</v>
      </c>
      <c r="B53" s="142"/>
      <c r="C53" s="135"/>
      <c r="D53" s="136"/>
      <c r="E53" s="216"/>
      <c r="F53" s="463"/>
      <c r="G53" s="218"/>
      <c r="H53" s="219"/>
      <c r="I53" s="224"/>
      <c r="J53" s="150"/>
      <c r="K53" s="134"/>
      <c r="L53" s="137"/>
      <c r="M53" s="138"/>
      <c r="N53" s="138"/>
      <c r="O53" s="149" t="str">
        <f t="shared" si="0"/>
        <v/>
      </c>
      <c r="P53" s="470" t="str">
        <f>IFERROR(IF(L53="avec arrêt",IF(MONTH(N53)='Liste AT'!$X$2,0,N53-EOMONTH('Stats AT BDD'!$X$2,0)),""),"")</f>
        <v/>
      </c>
      <c r="Q53" s="139"/>
      <c r="R53" s="140"/>
      <c r="S53" s="140"/>
      <c r="T53" s="141"/>
      <c r="U53" s="143"/>
      <c r="V53" s="137"/>
      <c r="W53" s="137"/>
      <c r="X53" s="141"/>
      <c r="Y53" s="147"/>
      <c r="Z53" s="225" t="str">
        <f t="shared" si="7"/>
        <v/>
      </c>
      <c r="AA53" s="138"/>
      <c r="AB53" s="148" t="str">
        <f t="shared" ca="1" si="5"/>
        <v/>
      </c>
      <c r="AC53" s="221"/>
      <c r="AD53" s="221"/>
      <c r="AE53" s="357" t="str">
        <f t="shared" si="8"/>
        <v/>
      </c>
      <c r="AF53" s="353"/>
      <c r="AG53" s="356" t="str">
        <f t="shared" ca="1" si="6"/>
        <v/>
      </c>
      <c r="AH53" s="221"/>
    </row>
    <row r="54" spans="1:34" ht="67.5" customHeight="1" x14ac:dyDescent="0.25">
      <c r="A54" s="153" t="s">
        <v>895</v>
      </c>
      <c r="B54" s="142"/>
      <c r="C54" s="135"/>
      <c r="D54" s="136"/>
      <c r="E54" s="216"/>
      <c r="F54" s="463"/>
      <c r="G54" s="218"/>
      <c r="H54" s="219"/>
      <c r="I54" s="224"/>
      <c r="J54" s="150"/>
      <c r="K54" s="134"/>
      <c r="L54" s="137"/>
      <c r="M54" s="138"/>
      <c r="N54" s="138"/>
      <c r="O54" s="149" t="str">
        <f t="shared" si="0"/>
        <v/>
      </c>
      <c r="P54" s="470" t="str">
        <f>IFERROR(IF(L54="avec arrêt",IF(MONTH(N54)='Liste AT'!$X$2,0,N54-EOMONTH('Stats AT BDD'!$X$2,0)),""),"")</f>
        <v/>
      </c>
      <c r="Q54" s="139"/>
      <c r="R54" s="140"/>
      <c r="S54" s="140"/>
      <c r="T54" s="141"/>
      <c r="U54" s="143"/>
      <c r="V54" s="137"/>
      <c r="W54" s="137"/>
      <c r="X54" s="141"/>
      <c r="Y54" s="147"/>
      <c r="Z54" s="225" t="str">
        <f t="shared" si="7"/>
        <v/>
      </c>
      <c r="AA54" s="138"/>
      <c r="AB54" s="148" t="str">
        <f t="shared" ca="1" si="5"/>
        <v/>
      </c>
      <c r="AC54" s="221"/>
      <c r="AD54" s="221"/>
      <c r="AE54" s="357" t="str">
        <f t="shared" si="8"/>
        <v/>
      </c>
      <c r="AF54" s="353"/>
      <c r="AG54" s="356" t="str">
        <f t="shared" ca="1" si="6"/>
        <v/>
      </c>
      <c r="AH54" s="221"/>
    </row>
    <row r="55" spans="1:34" ht="67.5" customHeight="1" x14ac:dyDescent="0.25">
      <c r="A55" s="153" t="s">
        <v>896</v>
      </c>
      <c r="B55" s="142"/>
      <c r="C55" s="135"/>
      <c r="D55" s="136"/>
      <c r="E55" s="216"/>
      <c r="F55" s="463"/>
      <c r="G55" s="218"/>
      <c r="H55" s="219"/>
      <c r="I55" s="224"/>
      <c r="J55" s="150"/>
      <c r="K55" s="134"/>
      <c r="L55" s="137"/>
      <c r="M55" s="138"/>
      <c r="N55" s="138"/>
      <c r="O55" s="149" t="str">
        <f t="shared" si="0"/>
        <v/>
      </c>
      <c r="P55" s="470" t="str">
        <f>IFERROR(IF(L55="avec arrêt",IF(MONTH(N55)='Liste AT'!$X$2,0,N55-EOMONTH('Stats AT BDD'!$X$2,0)),""),"")</f>
        <v/>
      </c>
      <c r="Q55" s="139"/>
      <c r="R55" s="140"/>
      <c r="S55" s="140"/>
      <c r="T55" s="141"/>
      <c r="U55" s="143"/>
      <c r="V55" s="137"/>
      <c r="W55" s="137"/>
      <c r="X55" s="141"/>
      <c r="Y55" s="147"/>
      <c r="Z55" s="225" t="str">
        <f t="shared" si="7"/>
        <v/>
      </c>
      <c r="AA55" s="138"/>
      <c r="AB55" s="148" t="str">
        <f t="shared" ca="1" si="5"/>
        <v/>
      </c>
      <c r="AC55" s="221"/>
      <c r="AD55" s="221"/>
      <c r="AE55" s="357" t="str">
        <f t="shared" si="8"/>
        <v/>
      </c>
      <c r="AF55" s="353"/>
      <c r="AG55" s="356" t="str">
        <f t="shared" ca="1" si="6"/>
        <v/>
      </c>
      <c r="AH55" s="221"/>
    </row>
    <row r="56" spans="1:34" ht="67.5" customHeight="1" x14ac:dyDescent="0.25">
      <c r="A56" s="153" t="s">
        <v>897</v>
      </c>
      <c r="B56" s="142"/>
      <c r="C56" s="135"/>
      <c r="D56" s="136"/>
      <c r="E56" s="216"/>
      <c r="F56" s="463"/>
      <c r="G56" s="218"/>
      <c r="H56" s="219"/>
      <c r="I56" s="224"/>
      <c r="J56" s="150"/>
      <c r="K56" s="134"/>
      <c r="L56" s="137"/>
      <c r="M56" s="138"/>
      <c r="N56" s="138"/>
      <c r="O56" s="149" t="str">
        <f t="shared" si="0"/>
        <v/>
      </c>
      <c r="P56" s="470" t="str">
        <f>IFERROR(IF(L56="avec arrêt",IF(MONTH(N56)='Liste AT'!$X$2,0,N56-EOMONTH('Stats AT BDD'!$X$2,0)),""),"")</f>
        <v/>
      </c>
      <c r="Q56" s="139"/>
      <c r="R56" s="140"/>
      <c r="S56" s="140"/>
      <c r="T56" s="141"/>
      <c r="U56" s="143"/>
      <c r="V56" s="137"/>
      <c r="W56" s="137"/>
      <c r="X56" s="141"/>
      <c r="Y56" s="147"/>
      <c r="Z56" s="225" t="str">
        <f t="shared" si="7"/>
        <v/>
      </c>
      <c r="AA56" s="138"/>
      <c r="AB56" s="148" t="str">
        <f t="shared" ca="1" si="5"/>
        <v/>
      </c>
      <c r="AC56" s="221"/>
      <c r="AD56" s="221"/>
      <c r="AE56" s="357" t="str">
        <f t="shared" si="8"/>
        <v/>
      </c>
      <c r="AF56" s="353"/>
      <c r="AG56" s="356" t="str">
        <f t="shared" ca="1" si="6"/>
        <v/>
      </c>
      <c r="AH56" s="221"/>
    </row>
    <row r="57" spans="1:34" ht="67.5" customHeight="1" x14ac:dyDescent="0.25">
      <c r="A57" s="153" t="s">
        <v>898</v>
      </c>
      <c r="B57" s="142"/>
      <c r="C57" s="135"/>
      <c r="D57" s="136"/>
      <c r="E57" s="216"/>
      <c r="F57" s="463"/>
      <c r="G57" s="218"/>
      <c r="H57" s="219"/>
      <c r="I57" s="224"/>
      <c r="J57" s="150"/>
      <c r="K57" s="134"/>
      <c r="L57" s="137"/>
      <c r="M57" s="138"/>
      <c r="N57" s="138"/>
      <c r="O57" s="149" t="str">
        <f t="shared" si="0"/>
        <v/>
      </c>
      <c r="P57" s="470" t="str">
        <f>IFERROR(IF(L57="avec arrêt",IF(MONTH(N57)='Liste AT'!$X$2,0,N57-EOMONTH('Stats AT BDD'!$X$2,0)),""),"")</f>
        <v/>
      </c>
      <c r="Q57" s="139"/>
      <c r="R57" s="140"/>
      <c r="S57" s="140"/>
      <c r="T57" s="141"/>
      <c r="U57" s="143"/>
      <c r="V57" s="137"/>
      <c r="W57" s="137"/>
      <c r="X57" s="141"/>
      <c r="Y57" s="147"/>
      <c r="Z57" s="225" t="str">
        <f t="shared" si="7"/>
        <v/>
      </c>
      <c r="AA57" s="138"/>
      <c r="AB57" s="148" t="str">
        <f t="shared" ca="1" si="5"/>
        <v/>
      </c>
      <c r="AC57" s="221"/>
      <c r="AD57" s="221"/>
      <c r="AE57" s="357" t="str">
        <f t="shared" si="8"/>
        <v/>
      </c>
      <c r="AF57" s="353"/>
      <c r="AG57" s="356" t="str">
        <f t="shared" ca="1" si="6"/>
        <v/>
      </c>
      <c r="AH57" s="221"/>
    </row>
    <row r="58" spans="1:34" ht="67.5" customHeight="1" x14ac:dyDescent="0.25">
      <c r="A58" s="153" t="s">
        <v>899</v>
      </c>
      <c r="B58" s="142"/>
      <c r="C58" s="135"/>
      <c r="D58" s="136"/>
      <c r="E58" s="216"/>
      <c r="F58" s="463"/>
      <c r="G58" s="218"/>
      <c r="H58" s="219"/>
      <c r="I58" s="224"/>
      <c r="J58" s="150"/>
      <c r="K58" s="134"/>
      <c r="L58" s="137"/>
      <c r="M58" s="138"/>
      <c r="N58" s="138"/>
      <c r="O58" s="149" t="str">
        <f t="shared" si="0"/>
        <v/>
      </c>
      <c r="P58" s="470" t="str">
        <f>IFERROR(IF(L58="avec arrêt",IF(MONTH(N58)='Liste AT'!$X$2,0,N58-EOMONTH('Stats AT BDD'!$X$2,0)),""),"")</f>
        <v/>
      </c>
      <c r="Q58" s="139"/>
      <c r="R58" s="140"/>
      <c r="S58" s="140"/>
      <c r="T58" s="141"/>
      <c r="U58" s="143"/>
      <c r="V58" s="137"/>
      <c r="W58" s="137"/>
      <c r="X58" s="214"/>
      <c r="Y58" s="147"/>
      <c r="Z58" s="225" t="str">
        <f t="shared" si="7"/>
        <v/>
      </c>
      <c r="AA58" s="138"/>
      <c r="AB58" s="148" t="str">
        <f t="shared" ca="1" si="5"/>
        <v/>
      </c>
      <c r="AC58" s="221"/>
      <c r="AD58" s="221"/>
      <c r="AE58" s="357" t="str">
        <f t="shared" si="8"/>
        <v/>
      </c>
      <c r="AF58" s="353"/>
      <c r="AG58" s="356" t="str">
        <f t="shared" ca="1" si="6"/>
        <v/>
      </c>
      <c r="AH58" s="221"/>
    </row>
    <row r="59" spans="1:34" ht="67.5" customHeight="1" x14ac:dyDescent="0.25">
      <c r="A59" s="153" t="s">
        <v>900</v>
      </c>
      <c r="B59" s="142"/>
      <c r="C59" s="135"/>
      <c r="D59" s="136"/>
      <c r="E59" s="216"/>
      <c r="F59" s="463"/>
      <c r="G59" s="218"/>
      <c r="H59" s="219"/>
      <c r="I59" s="224"/>
      <c r="J59" s="150"/>
      <c r="K59" s="134"/>
      <c r="L59" s="137"/>
      <c r="M59" s="138"/>
      <c r="N59" s="138"/>
      <c r="O59" s="149" t="str">
        <f t="shared" si="0"/>
        <v/>
      </c>
      <c r="P59" s="470" t="str">
        <f>IFERROR(IF(L59="avec arrêt",IF(MONTH(N59)='Liste AT'!$X$2,0,N59-EOMONTH('Stats AT BDD'!$X$2,0)),""),"")</f>
        <v/>
      </c>
      <c r="Q59" s="139"/>
      <c r="R59" s="140"/>
      <c r="S59" s="140"/>
      <c r="T59" s="141"/>
      <c r="U59" s="143"/>
      <c r="V59" s="137"/>
      <c r="W59" s="137"/>
      <c r="X59" s="141"/>
      <c r="Y59" s="147"/>
      <c r="Z59" s="225" t="str">
        <f t="shared" si="7"/>
        <v/>
      </c>
      <c r="AA59" s="138"/>
      <c r="AB59" s="148" t="str">
        <f t="shared" ca="1" si="5"/>
        <v/>
      </c>
      <c r="AC59" s="221"/>
      <c r="AD59" s="221"/>
      <c r="AE59" s="357" t="str">
        <f t="shared" si="8"/>
        <v/>
      </c>
      <c r="AF59" s="353"/>
      <c r="AG59" s="356" t="str">
        <f t="shared" ca="1" si="6"/>
        <v/>
      </c>
      <c r="AH59" s="221"/>
    </row>
    <row r="60" spans="1:34" ht="67.5" customHeight="1" x14ac:dyDescent="0.25">
      <c r="A60" s="153" t="s">
        <v>901</v>
      </c>
      <c r="B60" s="142"/>
      <c r="C60" s="135"/>
      <c r="D60" s="136"/>
      <c r="E60" s="216"/>
      <c r="F60" s="463"/>
      <c r="G60" s="218"/>
      <c r="H60" s="219"/>
      <c r="I60" s="224"/>
      <c r="J60" s="150"/>
      <c r="K60" s="134"/>
      <c r="L60" s="137"/>
      <c r="M60" s="138"/>
      <c r="N60" s="138"/>
      <c r="O60" s="149" t="str">
        <f t="shared" si="0"/>
        <v/>
      </c>
      <c r="P60" s="470" t="str">
        <f>IFERROR(IF(L60="avec arrêt",IF(MONTH(N60)='Liste AT'!$X$2,0,N60-EOMONTH('Stats AT BDD'!$X$2,0)),""),"")</f>
        <v/>
      </c>
      <c r="Q60" s="139"/>
      <c r="R60" s="140"/>
      <c r="S60" s="140"/>
      <c r="T60" s="141"/>
      <c r="U60" s="143"/>
      <c r="V60" s="137"/>
      <c r="W60" s="137"/>
      <c r="X60" s="141"/>
      <c r="Y60" s="147"/>
      <c r="Z60" s="225" t="str">
        <f t="shared" si="7"/>
        <v/>
      </c>
      <c r="AA60" s="138"/>
      <c r="AB60" s="148" t="str">
        <f t="shared" ca="1" si="5"/>
        <v/>
      </c>
      <c r="AC60" s="221"/>
      <c r="AD60" s="221"/>
      <c r="AE60" s="357" t="str">
        <f t="shared" si="8"/>
        <v/>
      </c>
      <c r="AF60" s="353"/>
      <c r="AG60" s="356" t="str">
        <f t="shared" ca="1" si="6"/>
        <v/>
      </c>
      <c r="AH60" s="221"/>
    </row>
    <row r="61" spans="1:34" ht="67.5" customHeight="1" x14ac:dyDescent="0.25">
      <c r="A61" s="153" t="s">
        <v>902</v>
      </c>
      <c r="B61" s="142"/>
      <c r="C61" s="135"/>
      <c r="D61" s="136"/>
      <c r="E61" s="216"/>
      <c r="F61" s="463"/>
      <c r="G61" s="218"/>
      <c r="H61" s="219"/>
      <c r="I61" s="224"/>
      <c r="J61" s="150"/>
      <c r="K61" s="134"/>
      <c r="L61" s="137"/>
      <c r="M61" s="138"/>
      <c r="N61" s="138"/>
      <c r="O61" s="149" t="str">
        <f t="shared" si="0"/>
        <v/>
      </c>
      <c r="P61" s="470" t="str">
        <f>IFERROR(IF(L61="avec arrêt",IF(MONTH(N61)='Liste AT'!$X$2,0,N61-EOMONTH('Stats AT BDD'!$X$2,0)),""),"")</f>
        <v/>
      </c>
      <c r="Q61" s="139"/>
      <c r="R61" s="140"/>
      <c r="S61" s="140"/>
      <c r="T61" s="141"/>
      <c r="U61" s="143"/>
      <c r="V61" s="137"/>
      <c r="W61" s="137"/>
      <c r="X61" s="141"/>
      <c r="Y61" s="147"/>
      <c r="Z61" s="225" t="str">
        <f t="shared" si="7"/>
        <v/>
      </c>
      <c r="AA61" s="138"/>
      <c r="AB61" s="148" t="str">
        <f t="shared" ca="1" si="5"/>
        <v/>
      </c>
      <c r="AC61" s="221"/>
      <c r="AD61" s="221"/>
      <c r="AE61" s="357" t="str">
        <f t="shared" si="8"/>
        <v/>
      </c>
      <c r="AF61" s="353"/>
      <c r="AG61" s="356" t="str">
        <f t="shared" ca="1" si="6"/>
        <v/>
      </c>
      <c r="AH61" s="221"/>
    </row>
    <row r="62" spans="1:34" ht="67.5" customHeight="1" x14ac:dyDescent="0.25">
      <c r="A62" s="153" t="s">
        <v>903</v>
      </c>
      <c r="B62" s="142"/>
      <c r="C62" s="135"/>
      <c r="D62" s="136"/>
      <c r="E62" s="216"/>
      <c r="F62" s="463"/>
      <c r="G62" s="218"/>
      <c r="H62" s="219"/>
      <c r="I62" s="224"/>
      <c r="J62" s="150"/>
      <c r="K62" s="134"/>
      <c r="L62" s="137"/>
      <c r="M62" s="138"/>
      <c r="N62" s="138"/>
      <c r="O62" s="149" t="str">
        <f t="shared" si="0"/>
        <v/>
      </c>
      <c r="P62" s="470" t="str">
        <f>IFERROR(IF(L62="avec arrêt",IF(MONTH(N62)='Liste AT'!$X$2,0,N62-EOMONTH('Stats AT BDD'!$X$2,0)),""),"")</f>
        <v/>
      </c>
      <c r="Q62" s="139"/>
      <c r="R62" s="140"/>
      <c r="S62" s="140"/>
      <c r="T62" s="141"/>
      <c r="U62" s="143"/>
      <c r="V62" s="137"/>
      <c r="W62" s="137"/>
      <c r="X62" s="141"/>
      <c r="Y62" s="147"/>
      <c r="Z62" s="144" t="str">
        <f t="shared" ref="Z62:Z125" si="9">IF(ISBLANK(I62),"",I62+7)</f>
        <v/>
      </c>
      <c r="AA62" s="138"/>
      <c r="AB62" s="148" t="str">
        <f t="shared" ca="1" si="5"/>
        <v/>
      </c>
      <c r="AC62" s="221"/>
      <c r="AD62" s="221"/>
      <c r="AE62" s="357" t="str">
        <f t="shared" si="8"/>
        <v/>
      </c>
      <c r="AF62" s="353"/>
      <c r="AG62" s="356" t="str">
        <f t="shared" ca="1" si="6"/>
        <v/>
      </c>
      <c r="AH62" s="221"/>
    </row>
    <row r="63" spans="1:34" ht="67.5" customHeight="1" x14ac:dyDescent="0.25">
      <c r="A63" s="153" t="s">
        <v>904</v>
      </c>
      <c r="B63" s="142"/>
      <c r="C63" s="135"/>
      <c r="D63" s="136"/>
      <c r="E63" s="216"/>
      <c r="F63" s="463"/>
      <c r="G63" s="218"/>
      <c r="H63" s="219"/>
      <c r="I63" s="224"/>
      <c r="J63" s="150"/>
      <c r="K63" s="134"/>
      <c r="L63" s="137"/>
      <c r="M63" s="138"/>
      <c r="N63" s="138"/>
      <c r="O63" s="149" t="str">
        <f t="shared" si="0"/>
        <v/>
      </c>
      <c r="P63" s="470" t="str">
        <f>IFERROR(IF(L63="avec arrêt",IF(MONTH(N63)='Liste AT'!$X$2,0,N63-EOMONTH('Stats AT BDD'!$X$2,0)),""),"")</f>
        <v/>
      </c>
      <c r="Q63" s="139"/>
      <c r="R63" s="140"/>
      <c r="S63" s="140"/>
      <c r="T63" s="141"/>
      <c r="U63" s="143"/>
      <c r="V63" s="137"/>
      <c r="W63" s="137"/>
      <c r="X63" s="141"/>
      <c r="Y63" s="147"/>
      <c r="Z63" s="144" t="str">
        <f t="shared" si="9"/>
        <v/>
      </c>
      <c r="AA63" s="138"/>
      <c r="AB63" s="148" t="str">
        <f t="shared" ca="1" si="5"/>
        <v/>
      </c>
      <c r="AC63" s="221"/>
      <c r="AD63" s="221"/>
      <c r="AE63" s="357" t="str">
        <f t="shared" si="8"/>
        <v/>
      </c>
      <c r="AF63" s="353"/>
      <c r="AG63" s="356" t="str">
        <f t="shared" ca="1" si="6"/>
        <v/>
      </c>
      <c r="AH63" s="221"/>
    </row>
    <row r="64" spans="1:34" ht="67.5" customHeight="1" x14ac:dyDescent="0.25">
      <c r="A64" s="153" t="s">
        <v>905</v>
      </c>
      <c r="B64" s="142"/>
      <c r="C64" s="135"/>
      <c r="D64" s="136"/>
      <c r="E64" s="216"/>
      <c r="F64" s="463"/>
      <c r="G64" s="218"/>
      <c r="H64" s="219"/>
      <c r="I64" s="224"/>
      <c r="J64" s="150"/>
      <c r="K64" s="134"/>
      <c r="L64" s="137"/>
      <c r="M64" s="138"/>
      <c r="N64" s="138"/>
      <c r="O64" s="149" t="str">
        <f t="shared" si="0"/>
        <v/>
      </c>
      <c r="P64" s="470" t="str">
        <f>IFERROR(IF(L64="avec arrêt",IF(MONTH(N64)='Liste AT'!$X$2,0,N64-EOMONTH('Stats AT BDD'!$X$2,0)),""),"")</f>
        <v/>
      </c>
      <c r="Q64" s="139"/>
      <c r="R64" s="140"/>
      <c r="S64" s="140"/>
      <c r="T64" s="141"/>
      <c r="U64" s="143"/>
      <c r="V64" s="137"/>
      <c r="W64" s="137"/>
      <c r="X64" s="141"/>
      <c r="Y64" s="147"/>
      <c r="Z64" s="144" t="str">
        <f t="shared" si="9"/>
        <v/>
      </c>
      <c r="AA64" s="138"/>
      <c r="AB64" s="148" t="str">
        <f t="shared" ca="1" si="5"/>
        <v/>
      </c>
      <c r="AC64" s="221"/>
      <c r="AD64" s="221"/>
      <c r="AE64" s="357" t="str">
        <f t="shared" si="8"/>
        <v/>
      </c>
      <c r="AF64" s="353"/>
      <c r="AG64" s="356" t="str">
        <f t="shared" ca="1" si="6"/>
        <v/>
      </c>
      <c r="AH64" s="221"/>
    </row>
    <row r="65" spans="1:34" ht="67.5" customHeight="1" x14ac:dyDescent="0.25">
      <c r="A65" s="153" t="s">
        <v>906</v>
      </c>
      <c r="B65" s="142"/>
      <c r="C65" s="135"/>
      <c r="D65" s="136"/>
      <c r="E65" s="216"/>
      <c r="F65" s="463"/>
      <c r="G65" s="218"/>
      <c r="H65" s="219"/>
      <c r="I65" s="224"/>
      <c r="J65" s="150"/>
      <c r="K65" s="134"/>
      <c r="L65" s="137"/>
      <c r="M65" s="138"/>
      <c r="N65" s="138"/>
      <c r="O65" s="149" t="str">
        <f t="shared" si="0"/>
        <v/>
      </c>
      <c r="P65" s="470" t="str">
        <f>IFERROR(IF(L65="avec arrêt",IF(MONTH(N65)='Liste AT'!$X$2,0,N65-EOMONTH('Stats AT BDD'!$X$2,0)),""),"")</f>
        <v/>
      </c>
      <c r="Q65" s="139"/>
      <c r="R65" s="140"/>
      <c r="S65" s="140"/>
      <c r="T65" s="141"/>
      <c r="U65" s="143"/>
      <c r="V65" s="137"/>
      <c r="W65" s="137"/>
      <c r="X65" s="141"/>
      <c r="Y65" s="147"/>
      <c r="Z65" s="144" t="str">
        <f t="shared" si="9"/>
        <v/>
      </c>
      <c r="AA65" s="138"/>
      <c r="AB65" s="148" t="str">
        <f t="shared" ca="1" si="5"/>
        <v/>
      </c>
      <c r="AC65" s="221"/>
      <c r="AD65" s="221"/>
      <c r="AE65" s="357" t="str">
        <f t="shared" si="8"/>
        <v/>
      </c>
      <c r="AF65" s="353"/>
      <c r="AG65" s="356" t="str">
        <f t="shared" ca="1" si="6"/>
        <v/>
      </c>
      <c r="AH65" s="221"/>
    </row>
    <row r="66" spans="1:34" ht="67.5" customHeight="1" x14ac:dyDescent="0.25">
      <c r="A66" s="153" t="s">
        <v>907</v>
      </c>
      <c r="B66" s="142"/>
      <c r="C66" s="135"/>
      <c r="D66" s="136"/>
      <c r="E66" s="216"/>
      <c r="F66" s="463"/>
      <c r="G66" s="218"/>
      <c r="H66" s="219"/>
      <c r="I66" s="224"/>
      <c r="J66" s="150"/>
      <c r="K66" s="134"/>
      <c r="L66" s="137"/>
      <c r="M66" s="138"/>
      <c r="N66" s="138"/>
      <c r="O66" s="149" t="str">
        <f t="shared" si="0"/>
        <v/>
      </c>
      <c r="P66" s="470" t="str">
        <f>IFERROR(IF(L66="avec arrêt",IF(MONTH(N66)='Liste AT'!$X$2,0,N66-EOMONTH('Stats AT BDD'!$X$2,0)),""),"")</f>
        <v/>
      </c>
      <c r="Q66" s="139"/>
      <c r="R66" s="140"/>
      <c r="S66" s="140"/>
      <c r="T66" s="141"/>
      <c r="U66" s="143"/>
      <c r="V66" s="137"/>
      <c r="W66" s="137"/>
      <c r="X66" s="141"/>
      <c r="Y66" s="147"/>
      <c r="Z66" s="144" t="str">
        <f t="shared" si="9"/>
        <v/>
      </c>
      <c r="AA66" s="138"/>
      <c r="AB66" s="148" t="str">
        <f t="shared" ca="1" si="5"/>
        <v/>
      </c>
      <c r="AC66" s="221"/>
      <c r="AD66" s="221"/>
      <c r="AE66" s="357" t="str">
        <f t="shared" si="8"/>
        <v/>
      </c>
      <c r="AF66" s="353"/>
      <c r="AG66" s="349"/>
      <c r="AH66" s="221"/>
    </row>
    <row r="67" spans="1:34" ht="67.5" customHeight="1" x14ac:dyDescent="0.25">
      <c r="A67" s="153" t="s">
        <v>908</v>
      </c>
      <c r="B67" s="142"/>
      <c r="C67" s="135"/>
      <c r="D67" s="136"/>
      <c r="E67" s="216"/>
      <c r="F67" s="463"/>
      <c r="G67" s="218"/>
      <c r="H67" s="219"/>
      <c r="I67" s="224"/>
      <c r="J67" s="150"/>
      <c r="K67" s="134"/>
      <c r="L67" s="137"/>
      <c r="M67" s="138"/>
      <c r="N67" s="138"/>
      <c r="O67" s="149" t="str">
        <f t="shared" si="0"/>
        <v/>
      </c>
      <c r="P67" s="470" t="str">
        <f>IFERROR(IF(L67="avec arrêt",IF(MONTH(N67)='Liste AT'!$X$2,0,N67-EOMONTH('Stats AT BDD'!$X$2,0)),""),"")</f>
        <v/>
      </c>
      <c r="Q67" s="139"/>
      <c r="R67" s="140"/>
      <c r="S67" s="140"/>
      <c r="T67" s="141"/>
      <c r="U67" s="143"/>
      <c r="V67" s="137"/>
      <c r="W67" s="137"/>
      <c r="X67" s="141"/>
      <c r="Y67" s="147"/>
      <c r="Z67" s="144" t="str">
        <f t="shared" si="9"/>
        <v/>
      </c>
      <c r="AA67" s="138"/>
      <c r="AB67" s="148" t="str">
        <f t="shared" ca="1" si="5"/>
        <v/>
      </c>
      <c r="AC67" s="221"/>
      <c r="AD67" s="221"/>
      <c r="AE67" s="357" t="str">
        <f t="shared" si="8"/>
        <v/>
      </c>
      <c r="AF67" s="353"/>
      <c r="AG67" s="349"/>
      <c r="AH67" s="221"/>
    </row>
    <row r="68" spans="1:34" ht="67.5" customHeight="1" x14ac:dyDescent="0.25">
      <c r="A68" s="153" t="s">
        <v>909</v>
      </c>
      <c r="B68" s="142"/>
      <c r="C68" s="135"/>
      <c r="D68" s="136"/>
      <c r="E68" s="216"/>
      <c r="F68" s="463"/>
      <c r="G68" s="218"/>
      <c r="H68" s="219"/>
      <c r="I68" s="224"/>
      <c r="J68" s="150"/>
      <c r="K68" s="134"/>
      <c r="L68" s="137"/>
      <c r="M68" s="138"/>
      <c r="N68" s="138"/>
      <c r="O68" s="149" t="str">
        <f t="shared" si="0"/>
        <v/>
      </c>
      <c r="P68" s="470" t="str">
        <f>IFERROR(IF(L68="avec arrêt",IF(MONTH(N68)='Liste AT'!$X$2,0,N68-EOMONTH('Stats AT BDD'!$X$2,0)),""),"")</f>
        <v/>
      </c>
      <c r="Q68" s="139"/>
      <c r="R68" s="140"/>
      <c r="S68" s="140"/>
      <c r="T68" s="141"/>
      <c r="U68" s="143"/>
      <c r="V68" s="137"/>
      <c r="W68" s="137"/>
      <c r="X68" s="141"/>
      <c r="Y68" s="147"/>
      <c r="Z68" s="144" t="str">
        <f t="shared" si="9"/>
        <v/>
      </c>
      <c r="AA68" s="138"/>
      <c r="AB68" s="148" t="str">
        <f t="shared" ca="1" si="5"/>
        <v/>
      </c>
      <c r="AC68" s="221"/>
      <c r="AD68" s="221"/>
      <c r="AE68" s="357" t="str">
        <f t="shared" si="8"/>
        <v/>
      </c>
      <c r="AF68" s="353"/>
      <c r="AG68" s="349"/>
      <c r="AH68" s="221"/>
    </row>
    <row r="69" spans="1:34" ht="67.5" customHeight="1" x14ac:dyDescent="0.25">
      <c r="A69" s="153" t="s">
        <v>910</v>
      </c>
      <c r="B69" s="142"/>
      <c r="C69" s="135"/>
      <c r="D69" s="136"/>
      <c r="E69" s="216"/>
      <c r="F69" s="463"/>
      <c r="G69" s="218"/>
      <c r="H69" s="219"/>
      <c r="I69" s="224"/>
      <c r="J69" s="150"/>
      <c r="K69" s="134"/>
      <c r="L69" s="137"/>
      <c r="M69" s="138"/>
      <c r="N69" s="138"/>
      <c r="O69" s="149" t="str">
        <f t="shared" si="0"/>
        <v/>
      </c>
      <c r="P69" s="470" t="str">
        <f>IFERROR(IF(L69="avec arrêt",IF(MONTH(N69)='Liste AT'!$X$2,0,N69-EOMONTH('Stats AT BDD'!$X$2,0)),""),"")</f>
        <v/>
      </c>
      <c r="Q69" s="139"/>
      <c r="R69" s="140"/>
      <c r="S69" s="140"/>
      <c r="T69" s="141"/>
      <c r="U69" s="143"/>
      <c r="V69" s="137"/>
      <c r="W69" s="137"/>
      <c r="X69" s="214"/>
      <c r="Y69" s="147"/>
      <c r="Z69" s="144" t="str">
        <f t="shared" si="9"/>
        <v/>
      </c>
      <c r="AA69" s="138"/>
      <c r="AB69" s="148" t="str">
        <f t="shared" ca="1" si="5"/>
        <v/>
      </c>
      <c r="AC69" s="221"/>
      <c r="AD69" s="221"/>
      <c r="AE69" s="357" t="str">
        <f t="shared" si="8"/>
        <v/>
      </c>
      <c r="AF69" s="353"/>
      <c r="AG69" s="349"/>
      <c r="AH69" s="221"/>
    </row>
    <row r="70" spans="1:34" ht="67.5" customHeight="1" x14ac:dyDescent="0.25">
      <c r="A70" s="153" t="s">
        <v>911</v>
      </c>
      <c r="B70" s="142"/>
      <c r="C70" s="135"/>
      <c r="D70" s="136"/>
      <c r="E70" s="216"/>
      <c r="F70" s="463"/>
      <c r="G70" s="218"/>
      <c r="H70" s="219"/>
      <c r="I70" s="224"/>
      <c r="J70" s="150"/>
      <c r="K70" s="134"/>
      <c r="L70" s="137"/>
      <c r="M70" s="138"/>
      <c r="N70" s="138"/>
      <c r="O70" s="149" t="str">
        <f t="shared" si="0"/>
        <v/>
      </c>
      <c r="P70" s="470" t="str">
        <f>IFERROR(IF(L70="avec arrêt",IF(MONTH(N70)='Liste AT'!$X$2,0,N70-EOMONTH('Stats AT BDD'!$X$2,0)),""),"")</f>
        <v/>
      </c>
      <c r="Q70" s="139"/>
      <c r="R70" s="140"/>
      <c r="S70" s="140"/>
      <c r="T70" s="141"/>
      <c r="U70" s="143"/>
      <c r="V70" s="137"/>
      <c r="W70" s="137"/>
      <c r="X70" s="141"/>
      <c r="Y70" s="147"/>
      <c r="Z70" s="144" t="str">
        <f t="shared" si="9"/>
        <v/>
      </c>
      <c r="AA70" s="138"/>
      <c r="AB70" s="148" t="str">
        <f t="shared" ca="1" si="5"/>
        <v/>
      </c>
      <c r="AC70" s="221"/>
      <c r="AD70" s="221"/>
      <c r="AE70" s="357" t="str">
        <f t="shared" si="8"/>
        <v/>
      </c>
      <c r="AF70" s="353"/>
      <c r="AG70" s="349"/>
      <c r="AH70" s="221"/>
    </row>
    <row r="71" spans="1:34" ht="67.5" customHeight="1" x14ac:dyDescent="0.25">
      <c r="A71" s="153" t="s">
        <v>912</v>
      </c>
      <c r="B71" s="142"/>
      <c r="C71" s="135"/>
      <c r="D71" s="136"/>
      <c r="E71" s="216"/>
      <c r="F71" s="463"/>
      <c r="G71" s="218"/>
      <c r="H71" s="219"/>
      <c r="I71" s="224"/>
      <c r="J71" s="150"/>
      <c r="K71" s="134"/>
      <c r="L71" s="137"/>
      <c r="M71" s="138"/>
      <c r="N71" s="138"/>
      <c r="O71" s="149" t="str">
        <f t="shared" ref="O71:O134" si="10">IF(L71="avec arrêt",(N71-M71)+1,"")</f>
        <v/>
      </c>
      <c r="P71" s="470" t="str">
        <f>IFERROR(IF(L71="avec arrêt",IF(MONTH(N71)='Liste AT'!$X$2,0,N71-EOMONTH('Stats AT BDD'!$X$2,0)),""),"")</f>
        <v/>
      </c>
      <c r="Q71" s="139"/>
      <c r="R71" s="140"/>
      <c r="S71" s="140"/>
      <c r="T71" s="141"/>
      <c r="U71" s="143"/>
      <c r="V71" s="137"/>
      <c r="W71" s="137"/>
      <c r="X71" s="214"/>
      <c r="Y71" s="220"/>
      <c r="Z71" s="144" t="str">
        <f t="shared" si="9"/>
        <v/>
      </c>
      <c r="AA71" s="138"/>
      <c r="AB71" s="148" t="str">
        <f t="shared" ca="1" si="5"/>
        <v/>
      </c>
      <c r="AC71" s="221"/>
      <c r="AD71" s="221"/>
      <c r="AE71" s="357" t="str">
        <f t="shared" si="8"/>
        <v/>
      </c>
      <c r="AF71" s="353"/>
      <c r="AG71" s="349"/>
      <c r="AH71" s="221"/>
    </row>
    <row r="72" spans="1:34" ht="67.5" customHeight="1" x14ac:dyDescent="0.25">
      <c r="A72" s="153" t="s">
        <v>913</v>
      </c>
      <c r="B72" s="142"/>
      <c r="C72" s="135"/>
      <c r="D72" s="136"/>
      <c r="E72" s="216"/>
      <c r="F72" s="463"/>
      <c r="G72" s="145"/>
      <c r="H72" s="146"/>
      <c r="I72" s="224"/>
      <c r="J72" s="150"/>
      <c r="K72" s="134"/>
      <c r="L72" s="137"/>
      <c r="M72" s="138"/>
      <c r="N72" s="138"/>
      <c r="O72" s="149" t="str">
        <f t="shared" si="10"/>
        <v/>
      </c>
      <c r="P72" s="470" t="str">
        <f>IFERROR(IF(L72="avec arrêt",IF(MONTH(N72)='Liste AT'!$X$2,0,N72-EOMONTH('Stats AT BDD'!$X$2,0)),""),"")</f>
        <v/>
      </c>
      <c r="Q72" s="139"/>
      <c r="R72" s="140"/>
      <c r="S72" s="140"/>
      <c r="T72" s="141"/>
      <c r="U72" s="143"/>
      <c r="V72" s="137"/>
      <c r="W72" s="137"/>
      <c r="X72" s="214"/>
      <c r="Y72" s="220"/>
      <c r="Z72" s="144" t="str">
        <f t="shared" si="9"/>
        <v/>
      </c>
      <c r="AA72" s="138"/>
      <c r="AB72" s="148" t="str">
        <f t="shared" ca="1" si="5"/>
        <v/>
      </c>
      <c r="AC72" s="221"/>
      <c r="AD72" s="210"/>
      <c r="AE72" s="354" t="str">
        <f t="shared" si="8"/>
        <v/>
      </c>
      <c r="AF72" s="353"/>
      <c r="AG72" s="350"/>
      <c r="AH72" s="221"/>
    </row>
    <row r="73" spans="1:34" ht="67.5" customHeight="1" x14ac:dyDescent="0.25">
      <c r="A73" s="153" t="s">
        <v>914</v>
      </c>
      <c r="B73" s="142"/>
      <c r="C73" s="135"/>
      <c r="D73" s="136"/>
      <c r="E73" s="216"/>
      <c r="F73" s="463"/>
      <c r="G73" s="145"/>
      <c r="H73" s="146"/>
      <c r="I73" s="224"/>
      <c r="J73" s="150"/>
      <c r="K73" s="134"/>
      <c r="L73" s="137"/>
      <c r="M73" s="138"/>
      <c r="N73" s="138"/>
      <c r="O73" s="149" t="str">
        <f t="shared" si="10"/>
        <v/>
      </c>
      <c r="P73" s="470" t="str">
        <f>IFERROR(IF(L73="avec arrêt",IF(MONTH(N73)='Liste AT'!$X$2,0,N73-EOMONTH('Stats AT BDD'!$X$2,0)),""),"")</f>
        <v/>
      </c>
      <c r="Q73" s="139"/>
      <c r="R73" s="140"/>
      <c r="S73" s="140"/>
      <c r="T73" s="141"/>
      <c r="U73" s="143"/>
      <c r="V73" s="137"/>
      <c r="W73" s="137"/>
      <c r="X73" s="214"/>
      <c r="Y73" s="147"/>
      <c r="Z73" s="144" t="str">
        <f t="shared" si="9"/>
        <v/>
      </c>
      <c r="AA73" s="138"/>
      <c r="AB73" s="148" t="str">
        <f t="shared" ca="1" si="5"/>
        <v/>
      </c>
      <c r="AC73" s="226"/>
      <c r="AD73" s="210"/>
      <c r="AE73" s="354" t="str">
        <f t="shared" si="8"/>
        <v/>
      </c>
      <c r="AF73" s="353"/>
      <c r="AG73" s="350"/>
      <c r="AH73" s="221"/>
    </row>
    <row r="74" spans="1:34" ht="67.5" customHeight="1" x14ac:dyDescent="0.25">
      <c r="A74" s="153" t="s">
        <v>915</v>
      </c>
      <c r="B74" s="142"/>
      <c r="C74" s="135"/>
      <c r="D74" s="136"/>
      <c r="E74" s="216"/>
      <c r="F74" s="463"/>
      <c r="G74" s="145"/>
      <c r="H74" s="146"/>
      <c r="I74" s="224"/>
      <c r="J74" s="150"/>
      <c r="K74" s="134"/>
      <c r="L74" s="137"/>
      <c r="M74" s="138"/>
      <c r="N74" s="138"/>
      <c r="O74" s="149" t="str">
        <f t="shared" si="10"/>
        <v/>
      </c>
      <c r="P74" s="470" t="str">
        <f>IFERROR(IF(L74="avec arrêt",IF(MONTH(N74)='Liste AT'!$X$2,0,N74-EOMONTH('Stats AT BDD'!$X$2,0)),""),"")</f>
        <v/>
      </c>
      <c r="Q74" s="139"/>
      <c r="R74" s="140"/>
      <c r="S74" s="140"/>
      <c r="T74" s="141"/>
      <c r="U74" s="143"/>
      <c r="V74" s="137"/>
      <c r="W74" s="137"/>
      <c r="X74" s="141"/>
      <c r="Y74" s="147"/>
      <c r="Z74" s="144" t="str">
        <f t="shared" si="9"/>
        <v/>
      </c>
      <c r="AA74" s="138"/>
      <c r="AB74" s="148" t="str">
        <f t="shared" ca="1" si="5"/>
        <v/>
      </c>
      <c r="AC74" s="226"/>
      <c r="AD74" s="210"/>
      <c r="AE74" s="350"/>
      <c r="AF74" s="353"/>
      <c r="AG74" s="350"/>
      <c r="AH74" s="221"/>
    </row>
    <row r="75" spans="1:34" ht="67.5" customHeight="1" x14ac:dyDescent="0.25">
      <c r="A75" s="153" t="s">
        <v>916</v>
      </c>
      <c r="B75" s="142"/>
      <c r="C75" s="135"/>
      <c r="D75" s="136"/>
      <c r="E75" s="216"/>
      <c r="F75" s="463"/>
      <c r="G75" s="145"/>
      <c r="H75" s="146"/>
      <c r="I75" s="224"/>
      <c r="J75" s="150"/>
      <c r="K75" s="134"/>
      <c r="L75" s="137"/>
      <c r="M75" s="138"/>
      <c r="N75" s="138"/>
      <c r="O75" s="149" t="str">
        <f t="shared" si="10"/>
        <v/>
      </c>
      <c r="P75" s="470" t="str">
        <f>IFERROR(IF(L75="avec arrêt",IF(MONTH(N75)='Liste AT'!$X$2,0,N75-EOMONTH('Stats AT BDD'!$X$2,0)),""),"")</f>
        <v/>
      </c>
      <c r="Q75" s="139"/>
      <c r="R75" s="140"/>
      <c r="S75" s="140"/>
      <c r="T75" s="141"/>
      <c r="U75" s="143"/>
      <c r="V75" s="137"/>
      <c r="W75" s="137"/>
      <c r="X75" s="141"/>
      <c r="Y75" s="147"/>
      <c r="Z75" s="144" t="str">
        <f t="shared" si="9"/>
        <v/>
      </c>
      <c r="AA75" s="138"/>
      <c r="AB75" s="148" t="str">
        <f t="shared" ca="1" si="5"/>
        <v/>
      </c>
      <c r="AC75" s="226"/>
      <c r="AD75" s="210"/>
      <c r="AE75" s="350"/>
      <c r="AF75" s="353"/>
      <c r="AG75" s="350"/>
      <c r="AH75" s="221"/>
    </row>
    <row r="76" spans="1:34" ht="67.5" customHeight="1" x14ac:dyDescent="0.25">
      <c r="A76" s="153" t="s">
        <v>917</v>
      </c>
      <c r="B76" s="142"/>
      <c r="C76" s="135"/>
      <c r="D76" s="136"/>
      <c r="E76" s="216"/>
      <c r="F76" s="463"/>
      <c r="G76" s="145"/>
      <c r="H76" s="146"/>
      <c r="I76" s="224"/>
      <c r="J76" s="150"/>
      <c r="K76" s="134"/>
      <c r="L76" s="137"/>
      <c r="M76" s="138"/>
      <c r="N76" s="138"/>
      <c r="O76" s="149" t="str">
        <f t="shared" si="10"/>
        <v/>
      </c>
      <c r="P76" s="470" t="str">
        <f>IFERROR(IF(L76="avec arrêt",IF(MONTH(N76)='Liste AT'!$X$2,0,N76-EOMONTH('Stats AT BDD'!$X$2,0)),""),"")</f>
        <v/>
      </c>
      <c r="Q76" s="139"/>
      <c r="R76" s="140"/>
      <c r="S76" s="140"/>
      <c r="T76" s="141"/>
      <c r="U76" s="143"/>
      <c r="V76" s="137"/>
      <c r="W76" s="137"/>
      <c r="X76" s="141"/>
      <c r="Y76" s="147"/>
      <c r="Z76" s="144" t="str">
        <f t="shared" si="9"/>
        <v/>
      </c>
      <c r="AA76" s="138"/>
      <c r="AB76" s="148" t="str">
        <f t="shared" ca="1" si="5"/>
        <v/>
      </c>
      <c r="AC76" s="226"/>
      <c r="AD76" s="210"/>
      <c r="AE76" s="350"/>
      <c r="AF76" s="353"/>
      <c r="AG76" s="350"/>
      <c r="AH76" s="215"/>
    </row>
    <row r="77" spans="1:34" ht="67.5" customHeight="1" x14ac:dyDescent="0.25">
      <c r="A77" s="153" t="s">
        <v>918</v>
      </c>
      <c r="B77" s="142"/>
      <c r="C77" s="135"/>
      <c r="D77" s="136"/>
      <c r="E77" s="216"/>
      <c r="F77" s="463"/>
      <c r="G77" s="145"/>
      <c r="H77" s="146"/>
      <c r="I77" s="224"/>
      <c r="J77" s="150"/>
      <c r="K77" s="134"/>
      <c r="L77" s="137"/>
      <c r="M77" s="138"/>
      <c r="N77" s="138"/>
      <c r="O77" s="149" t="str">
        <f t="shared" si="10"/>
        <v/>
      </c>
      <c r="P77" s="470" t="str">
        <f>IFERROR(IF(L77="avec arrêt",IF(MONTH(N77)='Liste AT'!$X$2,0,N77-EOMONTH('Stats AT BDD'!$X$2,0)),""),"")</f>
        <v/>
      </c>
      <c r="Q77" s="139"/>
      <c r="R77" s="140"/>
      <c r="S77" s="140"/>
      <c r="T77" s="141"/>
      <c r="U77" s="143"/>
      <c r="V77" s="137"/>
      <c r="W77" s="137"/>
      <c r="X77" s="141"/>
      <c r="Y77" s="147"/>
      <c r="Z77" s="144" t="str">
        <f t="shared" si="9"/>
        <v/>
      </c>
      <c r="AA77" s="138"/>
      <c r="AB77" s="148" t="str">
        <f t="shared" ca="1" si="5"/>
        <v/>
      </c>
      <c r="AC77" s="226"/>
      <c r="AD77" s="210"/>
      <c r="AE77" s="350"/>
      <c r="AF77" s="353"/>
      <c r="AG77" s="350"/>
      <c r="AH77" s="215"/>
    </row>
    <row r="78" spans="1:34" ht="67.5" customHeight="1" x14ac:dyDescent="0.25">
      <c r="A78" s="153" t="s">
        <v>919</v>
      </c>
      <c r="B78" s="142"/>
      <c r="C78" s="135"/>
      <c r="D78" s="136"/>
      <c r="E78" s="216"/>
      <c r="F78" s="463"/>
      <c r="G78" s="145"/>
      <c r="H78" s="146"/>
      <c r="I78" s="224"/>
      <c r="J78" s="150"/>
      <c r="K78" s="134"/>
      <c r="L78" s="137"/>
      <c r="M78" s="138"/>
      <c r="N78" s="138"/>
      <c r="O78" s="149" t="str">
        <f t="shared" si="10"/>
        <v/>
      </c>
      <c r="P78" s="470" t="str">
        <f>IFERROR(IF(L78="avec arrêt",IF(MONTH(N78)='Liste AT'!$X$2,0,N78-EOMONTH('Stats AT BDD'!$X$2,0)),""),"")</f>
        <v/>
      </c>
      <c r="Q78" s="139"/>
      <c r="R78" s="140"/>
      <c r="S78" s="140"/>
      <c r="T78" s="141"/>
      <c r="U78" s="143"/>
      <c r="V78" s="137"/>
      <c r="W78" s="137"/>
      <c r="X78" s="141"/>
      <c r="Y78" s="147"/>
      <c r="Z78" s="144" t="str">
        <f t="shared" si="9"/>
        <v/>
      </c>
      <c r="AA78" s="138"/>
      <c r="AB78" s="148" t="str">
        <f t="shared" ca="1" si="5"/>
        <v/>
      </c>
      <c r="AC78" s="226"/>
      <c r="AD78" s="210"/>
      <c r="AE78" s="350"/>
      <c r="AF78" s="353"/>
      <c r="AG78" s="350"/>
      <c r="AH78" s="215"/>
    </row>
    <row r="79" spans="1:34" ht="67.5" customHeight="1" x14ac:dyDescent="0.25">
      <c r="A79" s="153" t="s">
        <v>920</v>
      </c>
      <c r="B79" s="142"/>
      <c r="C79" s="135"/>
      <c r="D79" s="136"/>
      <c r="E79" s="216"/>
      <c r="F79" s="463"/>
      <c r="G79" s="145"/>
      <c r="H79" s="146"/>
      <c r="I79" s="224"/>
      <c r="J79" s="150"/>
      <c r="K79" s="134"/>
      <c r="L79" s="137"/>
      <c r="M79" s="138"/>
      <c r="N79" s="138"/>
      <c r="O79" s="149" t="str">
        <f t="shared" si="10"/>
        <v/>
      </c>
      <c r="P79" s="470" t="str">
        <f>IFERROR(IF(L79="avec arrêt",IF(MONTH(N79)='Liste AT'!$X$2,0,N79-EOMONTH('Stats AT BDD'!$X$2,0)),""),"")</f>
        <v/>
      </c>
      <c r="Q79" s="139"/>
      <c r="R79" s="140"/>
      <c r="S79" s="140"/>
      <c r="T79" s="141"/>
      <c r="U79" s="143"/>
      <c r="V79" s="137"/>
      <c r="W79" s="137"/>
      <c r="X79" s="141"/>
      <c r="Y79" s="147"/>
      <c r="Z79" s="144" t="str">
        <f t="shared" si="9"/>
        <v/>
      </c>
      <c r="AA79" s="138"/>
      <c r="AB79" s="148" t="str">
        <f t="shared" ca="1" si="5"/>
        <v/>
      </c>
      <c r="AC79" s="226"/>
      <c r="AD79" s="210"/>
      <c r="AE79" s="350"/>
      <c r="AF79" s="353"/>
      <c r="AG79" s="350"/>
      <c r="AH79" s="215"/>
    </row>
    <row r="80" spans="1:34" ht="67.5" customHeight="1" x14ac:dyDescent="0.25">
      <c r="A80" s="153" t="s">
        <v>921</v>
      </c>
      <c r="B80" s="142"/>
      <c r="C80" s="135"/>
      <c r="D80" s="136"/>
      <c r="E80" s="216"/>
      <c r="F80" s="463"/>
      <c r="G80" s="145"/>
      <c r="H80" s="146"/>
      <c r="I80" s="224"/>
      <c r="J80" s="150"/>
      <c r="K80" s="134"/>
      <c r="L80" s="137"/>
      <c r="M80" s="138"/>
      <c r="N80" s="138"/>
      <c r="O80" s="149" t="str">
        <f t="shared" si="10"/>
        <v/>
      </c>
      <c r="P80" s="470" t="str">
        <f>IFERROR(IF(L80="avec arrêt",IF(MONTH(N80)='Liste AT'!$X$2,0,N80-EOMONTH('Stats AT BDD'!$X$2,0)),""),"")</f>
        <v/>
      </c>
      <c r="Q80" s="139"/>
      <c r="R80" s="140"/>
      <c r="S80" s="140"/>
      <c r="T80" s="141"/>
      <c r="U80" s="143"/>
      <c r="V80" s="137"/>
      <c r="W80" s="137"/>
      <c r="X80" s="141"/>
      <c r="Y80" s="147"/>
      <c r="Z80" s="144" t="str">
        <f t="shared" si="9"/>
        <v/>
      </c>
      <c r="AA80" s="138"/>
      <c r="AB80" s="148" t="str">
        <f t="shared" ca="1" si="5"/>
        <v/>
      </c>
      <c r="AC80" s="226"/>
      <c r="AD80" s="210"/>
      <c r="AE80" s="350"/>
      <c r="AF80" s="353"/>
      <c r="AG80" s="350"/>
      <c r="AH80" s="215"/>
    </row>
    <row r="81" spans="1:34" ht="67.5" customHeight="1" x14ac:dyDescent="0.25">
      <c r="A81" s="153" t="s">
        <v>922</v>
      </c>
      <c r="B81" s="142"/>
      <c r="C81" s="135"/>
      <c r="D81" s="136"/>
      <c r="E81" s="216"/>
      <c r="F81" s="463"/>
      <c r="G81" s="145"/>
      <c r="H81" s="146"/>
      <c r="I81" s="224"/>
      <c r="J81" s="150"/>
      <c r="K81" s="134"/>
      <c r="L81" s="137"/>
      <c r="M81" s="138"/>
      <c r="N81" s="138"/>
      <c r="O81" s="149" t="str">
        <f t="shared" si="10"/>
        <v/>
      </c>
      <c r="P81" s="470" t="str">
        <f>IFERROR(IF(L81="avec arrêt",IF(MONTH(N81)='Liste AT'!$X$2,0,N81-EOMONTH('Stats AT BDD'!$X$2,0)),""),"")</f>
        <v/>
      </c>
      <c r="Q81" s="139"/>
      <c r="R81" s="140"/>
      <c r="S81" s="140"/>
      <c r="T81" s="141"/>
      <c r="U81" s="143"/>
      <c r="V81" s="137"/>
      <c r="W81" s="137"/>
      <c r="X81" s="141"/>
      <c r="Y81" s="147"/>
      <c r="Z81" s="144" t="str">
        <f t="shared" si="9"/>
        <v/>
      </c>
      <c r="AA81" s="138"/>
      <c r="AB81" s="148" t="str">
        <f t="shared" ca="1" si="5"/>
        <v/>
      </c>
      <c r="AC81" s="226"/>
      <c r="AD81" s="210"/>
      <c r="AE81" s="350"/>
      <c r="AF81" s="353"/>
      <c r="AG81" s="350"/>
      <c r="AH81" s="215"/>
    </row>
    <row r="82" spans="1:34" ht="67.5" customHeight="1" x14ac:dyDescent="0.25">
      <c r="A82" s="153" t="s">
        <v>923</v>
      </c>
      <c r="B82" s="142"/>
      <c r="C82" s="135"/>
      <c r="D82" s="136"/>
      <c r="E82" s="216"/>
      <c r="F82" s="463"/>
      <c r="G82" s="145"/>
      <c r="H82" s="146"/>
      <c r="I82" s="224"/>
      <c r="J82" s="150"/>
      <c r="K82" s="134"/>
      <c r="L82" s="137"/>
      <c r="M82" s="138"/>
      <c r="N82" s="138"/>
      <c r="O82" s="149" t="str">
        <f t="shared" si="10"/>
        <v/>
      </c>
      <c r="P82" s="470" t="str">
        <f>IFERROR(IF(L82="avec arrêt",IF(MONTH(N82)='Liste AT'!$X$2,0,N82-EOMONTH('Stats AT BDD'!$X$2,0)),""),"")</f>
        <v/>
      </c>
      <c r="Q82" s="139"/>
      <c r="R82" s="140"/>
      <c r="S82" s="140"/>
      <c r="T82" s="141"/>
      <c r="U82" s="143"/>
      <c r="V82" s="137"/>
      <c r="W82" s="137"/>
      <c r="X82" s="141"/>
      <c r="Y82" s="147"/>
      <c r="Z82" s="144" t="str">
        <f t="shared" si="9"/>
        <v/>
      </c>
      <c r="AA82" s="138"/>
      <c r="AB82" s="148" t="str">
        <f t="shared" ca="1" si="5"/>
        <v/>
      </c>
      <c r="AC82" s="226"/>
      <c r="AD82" s="210"/>
      <c r="AE82" s="350"/>
      <c r="AF82" s="353"/>
      <c r="AG82" s="350"/>
      <c r="AH82" s="215"/>
    </row>
    <row r="83" spans="1:34" ht="67.5" customHeight="1" x14ac:dyDescent="0.25">
      <c r="A83" s="153" t="s">
        <v>924</v>
      </c>
      <c r="B83" s="142"/>
      <c r="C83" s="135"/>
      <c r="D83" s="136"/>
      <c r="E83" s="216"/>
      <c r="F83" s="463"/>
      <c r="G83" s="145"/>
      <c r="H83" s="146"/>
      <c r="I83" s="224"/>
      <c r="J83" s="150"/>
      <c r="K83" s="134"/>
      <c r="L83" s="137"/>
      <c r="M83" s="138"/>
      <c r="N83" s="138"/>
      <c r="O83" s="149" t="str">
        <f t="shared" si="10"/>
        <v/>
      </c>
      <c r="P83" s="470" t="str">
        <f>IFERROR(IF(L83="avec arrêt",IF(MONTH(N83)='Liste AT'!$X$2,0,N83-EOMONTH('Stats AT BDD'!$X$2,0)),""),"")</f>
        <v/>
      </c>
      <c r="Q83" s="139"/>
      <c r="R83" s="140"/>
      <c r="S83" s="140"/>
      <c r="T83" s="141"/>
      <c r="U83" s="143"/>
      <c r="V83" s="137"/>
      <c r="W83" s="137"/>
      <c r="X83" s="141"/>
      <c r="Y83" s="147"/>
      <c r="Z83" s="144" t="str">
        <f t="shared" si="9"/>
        <v/>
      </c>
      <c r="AA83" s="138"/>
      <c r="AB83" s="148" t="str">
        <f t="shared" ref="AB83:AB146" ca="1" si="11">IF(ISBLANK(AA83),IF(Z83&lt;TODAY(),"non",""),IF(AA83&gt;Z83,"non","oui"))</f>
        <v/>
      </c>
      <c r="AC83" s="226"/>
      <c r="AD83" s="210"/>
      <c r="AE83" s="350"/>
      <c r="AF83" s="353"/>
      <c r="AG83" s="350"/>
      <c r="AH83" s="215"/>
    </row>
    <row r="84" spans="1:34" ht="67.5" customHeight="1" x14ac:dyDescent="0.25">
      <c r="A84" s="153" t="s">
        <v>925</v>
      </c>
      <c r="B84" s="142"/>
      <c r="C84" s="135"/>
      <c r="D84" s="136"/>
      <c r="E84" s="216"/>
      <c r="F84" s="463"/>
      <c r="G84" s="145"/>
      <c r="H84" s="146"/>
      <c r="I84" s="224"/>
      <c r="J84" s="150"/>
      <c r="K84" s="134"/>
      <c r="L84" s="137"/>
      <c r="M84" s="138"/>
      <c r="N84" s="138"/>
      <c r="O84" s="149" t="str">
        <f t="shared" si="10"/>
        <v/>
      </c>
      <c r="P84" s="470" t="str">
        <f>IFERROR(IF(L84="avec arrêt",IF(MONTH(N84)='Liste AT'!$X$2,0,N84-EOMONTH('Stats AT BDD'!$X$2,0)),""),"")</f>
        <v/>
      </c>
      <c r="Q84" s="139"/>
      <c r="R84" s="140"/>
      <c r="S84" s="140"/>
      <c r="T84" s="141"/>
      <c r="U84" s="143"/>
      <c r="V84" s="137"/>
      <c r="W84" s="137"/>
      <c r="X84" s="141"/>
      <c r="Y84" s="147"/>
      <c r="Z84" s="144" t="str">
        <f t="shared" si="9"/>
        <v/>
      </c>
      <c r="AA84" s="138"/>
      <c r="AB84" s="148" t="str">
        <f t="shared" ca="1" si="11"/>
        <v/>
      </c>
      <c r="AC84" s="226"/>
      <c r="AD84" s="210"/>
      <c r="AE84" s="350"/>
      <c r="AF84" s="353"/>
      <c r="AG84" s="350"/>
      <c r="AH84" s="215"/>
    </row>
    <row r="85" spans="1:34" ht="67.5" customHeight="1" x14ac:dyDescent="0.25">
      <c r="A85" s="153" t="s">
        <v>926</v>
      </c>
      <c r="B85" s="142"/>
      <c r="C85" s="135"/>
      <c r="D85" s="136"/>
      <c r="E85" s="216"/>
      <c r="F85" s="463"/>
      <c r="G85" s="145"/>
      <c r="H85" s="146"/>
      <c r="I85" s="224"/>
      <c r="J85" s="150"/>
      <c r="K85" s="134"/>
      <c r="L85" s="137"/>
      <c r="M85" s="138"/>
      <c r="N85" s="138"/>
      <c r="O85" s="149" t="str">
        <f t="shared" si="10"/>
        <v/>
      </c>
      <c r="P85" s="470" t="str">
        <f>IFERROR(IF(L85="avec arrêt",IF(MONTH(N85)='Liste AT'!$X$2,0,N85-EOMONTH('Stats AT BDD'!$X$2,0)),""),"")</f>
        <v/>
      </c>
      <c r="Q85" s="139"/>
      <c r="R85" s="140"/>
      <c r="S85" s="140"/>
      <c r="T85" s="141"/>
      <c r="U85" s="143"/>
      <c r="V85" s="137"/>
      <c r="W85" s="137"/>
      <c r="X85" s="141"/>
      <c r="Y85" s="147"/>
      <c r="Z85" s="144" t="str">
        <f t="shared" si="9"/>
        <v/>
      </c>
      <c r="AA85" s="138"/>
      <c r="AB85" s="148" t="str">
        <f t="shared" ca="1" si="11"/>
        <v/>
      </c>
      <c r="AC85" s="226"/>
      <c r="AD85" s="210"/>
      <c r="AE85" s="350"/>
      <c r="AF85" s="353"/>
      <c r="AG85" s="350"/>
      <c r="AH85" s="215"/>
    </row>
    <row r="86" spans="1:34" ht="67.5" customHeight="1" x14ac:dyDescent="0.25">
      <c r="A86" s="153" t="s">
        <v>927</v>
      </c>
      <c r="B86" s="142"/>
      <c r="C86" s="135"/>
      <c r="D86" s="136"/>
      <c r="E86" s="216"/>
      <c r="F86" s="463"/>
      <c r="G86" s="145"/>
      <c r="H86" s="146"/>
      <c r="I86" s="224"/>
      <c r="J86" s="150"/>
      <c r="K86" s="134"/>
      <c r="L86" s="137"/>
      <c r="M86" s="138"/>
      <c r="N86" s="138"/>
      <c r="O86" s="149" t="str">
        <f t="shared" si="10"/>
        <v/>
      </c>
      <c r="P86" s="470" t="str">
        <f>IFERROR(IF(L86="avec arrêt",IF(MONTH(N86)='Liste AT'!$X$2,0,N86-EOMONTH('Stats AT BDD'!$X$2,0)),""),"")</f>
        <v/>
      </c>
      <c r="Q86" s="139"/>
      <c r="R86" s="140"/>
      <c r="S86" s="140"/>
      <c r="T86" s="141"/>
      <c r="U86" s="143"/>
      <c r="V86" s="137"/>
      <c r="W86" s="137"/>
      <c r="X86" s="141"/>
      <c r="Y86" s="147"/>
      <c r="Z86" s="144" t="str">
        <f t="shared" si="9"/>
        <v/>
      </c>
      <c r="AA86" s="138"/>
      <c r="AB86" s="148" t="str">
        <f t="shared" ca="1" si="11"/>
        <v/>
      </c>
      <c r="AC86" s="226"/>
      <c r="AD86" s="210"/>
      <c r="AE86" s="350"/>
      <c r="AF86" s="353"/>
      <c r="AG86" s="350"/>
      <c r="AH86" s="215"/>
    </row>
    <row r="87" spans="1:34" ht="67.5" customHeight="1" x14ac:dyDescent="0.25">
      <c r="A87" s="153" t="s">
        <v>928</v>
      </c>
      <c r="B87" s="142"/>
      <c r="C87" s="135"/>
      <c r="D87" s="136"/>
      <c r="E87" s="216"/>
      <c r="F87" s="463"/>
      <c r="G87" s="145"/>
      <c r="H87" s="146"/>
      <c r="I87" s="224"/>
      <c r="J87" s="150"/>
      <c r="K87" s="134"/>
      <c r="L87" s="137"/>
      <c r="M87" s="138"/>
      <c r="N87" s="138"/>
      <c r="O87" s="149" t="str">
        <f t="shared" si="10"/>
        <v/>
      </c>
      <c r="P87" s="470" t="str">
        <f>IFERROR(IF(L87="avec arrêt",IF(MONTH(N87)='Liste AT'!$X$2,0,N87-EOMONTH('Stats AT BDD'!$X$2,0)),""),"")</f>
        <v/>
      </c>
      <c r="Q87" s="139"/>
      <c r="R87" s="140"/>
      <c r="S87" s="140"/>
      <c r="T87" s="141"/>
      <c r="U87" s="143"/>
      <c r="V87" s="137"/>
      <c r="W87" s="137"/>
      <c r="X87" s="141"/>
      <c r="Y87" s="147"/>
      <c r="Z87" s="144" t="str">
        <f t="shared" si="9"/>
        <v/>
      </c>
      <c r="AA87" s="138"/>
      <c r="AB87" s="148" t="str">
        <f t="shared" ca="1" si="11"/>
        <v/>
      </c>
      <c r="AC87" s="226"/>
      <c r="AD87" s="210"/>
      <c r="AE87" s="350"/>
      <c r="AF87" s="353"/>
      <c r="AG87" s="350"/>
      <c r="AH87" s="215"/>
    </row>
    <row r="88" spans="1:34" ht="67.5" customHeight="1" x14ac:dyDescent="0.25">
      <c r="A88" s="153" t="s">
        <v>929</v>
      </c>
      <c r="B88" s="142"/>
      <c r="C88" s="135"/>
      <c r="D88" s="136"/>
      <c r="E88" s="216"/>
      <c r="F88" s="463"/>
      <c r="G88" s="145"/>
      <c r="H88" s="146"/>
      <c r="I88" s="151"/>
      <c r="J88" s="150"/>
      <c r="K88" s="134"/>
      <c r="L88" s="137"/>
      <c r="M88" s="138"/>
      <c r="N88" s="138"/>
      <c r="O88" s="149" t="str">
        <f t="shared" si="10"/>
        <v/>
      </c>
      <c r="P88" s="470" t="str">
        <f>IFERROR(IF(L88="avec arrêt",IF(MONTH(N88)='Liste AT'!$X$2,0,N88-EOMONTH('Stats AT BDD'!$X$2,0)),""),"")</f>
        <v/>
      </c>
      <c r="Q88" s="139"/>
      <c r="R88" s="140"/>
      <c r="S88" s="140"/>
      <c r="T88" s="141"/>
      <c r="U88" s="143"/>
      <c r="V88" s="137"/>
      <c r="W88" s="137"/>
      <c r="X88" s="214"/>
      <c r="Y88" s="147"/>
      <c r="Z88" s="144" t="str">
        <f t="shared" si="9"/>
        <v/>
      </c>
      <c r="AA88" s="138"/>
      <c r="AB88" s="148" t="str">
        <f t="shared" ca="1" si="11"/>
        <v/>
      </c>
      <c r="AC88" s="226"/>
      <c r="AD88" s="210"/>
      <c r="AE88" s="350"/>
      <c r="AF88" s="353"/>
      <c r="AG88" s="350"/>
      <c r="AH88" s="215"/>
    </row>
    <row r="89" spans="1:34" ht="67.5" customHeight="1" x14ac:dyDescent="0.25">
      <c r="A89" s="153" t="s">
        <v>930</v>
      </c>
      <c r="B89" s="142"/>
      <c r="C89" s="135"/>
      <c r="D89" s="136"/>
      <c r="E89" s="216"/>
      <c r="F89" s="463"/>
      <c r="G89" s="145"/>
      <c r="H89" s="146"/>
      <c r="I89" s="151"/>
      <c r="J89" s="150"/>
      <c r="K89" s="134"/>
      <c r="L89" s="137"/>
      <c r="M89" s="138"/>
      <c r="N89" s="138"/>
      <c r="O89" s="149" t="str">
        <f t="shared" si="10"/>
        <v/>
      </c>
      <c r="P89" s="470" t="str">
        <f>IFERROR(IF(L89="avec arrêt",IF(MONTH(N89)='Liste AT'!$X$2,0,N89-EOMONTH('Stats AT BDD'!$X$2,0)),""),"")</f>
        <v/>
      </c>
      <c r="Q89" s="139"/>
      <c r="R89" s="140"/>
      <c r="S89" s="140"/>
      <c r="T89" s="141"/>
      <c r="U89" s="143"/>
      <c r="V89" s="137"/>
      <c r="W89" s="137"/>
      <c r="X89" s="141"/>
      <c r="Y89" s="147"/>
      <c r="Z89" s="144" t="str">
        <f t="shared" si="9"/>
        <v/>
      </c>
      <c r="AA89" s="138"/>
      <c r="AB89" s="148" t="str">
        <f t="shared" ca="1" si="11"/>
        <v/>
      </c>
      <c r="AC89" s="226"/>
      <c r="AD89" s="210"/>
      <c r="AE89" s="350"/>
      <c r="AF89" s="353"/>
      <c r="AG89" s="350"/>
      <c r="AH89" s="215"/>
    </row>
    <row r="90" spans="1:34" ht="67.5" customHeight="1" x14ac:dyDescent="0.25">
      <c r="A90" s="153" t="s">
        <v>931</v>
      </c>
      <c r="B90" s="142"/>
      <c r="C90" s="135"/>
      <c r="D90" s="136"/>
      <c r="E90" s="216"/>
      <c r="F90" s="463"/>
      <c r="G90" s="145"/>
      <c r="H90" s="146"/>
      <c r="I90" s="151"/>
      <c r="J90" s="150"/>
      <c r="K90" s="134"/>
      <c r="L90" s="137"/>
      <c r="M90" s="138"/>
      <c r="N90" s="138"/>
      <c r="O90" s="149" t="str">
        <f t="shared" si="10"/>
        <v/>
      </c>
      <c r="P90" s="470" t="str">
        <f>IFERROR(IF(L90="avec arrêt",IF(MONTH(N90)='Liste AT'!$X$2,0,N90-EOMONTH('Stats AT BDD'!$X$2,0)),""),"")</f>
        <v/>
      </c>
      <c r="Q90" s="139"/>
      <c r="R90" s="140"/>
      <c r="S90" s="140"/>
      <c r="T90" s="141"/>
      <c r="U90" s="143"/>
      <c r="V90" s="137"/>
      <c r="W90" s="137"/>
      <c r="X90" s="141"/>
      <c r="Y90" s="147"/>
      <c r="Z90" s="144" t="str">
        <f t="shared" si="9"/>
        <v/>
      </c>
      <c r="AA90" s="138"/>
      <c r="AB90" s="148" t="str">
        <f t="shared" ca="1" si="11"/>
        <v/>
      </c>
      <c r="AC90" s="226"/>
      <c r="AD90" s="210"/>
      <c r="AE90" s="350"/>
      <c r="AF90" s="353"/>
      <c r="AG90" s="350"/>
      <c r="AH90" s="215"/>
    </row>
    <row r="91" spans="1:34" ht="67.5" customHeight="1" x14ac:dyDescent="0.25">
      <c r="A91" s="153" t="s">
        <v>932</v>
      </c>
      <c r="B91" s="142"/>
      <c r="C91" s="135"/>
      <c r="D91" s="136"/>
      <c r="E91" s="216"/>
      <c r="F91" s="463"/>
      <c r="G91" s="145"/>
      <c r="H91" s="146"/>
      <c r="I91" s="151"/>
      <c r="J91" s="150"/>
      <c r="K91" s="134"/>
      <c r="L91" s="137"/>
      <c r="M91" s="138"/>
      <c r="N91" s="138"/>
      <c r="O91" s="149" t="str">
        <f t="shared" si="10"/>
        <v/>
      </c>
      <c r="P91" s="470" t="str">
        <f>IFERROR(IF(L91="avec arrêt",IF(MONTH(N91)='Liste AT'!$X$2,0,N91-EOMONTH('Stats AT BDD'!$X$2,0)),""),"")</f>
        <v/>
      </c>
      <c r="Q91" s="139"/>
      <c r="R91" s="140"/>
      <c r="S91" s="140"/>
      <c r="T91" s="141"/>
      <c r="U91" s="143"/>
      <c r="V91" s="137"/>
      <c r="W91" s="137"/>
      <c r="X91" s="141"/>
      <c r="Y91" s="147"/>
      <c r="Z91" s="144" t="str">
        <f t="shared" si="9"/>
        <v/>
      </c>
      <c r="AA91" s="138"/>
      <c r="AB91" s="148" t="str">
        <f t="shared" ca="1" si="11"/>
        <v/>
      </c>
      <c r="AC91" s="226"/>
      <c r="AD91" s="210"/>
      <c r="AE91" s="350"/>
      <c r="AF91" s="353"/>
      <c r="AG91" s="350"/>
      <c r="AH91" s="215"/>
    </row>
    <row r="92" spans="1:34" ht="67.5" customHeight="1" x14ac:dyDescent="0.25">
      <c r="A92" s="153" t="s">
        <v>933</v>
      </c>
      <c r="B92" s="142"/>
      <c r="C92" s="135"/>
      <c r="D92" s="136"/>
      <c r="E92" s="216"/>
      <c r="F92" s="463"/>
      <c r="G92" s="145"/>
      <c r="H92" s="146"/>
      <c r="I92" s="151"/>
      <c r="J92" s="150"/>
      <c r="K92" s="134"/>
      <c r="L92" s="137"/>
      <c r="M92" s="138"/>
      <c r="N92" s="138"/>
      <c r="O92" s="149" t="str">
        <f t="shared" si="10"/>
        <v/>
      </c>
      <c r="P92" s="470" t="str">
        <f>IFERROR(IF(L92="avec arrêt",IF(MONTH(N92)='Liste AT'!$X$2,0,N92-EOMONTH('Stats AT BDD'!$X$2,0)),""),"")</f>
        <v/>
      </c>
      <c r="Q92" s="139"/>
      <c r="R92" s="140"/>
      <c r="S92" s="140"/>
      <c r="T92" s="141"/>
      <c r="U92" s="143"/>
      <c r="V92" s="137"/>
      <c r="W92" s="137"/>
      <c r="X92" s="141"/>
      <c r="Y92" s="147"/>
      <c r="Z92" s="144" t="str">
        <f t="shared" si="9"/>
        <v/>
      </c>
      <c r="AA92" s="138"/>
      <c r="AB92" s="148" t="str">
        <f t="shared" ca="1" si="11"/>
        <v/>
      </c>
      <c r="AC92" s="226"/>
      <c r="AD92" s="210"/>
      <c r="AE92" s="350"/>
      <c r="AF92" s="353"/>
      <c r="AG92" s="350"/>
      <c r="AH92" s="215"/>
    </row>
    <row r="93" spans="1:34" ht="67.5" customHeight="1" x14ac:dyDescent="0.25">
      <c r="A93" s="153" t="s">
        <v>934</v>
      </c>
      <c r="B93" s="142"/>
      <c r="C93" s="135"/>
      <c r="D93" s="136"/>
      <c r="E93" s="216"/>
      <c r="F93" s="463"/>
      <c r="G93" s="145"/>
      <c r="H93" s="146"/>
      <c r="I93" s="151"/>
      <c r="J93" s="150"/>
      <c r="K93" s="134"/>
      <c r="L93" s="137"/>
      <c r="M93" s="138"/>
      <c r="N93" s="138"/>
      <c r="O93" s="149" t="str">
        <f t="shared" si="10"/>
        <v/>
      </c>
      <c r="P93" s="470" t="str">
        <f>IFERROR(IF(L93="avec arrêt",IF(MONTH(N93)='Liste AT'!$X$2,0,N93-EOMONTH('Stats AT BDD'!$X$2,0)),""),"")</f>
        <v/>
      </c>
      <c r="Q93" s="139"/>
      <c r="R93" s="140"/>
      <c r="S93" s="140"/>
      <c r="T93" s="141"/>
      <c r="U93" s="143"/>
      <c r="V93" s="137"/>
      <c r="W93" s="137"/>
      <c r="X93" s="141"/>
      <c r="Y93" s="147"/>
      <c r="Z93" s="144" t="str">
        <f t="shared" si="9"/>
        <v/>
      </c>
      <c r="AA93" s="138"/>
      <c r="AB93" s="148" t="str">
        <f t="shared" ca="1" si="11"/>
        <v/>
      </c>
      <c r="AC93" s="226"/>
      <c r="AD93" s="210"/>
      <c r="AE93" s="350"/>
      <c r="AF93" s="353"/>
      <c r="AG93" s="350"/>
      <c r="AH93" s="215"/>
    </row>
    <row r="94" spans="1:34" ht="67.5" customHeight="1" x14ac:dyDescent="0.25">
      <c r="A94" s="153" t="s">
        <v>935</v>
      </c>
      <c r="B94" s="142"/>
      <c r="C94" s="135"/>
      <c r="D94" s="136"/>
      <c r="E94" s="216"/>
      <c r="F94" s="463"/>
      <c r="G94" s="145"/>
      <c r="H94" s="146"/>
      <c r="I94" s="151"/>
      <c r="J94" s="150"/>
      <c r="K94" s="134"/>
      <c r="L94" s="137"/>
      <c r="M94" s="138"/>
      <c r="N94" s="138"/>
      <c r="O94" s="149" t="str">
        <f t="shared" si="10"/>
        <v/>
      </c>
      <c r="P94" s="470" t="str">
        <f>IFERROR(IF(L94="avec arrêt",IF(MONTH(N94)='Liste AT'!$X$2,0,N94-EOMONTH('Stats AT BDD'!$X$2,0)),""),"")</f>
        <v/>
      </c>
      <c r="Q94" s="139"/>
      <c r="R94" s="140"/>
      <c r="S94" s="140"/>
      <c r="T94" s="141"/>
      <c r="U94" s="143"/>
      <c r="V94" s="137"/>
      <c r="W94" s="137"/>
      <c r="X94" s="141"/>
      <c r="Y94" s="147"/>
      <c r="Z94" s="144" t="str">
        <f t="shared" si="9"/>
        <v/>
      </c>
      <c r="AA94" s="138"/>
      <c r="AB94" s="148" t="str">
        <f t="shared" ca="1" si="11"/>
        <v/>
      </c>
      <c r="AC94" s="226"/>
      <c r="AD94" s="210"/>
      <c r="AE94" s="350"/>
      <c r="AF94" s="353"/>
      <c r="AG94" s="350"/>
      <c r="AH94" s="215"/>
    </row>
    <row r="95" spans="1:34" ht="67.5" customHeight="1" x14ac:dyDescent="0.25">
      <c r="A95" s="153" t="s">
        <v>936</v>
      </c>
      <c r="B95" s="142"/>
      <c r="C95" s="135"/>
      <c r="D95" s="136"/>
      <c r="E95" s="216"/>
      <c r="F95" s="463"/>
      <c r="G95" s="145"/>
      <c r="H95" s="146"/>
      <c r="I95" s="151"/>
      <c r="J95" s="150"/>
      <c r="K95" s="134"/>
      <c r="L95" s="137"/>
      <c r="M95" s="138"/>
      <c r="N95" s="138"/>
      <c r="O95" s="149" t="str">
        <f t="shared" si="10"/>
        <v/>
      </c>
      <c r="P95" s="470" t="str">
        <f>IFERROR(IF(L95="avec arrêt",IF(MONTH(N95)='Liste AT'!$X$2,0,N95-EOMONTH('Stats AT BDD'!$X$2,0)),""),"")</f>
        <v/>
      </c>
      <c r="Q95" s="139"/>
      <c r="R95" s="140"/>
      <c r="S95" s="140"/>
      <c r="T95" s="141"/>
      <c r="U95" s="143"/>
      <c r="V95" s="137"/>
      <c r="W95" s="137"/>
      <c r="X95" s="141"/>
      <c r="Y95" s="147"/>
      <c r="Z95" s="144" t="str">
        <f t="shared" si="9"/>
        <v/>
      </c>
      <c r="AA95" s="138"/>
      <c r="AB95" s="148" t="str">
        <f t="shared" ca="1" si="11"/>
        <v/>
      </c>
      <c r="AC95" s="226"/>
      <c r="AD95" s="210"/>
      <c r="AE95" s="350"/>
      <c r="AF95" s="353"/>
      <c r="AG95" s="350"/>
      <c r="AH95" s="215"/>
    </row>
    <row r="96" spans="1:34" ht="67.5" customHeight="1" x14ac:dyDescent="0.25">
      <c r="A96" s="153" t="s">
        <v>937</v>
      </c>
      <c r="B96" s="142"/>
      <c r="C96" s="135"/>
      <c r="D96" s="136"/>
      <c r="E96" s="216"/>
      <c r="F96" s="463"/>
      <c r="G96" s="145"/>
      <c r="H96" s="146"/>
      <c r="I96" s="151"/>
      <c r="J96" s="150"/>
      <c r="K96" s="134"/>
      <c r="L96" s="137"/>
      <c r="M96" s="138"/>
      <c r="N96" s="138"/>
      <c r="O96" s="149" t="str">
        <f t="shared" si="10"/>
        <v/>
      </c>
      <c r="P96" s="470" t="str">
        <f>IFERROR(IF(L96="avec arrêt",IF(MONTH(N96)='Liste AT'!$X$2,0,N96-EOMONTH('Stats AT BDD'!$X$2,0)),""),"")</f>
        <v/>
      </c>
      <c r="Q96" s="139"/>
      <c r="R96" s="140"/>
      <c r="S96" s="140"/>
      <c r="T96" s="141"/>
      <c r="U96" s="143"/>
      <c r="V96" s="137"/>
      <c r="W96" s="137"/>
      <c r="X96" s="141"/>
      <c r="Y96" s="147"/>
      <c r="Z96" s="144" t="str">
        <f t="shared" si="9"/>
        <v/>
      </c>
      <c r="AA96" s="138"/>
      <c r="AB96" s="148" t="str">
        <f t="shared" ca="1" si="11"/>
        <v/>
      </c>
      <c r="AC96" s="226"/>
      <c r="AD96" s="210"/>
      <c r="AE96" s="350"/>
      <c r="AF96" s="353"/>
      <c r="AG96" s="350"/>
      <c r="AH96" s="215"/>
    </row>
    <row r="97" spans="1:34" ht="67.5" customHeight="1" x14ac:dyDescent="0.25">
      <c r="A97" s="153" t="s">
        <v>938</v>
      </c>
      <c r="B97" s="142"/>
      <c r="C97" s="135"/>
      <c r="D97" s="136"/>
      <c r="E97" s="216"/>
      <c r="F97" s="463"/>
      <c r="G97" s="145"/>
      <c r="H97" s="146"/>
      <c r="I97" s="151"/>
      <c r="J97" s="150"/>
      <c r="K97" s="134"/>
      <c r="L97" s="137"/>
      <c r="M97" s="138"/>
      <c r="N97" s="138"/>
      <c r="O97" s="149" t="str">
        <f t="shared" si="10"/>
        <v/>
      </c>
      <c r="P97" s="470" t="str">
        <f>IFERROR(IF(L97="avec arrêt",IF(MONTH(N97)='Liste AT'!$X$2,0,N97-EOMONTH('Stats AT BDD'!$X$2,0)),""),"")</f>
        <v/>
      </c>
      <c r="Q97" s="139"/>
      <c r="R97" s="140"/>
      <c r="S97" s="140"/>
      <c r="T97" s="141"/>
      <c r="U97" s="143"/>
      <c r="V97" s="137"/>
      <c r="W97" s="137"/>
      <c r="X97" s="141"/>
      <c r="Y97" s="147"/>
      <c r="Z97" s="144" t="str">
        <f t="shared" si="9"/>
        <v/>
      </c>
      <c r="AA97" s="138"/>
      <c r="AB97" s="148" t="str">
        <f t="shared" ca="1" si="11"/>
        <v/>
      </c>
      <c r="AC97" s="226"/>
      <c r="AD97" s="210"/>
      <c r="AE97" s="350"/>
      <c r="AF97" s="353"/>
      <c r="AG97" s="350"/>
      <c r="AH97" s="215"/>
    </row>
    <row r="98" spans="1:34" ht="67.5" customHeight="1" x14ac:dyDescent="0.25">
      <c r="A98" s="153" t="s">
        <v>939</v>
      </c>
      <c r="B98" s="142"/>
      <c r="C98" s="135"/>
      <c r="D98" s="136"/>
      <c r="E98" s="216"/>
      <c r="F98" s="463"/>
      <c r="G98" s="145"/>
      <c r="H98" s="146"/>
      <c r="I98" s="151"/>
      <c r="J98" s="150"/>
      <c r="K98" s="134"/>
      <c r="L98" s="137"/>
      <c r="M98" s="138"/>
      <c r="N98" s="138"/>
      <c r="O98" s="149" t="str">
        <f t="shared" si="10"/>
        <v/>
      </c>
      <c r="P98" s="470" t="str">
        <f>IFERROR(IF(L98="avec arrêt",IF(MONTH(N98)='Liste AT'!$X$2,0,N98-EOMONTH('Stats AT BDD'!$X$2,0)),""),"")</f>
        <v/>
      </c>
      <c r="Q98" s="139"/>
      <c r="R98" s="140"/>
      <c r="S98" s="140"/>
      <c r="T98" s="141"/>
      <c r="U98" s="143"/>
      <c r="V98" s="137"/>
      <c r="W98" s="137"/>
      <c r="X98" s="141"/>
      <c r="Y98" s="147"/>
      <c r="Z98" s="144" t="str">
        <f t="shared" si="9"/>
        <v/>
      </c>
      <c r="AA98" s="138"/>
      <c r="AB98" s="148" t="str">
        <f t="shared" ca="1" si="11"/>
        <v/>
      </c>
      <c r="AC98" s="226"/>
      <c r="AD98" s="210"/>
      <c r="AE98" s="350"/>
      <c r="AF98" s="353"/>
      <c r="AG98" s="350"/>
      <c r="AH98" s="215"/>
    </row>
    <row r="99" spans="1:34" ht="67.5" customHeight="1" x14ac:dyDescent="0.25">
      <c r="A99" s="153" t="s">
        <v>940</v>
      </c>
      <c r="B99" s="142"/>
      <c r="C99" s="135"/>
      <c r="D99" s="136"/>
      <c r="E99" s="216"/>
      <c r="F99" s="463"/>
      <c r="G99" s="145"/>
      <c r="H99" s="146"/>
      <c r="I99" s="151"/>
      <c r="J99" s="150"/>
      <c r="K99" s="134"/>
      <c r="L99" s="137"/>
      <c r="M99" s="138"/>
      <c r="N99" s="138"/>
      <c r="O99" s="149" t="str">
        <f t="shared" si="10"/>
        <v/>
      </c>
      <c r="P99" s="470" t="str">
        <f>IFERROR(IF(L99="avec arrêt",IF(MONTH(N99)='Liste AT'!$X$2,0,N99-EOMONTH('Stats AT BDD'!$X$2,0)),""),"")</f>
        <v/>
      </c>
      <c r="Q99" s="139"/>
      <c r="R99" s="140"/>
      <c r="S99" s="140"/>
      <c r="T99" s="141"/>
      <c r="U99" s="143"/>
      <c r="V99" s="137"/>
      <c r="W99" s="137"/>
      <c r="X99" s="141"/>
      <c r="Y99" s="147"/>
      <c r="Z99" s="144" t="str">
        <f t="shared" si="9"/>
        <v/>
      </c>
      <c r="AA99" s="138"/>
      <c r="AB99" s="148" t="str">
        <f t="shared" ca="1" si="11"/>
        <v/>
      </c>
      <c r="AC99" s="226"/>
      <c r="AD99" s="210"/>
      <c r="AE99" s="350"/>
      <c r="AF99" s="353"/>
      <c r="AG99" s="350"/>
      <c r="AH99" s="215"/>
    </row>
    <row r="100" spans="1:34" ht="67.5" customHeight="1" x14ac:dyDescent="0.25">
      <c r="A100" s="153" t="s">
        <v>941</v>
      </c>
      <c r="B100" s="142"/>
      <c r="C100" s="135"/>
      <c r="D100" s="136"/>
      <c r="E100" s="216"/>
      <c r="F100" s="463"/>
      <c r="G100" s="145"/>
      <c r="H100" s="146"/>
      <c r="I100" s="151"/>
      <c r="J100" s="150"/>
      <c r="K100" s="134"/>
      <c r="L100" s="137"/>
      <c r="M100" s="138"/>
      <c r="N100" s="138"/>
      <c r="O100" s="149" t="str">
        <f t="shared" si="10"/>
        <v/>
      </c>
      <c r="P100" s="470" t="str">
        <f>IFERROR(IF(L100="avec arrêt",IF(MONTH(N100)='Liste AT'!$X$2,0,N100-EOMONTH('Stats AT BDD'!$X$2,0)),""),"")</f>
        <v/>
      </c>
      <c r="Q100" s="139"/>
      <c r="R100" s="140"/>
      <c r="S100" s="140"/>
      <c r="T100" s="141"/>
      <c r="U100" s="143"/>
      <c r="V100" s="137"/>
      <c r="W100" s="137"/>
      <c r="X100" s="141"/>
      <c r="Y100" s="147"/>
      <c r="Z100" s="144" t="str">
        <f t="shared" si="9"/>
        <v/>
      </c>
      <c r="AA100" s="138"/>
      <c r="AB100" s="148" t="str">
        <f t="shared" ca="1" si="11"/>
        <v/>
      </c>
      <c r="AC100" s="226"/>
      <c r="AD100" s="210"/>
      <c r="AE100" s="350"/>
      <c r="AF100" s="353"/>
      <c r="AG100" s="350"/>
      <c r="AH100" s="215"/>
    </row>
    <row r="101" spans="1:34" ht="67.5" customHeight="1" x14ac:dyDescent="0.25">
      <c r="A101" s="153" t="s">
        <v>942</v>
      </c>
      <c r="B101" s="142"/>
      <c r="C101" s="135"/>
      <c r="D101" s="136"/>
      <c r="E101" s="216"/>
      <c r="F101" s="463"/>
      <c r="G101" s="145"/>
      <c r="H101" s="146"/>
      <c r="I101" s="151"/>
      <c r="J101" s="150"/>
      <c r="K101" s="134"/>
      <c r="L101" s="137"/>
      <c r="M101" s="138"/>
      <c r="N101" s="138"/>
      <c r="O101" s="149" t="str">
        <f t="shared" si="10"/>
        <v/>
      </c>
      <c r="P101" s="470" t="str">
        <f>IFERROR(IF(L101="avec arrêt",IF(MONTH(N101)='Liste AT'!$X$2,0,N101-EOMONTH('Stats AT BDD'!$X$2,0)),""),"")</f>
        <v/>
      </c>
      <c r="Q101" s="139"/>
      <c r="R101" s="140"/>
      <c r="S101" s="140"/>
      <c r="T101" s="141"/>
      <c r="U101" s="143"/>
      <c r="V101" s="137"/>
      <c r="W101" s="137"/>
      <c r="X101" s="141"/>
      <c r="Y101" s="147"/>
      <c r="Z101" s="144" t="str">
        <f t="shared" si="9"/>
        <v/>
      </c>
      <c r="AA101" s="138"/>
      <c r="AB101" s="148" t="str">
        <f t="shared" ca="1" si="11"/>
        <v/>
      </c>
      <c r="AC101" s="226"/>
      <c r="AD101" s="210"/>
      <c r="AE101" s="350"/>
      <c r="AF101" s="353"/>
      <c r="AG101" s="350"/>
      <c r="AH101" s="215"/>
    </row>
    <row r="102" spans="1:34" ht="67.5" customHeight="1" x14ac:dyDescent="0.25">
      <c r="A102" s="153" t="s">
        <v>943</v>
      </c>
      <c r="B102" s="142"/>
      <c r="C102" s="135"/>
      <c r="D102" s="136"/>
      <c r="E102" s="216"/>
      <c r="F102" s="463"/>
      <c r="G102" s="145"/>
      <c r="H102" s="146"/>
      <c r="I102" s="151"/>
      <c r="J102" s="150"/>
      <c r="K102" s="134"/>
      <c r="L102" s="137"/>
      <c r="M102" s="138"/>
      <c r="N102" s="138"/>
      <c r="O102" s="149" t="str">
        <f t="shared" si="10"/>
        <v/>
      </c>
      <c r="P102" s="470" t="str">
        <f>IFERROR(IF(L102="avec arrêt",IF(MONTH(N102)='Liste AT'!$X$2,0,N102-EOMONTH('Stats AT BDD'!$X$2,0)),""),"")</f>
        <v/>
      </c>
      <c r="Q102" s="139"/>
      <c r="R102" s="140"/>
      <c r="S102" s="140"/>
      <c r="T102" s="141"/>
      <c r="U102" s="143"/>
      <c r="V102" s="137"/>
      <c r="W102" s="137"/>
      <c r="X102" s="214"/>
      <c r="Y102" s="147"/>
      <c r="Z102" s="144" t="str">
        <f t="shared" si="9"/>
        <v/>
      </c>
      <c r="AA102" s="138"/>
      <c r="AB102" s="148" t="str">
        <f t="shared" ca="1" si="11"/>
        <v/>
      </c>
      <c r="AC102" s="226"/>
      <c r="AD102" s="210"/>
      <c r="AE102" s="350"/>
      <c r="AF102" s="353"/>
      <c r="AG102" s="350"/>
      <c r="AH102" s="215"/>
    </row>
    <row r="103" spans="1:34" ht="67.5" customHeight="1" x14ac:dyDescent="0.25">
      <c r="A103" s="153" t="s">
        <v>944</v>
      </c>
      <c r="B103" s="142"/>
      <c r="C103" s="135"/>
      <c r="D103" s="136"/>
      <c r="E103" s="216"/>
      <c r="F103" s="463"/>
      <c r="G103" s="145"/>
      <c r="H103" s="146"/>
      <c r="I103" s="151"/>
      <c r="J103" s="150"/>
      <c r="K103" s="134"/>
      <c r="L103" s="137"/>
      <c r="M103" s="138"/>
      <c r="N103" s="138"/>
      <c r="O103" s="149" t="str">
        <f t="shared" si="10"/>
        <v/>
      </c>
      <c r="P103" s="470" t="str">
        <f>IFERROR(IF(L103="avec arrêt",IF(MONTH(N103)='Liste AT'!$X$2,0,N103-EOMONTH('Stats AT BDD'!$X$2,0)),""),"")</f>
        <v/>
      </c>
      <c r="Q103" s="139"/>
      <c r="R103" s="140"/>
      <c r="S103" s="140"/>
      <c r="T103" s="141"/>
      <c r="U103" s="143"/>
      <c r="V103" s="137"/>
      <c r="W103" s="137"/>
      <c r="X103" s="141"/>
      <c r="Y103" s="147"/>
      <c r="Z103" s="144" t="str">
        <f t="shared" si="9"/>
        <v/>
      </c>
      <c r="AA103" s="138"/>
      <c r="AB103" s="148" t="str">
        <f t="shared" ca="1" si="11"/>
        <v/>
      </c>
      <c r="AC103" s="226"/>
      <c r="AD103" s="210"/>
      <c r="AE103" s="350"/>
      <c r="AF103" s="353"/>
      <c r="AG103" s="350"/>
      <c r="AH103" s="215"/>
    </row>
    <row r="104" spans="1:34" ht="67.5" customHeight="1" x14ac:dyDescent="0.25">
      <c r="A104" s="153" t="s">
        <v>945</v>
      </c>
      <c r="B104" s="142"/>
      <c r="C104" s="135"/>
      <c r="D104" s="136"/>
      <c r="E104" s="216"/>
      <c r="F104" s="463"/>
      <c r="G104" s="145"/>
      <c r="H104" s="146"/>
      <c r="I104" s="151"/>
      <c r="J104" s="150"/>
      <c r="K104" s="134"/>
      <c r="L104" s="137"/>
      <c r="M104" s="138"/>
      <c r="N104" s="138"/>
      <c r="O104" s="149" t="str">
        <f t="shared" si="10"/>
        <v/>
      </c>
      <c r="P104" s="470" t="str">
        <f>IFERROR(IF(L104="avec arrêt",IF(MONTH(N104)='Liste AT'!$X$2,0,N104-EOMONTH('Stats AT BDD'!$X$2,0)),""),"")</f>
        <v/>
      </c>
      <c r="Q104" s="139"/>
      <c r="R104" s="140"/>
      <c r="S104" s="140"/>
      <c r="T104" s="141"/>
      <c r="U104" s="143"/>
      <c r="V104" s="137"/>
      <c r="W104" s="137"/>
      <c r="X104" s="141"/>
      <c r="Y104" s="147"/>
      <c r="Z104" s="144" t="str">
        <f t="shared" si="9"/>
        <v/>
      </c>
      <c r="AA104" s="138"/>
      <c r="AB104" s="148" t="str">
        <f t="shared" ca="1" si="11"/>
        <v/>
      </c>
      <c r="AC104" s="226"/>
      <c r="AD104" s="210"/>
      <c r="AE104" s="350"/>
      <c r="AF104" s="353"/>
      <c r="AG104" s="350"/>
      <c r="AH104" s="215"/>
    </row>
    <row r="105" spans="1:34" ht="67.5" customHeight="1" x14ac:dyDescent="0.25">
      <c r="A105" s="153" t="s">
        <v>946</v>
      </c>
      <c r="B105" s="142"/>
      <c r="C105" s="135"/>
      <c r="D105" s="136"/>
      <c r="E105" s="216"/>
      <c r="F105" s="463"/>
      <c r="G105" s="145"/>
      <c r="H105" s="146"/>
      <c r="I105" s="151"/>
      <c r="J105" s="150"/>
      <c r="K105" s="134"/>
      <c r="L105" s="137"/>
      <c r="M105" s="138"/>
      <c r="N105" s="138"/>
      <c r="O105" s="149" t="str">
        <f t="shared" si="10"/>
        <v/>
      </c>
      <c r="P105" s="470" t="str">
        <f>IFERROR(IF(L105="avec arrêt",IF(MONTH(N105)='Liste AT'!$X$2,0,N105-EOMONTH('Stats AT BDD'!$X$2,0)),""),"")</f>
        <v/>
      </c>
      <c r="Q105" s="139"/>
      <c r="R105" s="140"/>
      <c r="S105" s="140"/>
      <c r="T105" s="141"/>
      <c r="U105" s="143"/>
      <c r="V105" s="137"/>
      <c r="W105" s="137"/>
      <c r="X105" s="141"/>
      <c r="Y105" s="147"/>
      <c r="Z105" s="144" t="str">
        <f t="shared" si="9"/>
        <v/>
      </c>
      <c r="AA105" s="138"/>
      <c r="AB105" s="148" t="str">
        <f t="shared" ca="1" si="11"/>
        <v/>
      </c>
      <c r="AC105" s="226"/>
      <c r="AD105" s="210"/>
      <c r="AE105" s="350"/>
      <c r="AF105" s="353"/>
      <c r="AG105" s="350"/>
      <c r="AH105" s="215"/>
    </row>
    <row r="106" spans="1:34" ht="67.5" customHeight="1" x14ac:dyDescent="0.25">
      <c r="A106" s="153" t="s">
        <v>947</v>
      </c>
      <c r="B106" s="142"/>
      <c r="C106" s="135"/>
      <c r="D106" s="136"/>
      <c r="E106" s="216"/>
      <c r="F106" s="463"/>
      <c r="G106" s="145"/>
      <c r="H106" s="146"/>
      <c r="I106" s="151"/>
      <c r="J106" s="150"/>
      <c r="K106" s="134"/>
      <c r="L106" s="137"/>
      <c r="M106" s="138"/>
      <c r="N106" s="138"/>
      <c r="O106" s="149" t="str">
        <f t="shared" si="10"/>
        <v/>
      </c>
      <c r="P106" s="470" t="str">
        <f>IFERROR(IF(L106="avec arrêt",IF(MONTH(N106)='Liste AT'!$X$2,0,N106-EOMONTH('Stats AT BDD'!$X$2,0)),""),"")</f>
        <v/>
      </c>
      <c r="Q106" s="139"/>
      <c r="R106" s="140"/>
      <c r="S106" s="140"/>
      <c r="T106" s="141"/>
      <c r="U106" s="143"/>
      <c r="V106" s="137"/>
      <c r="W106" s="137"/>
      <c r="X106" s="141"/>
      <c r="Y106" s="147"/>
      <c r="Z106" s="144" t="str">
        <f t="shared" si="9"/>
        <v/>
      </c>
      <c r="AA106" s="138"/>
      <c r="AB106" s="148" t="str">
        <f t="shared" ca="1" si="11"/>
        <v/>
      </c>
      <c r="AC106" s="226"/>
      <c r="AD106" s="210"/>
      <c r="AE106" s="350"/>
      <c r="AF106" s="353"/>
      <c r="AG106" s="350"/>
      <c r="AH106" s="215"/>
    </row>
    <row r="107" spans="1:34" ht="67.5" customHeight="1" x14ac:dyDescent="0.25">
      <c r="A107" s="153" t="s">
        <v>948</v>
      </c>
      <c r="B107" s="142"/>
      <c r="C107" s="135"/>
      <c r="D107" s="136"/>
      <c r="E107" s="216"/>
      <c r="F107" s="463"/>
      <c r="G107" s="145"/>
      <c r="H107" s="146"/>
      <c r="I107" s="151"/>
      <c r="J107" s="150"/>
      <c r="K107" s="134"/>
      <c r="L107" s="137"/>
      <c r="M107" s="138"/>
      <c r="N107" s="138"/>
      <c r="O107" s="149" t="str">
        <f t="shared" si="10"/>
        <v/>
      </c>
      <c r="P107" s="470" t="str">
        <f>IFERROR(IF(L107="avec arrêt",IF(MONTH(N107)='Liste AT'!$X$2,0,N107-EOMONTH('Stats AT BDD'!$X$2,0)),""),"")</f>
        <v/>
      </c>
      <c r="Q107" s="139"/>
      <c r="R107" s="140"/>
      <c r="S107" s="140"/>
      <c r="T107" s="141"/>
      <c r="U107" s="143"/>
      <c r="V107" s="137"/>
      <c r="W107" s="137"/>
      <c r="X107" s="141"/>
      <c r="Y107" s="147"/>
      <c r="Z107" s="144" t="str">
        <f t="shared" si="9"/>
        <v/>
      </c>
      <c r="AA107" s="138"/>
      <c r="AB107" s="148" t="str">
        <f t="shared" ca="1" si="11"/>
        <v/>
      </c>
      <c r="AC107" s="226"/>
      <c r="AD107" s="210"/>
      <c r="AE107" s="350"/>
      <c r="AF107" s="353"/>
      <c r="AG107" s="350"/>
      <c r="AH107" s="215"/>
    </row>
    <row r="108" spans="1:34" ht="67.5" customHeight="1" x14ac:dyDescent="0.25">
      <c r="A108" s="153" t="s">
        <v>949</v>
      </c>
      <c r="B108" s="142"/>
      <c r="C108" s="135"/>
      <c r="D108" s="136"/>
      <c r="E108" s="216"/>
      <c r="F108" s="463"/>
      <c r="G108" s="145"/>
      <c r="H108" s="146"/>
      <c r="I108" s="151"/>
      <c r="J108" s="150"/>
      <c r="K108" s="134"/>
      <c r="L108" s="137"/>
      <c r="M108" s="138"/>
      <c r="N108" s="138"/>
      <c r="O108" s="149" t="str">
        <f t="shared" si="10"/>
        <v/>
      </c>
      <c r="P108" s="470" t="str">
        <f>IFERROR(IF(L108="avec arrêt",IF(MONTH(N108)='Liste AT'!$X$2,0,N108-EOMONTH('Stats AT BDD'!$X$2,0)),""),"")</f>
        <v/>
      </c>
      <c r="Q108" s="139"/>
      <c r="R108" s="140"/>
      <c r="S108" s="140"/>
      <c r="T108" s="141"/>
      <c r="U108" s="143"/>
      <c r="V108" s="137"/>
      <c r="W108" s="137"/>
      <c r="X108" s="141"/>
      <c r="Y108" s="147"/>
      <c r="Z108" s="144" t="str">
        <f t="shared" si="9"/>
        <v/>
      </c>
      <c r="AA108" s="138"/>
      <c r="AB108" s="148" t="str">
        <f t="shared" ca="1" si="11"/>
        <v/>
      </c>
      <c r="AC108" s="226"/>
      <c r="AD108" s="210"/>
      <c r="AE108" s="350"/>
      <c r="AF108" s="353"/>
      <c r="AG108" s="350"/>
      <c r="AH108" s="215"/>
    </row>
    <row r="109" spans="1:34" ht="67.5" customHeight="1" x14ac:dyDescent="0.25">
      <c r="A109" s="153" t="s">
        <v>950</v>
      </c>
      <c r="B109" s="142"/>
      <c r="C109" s="135"/>
      <c r="D109" s="136"/>
      <c r="E109" s="216"/>
      <c r="F109" s="463"/>
      <c r="G109" s="145"/>
      <c r="H109" s="146"/>
      <c r="I109" s="151"/>
      <c r="J109" s="150"/>
      <c r="K109" s="134"/>
      <c r="L109" s="137"/>
      <c r="M109" s="138"/>
      <c r="N109" s="138"/>
      <c r="O109" s="149" t="str">
        <f t="shared" si="10"/>
        <v/>
      </c>
      <c r="P109" s="470" t="str">
        <f>IFERROR(IF(L109="avec arrêt",IF(MONTH(N109)='Liste AT'!$X$2,0,N109-EOMONTH('Stats AT BDD'!$X$2,0)),""),"")</f>
        <v/>
      </c>
      <c r="Q109" s="139"/>
      <c r="R109" s="140"/>
      <c r="S109" s="140"/>
      <c r="T109" s="141"/>
      <c r="U109" s="143"/>
      <c r="V109" s="137"/>
      <c r="W109" s="137"/>
      <c r="X109" s="141"/>
      <c r="Y109" s="147"/>
      <c r="Z109" s="144" t="str">
        <f t="shared" si="9"/>
        <v/>
      </c>
      <c r="AA109" s="138"/>
      <c r="AB109" s="148" t="str">
        <f t="shared" ca="1" si="11"/>
        <v/>
      </c>
      <c r="AC109" s="226"/>
      <c r="AD109" s="210"/>
      <c r="AE109" s="350"/>
      <c r="AF109" s="353"/>
      <c r="AG109" s="350"/>
      <c r="AH109" s="215"/>
    </row>
    <row r="110" spans="1:34" ht="67.5" customHeight="1" x14ac:dyDescent="0.25">
      <c r="A110" s="153" t="s">
        <v>951</v>
      </c>
      <c r="B110" s="142"/>
      <c r="C110" s="135"/>
      <c r="D110" s="136"/>
      <c r="E110" s="216"/>
      <c r="F110" s="463"/>
      <c r="G110" s="145"/>
      <c r="H110" s="146"/>
      <c r="I110" s="151"/>
      <c r="J110" s="150"/>
      <c r="K110" s="134"/>
      <c r="L110" s="137"/>
      <c r="M110" s="138"/>
      <c r="N110" s="138"/>
      <c r="O110" s="149" t="str">
        <f t="shared" si="10"/>
        <v/>
      </c>
      <c r="P110" s="470" t="str">
        <f>IFERROR(IF(L110="avec arrêt",IF(MONTH(N110)='Liste AT'!$X$2,0,N110-EOMONTH('Stats AT BDD'!$X$2,0)),""),"")</f>
        <v/>
      </c>
      <c r="Q110" s="139"/>
      <c r="R110" s="140"/>
      <c r="S110" s="140"/>
      <c r="T110" s="141"/>
      <c r="U110" s="143"/>
      <c r="V110" s="137"/>
      <c r="W110" s="137"/>
      <c r="X110" s="141"/>
      <c r="Y110" s="147"/>
      <c r="Z110" s="144" t="str">
        <f t="shared" si="9"/>
        <v/>
      </c>
      <c r="AA110" s="138"/>
      <c r="AB110" s="148" t="str">
        <f t="shared" ca="1" si="11"/>
        <v/>
      </c>
      <c r="AC110" s="226"/>
      <c r="AD110" s="210"/>
      <c r="AE110" s="350"/>
      <c r="AF110" s="353"/>
      <c r="AG110" s="350"/>
      <c r="AH110" s="215"/>
    </row>
    <row r="111" spans="1:34" ht="67.5" customHeight="1" x14ac:dyDescent="0.25">
      <c r="A111" s="153" t="s">
        <v>952</v>
      </c>
      <c r="B111" s="142"/>
      <c r="C111" s="135"/>
      <c r="D111" s="136"/>
      <c r="E111" s="216"/>
      <c r="F111" s="463"/>
      <c r="G111" s="145"/>
      <c r="H111" s="146"/>
      <c r="I111" s="151"/>
      <c r="J111" s="150"/>
      <c r="K111" s="134"/>
      <c r="L111" s="137"/>
      <c r="M111" s="138"/>
      <c r="N111" s="138"/>
      <c r="O111" s="149" t="str">
        <f t="shared" si="10"/>
        <v/>
      </c>
      <c r="P111" s="470" t="str">
        <f>IFERROR(IF(L111="avec arrêt",IF(MONTH(N111)='Liste AT'!$X$2,0,N111-EOMONTH('Stats AT BDD'!$X$2,0)),""),"")</f>
        <v/>
      </c>
      <c r="Q111" s="139"/>
      <c r="R111" s="140"/>
      <c r="S111" s="140"/>
      <c r="T111" s="141"/>
      <c r="U111" s="143"/>
      <c r="V111" s="137"/>
      <c r="W111" s="137"/>
      <c r="X111" s="141"/>
      <c r="Y111" s="147"/>
      <c r="Z111" s="144" t="str">
        <f t="shared" si="9"/>
        <v/>
      </c>
      <c r="AA111" s="138"/>
      <c r="AB111" s="148" t="str">
        <f t="shared" ca="1" si="11"/>
        <v/>
      </c>
      <c r="AC111" s="226"/>
      <c r="AD111" s="210"/>
      <c r="AE111" s="350"/>
      <c r="AF111" s="353"/>
      <c r="AG111" s="350"/>
      <c r="AH111" s="215"/>
    </row>
    <row r="112" spans="1:34" ht="67.5" customHeight="1" x14ac:dyDescent="0.25">
      <c r="A112" s="153" t="s">
        <v>953</v>
      </c>
      <c r="B112" s="142"/>
      <c r="C112" s="135"/>
      <c r="D112" s="136"/>
      <c r="E112" s="216"/>
      <c r="F112" s="463"/>
      <c r="G112" s="145"/>
      <c r="H112" s="146"/>
      <c r="I112" s="151"/>
      <c r="J112" s="150"/>
      <c r="K112" s="134"/>
      <c r="L112" s="137"/>
      <c r="M112" s="138"/>
      <c r="N112" s="138"/>
      <c r="O112" s="149" t="str">
        <f t="shared" si="10"/>
        <v/>
      </c>
      <c r="P112" s="470" t="str">
        <f>IFERROR(IF(L112="avec arrêt",IF(MONTH(N112)='Liste AT'!$X$2,0,N112-EOMONTH('Stats AT BDD'!$X$2,0)),""),"")</f>
        <v/>
      </c>
      <c r="Q112" s="139"/>
      <c r="R112" s="140"/>
      <c r="S112" s="140"/>
      <c r="T112" s="141"/>
      <c r="U112" s="143"/>
      <c r="V112" s="137"/>
      <c r="W112" s="137"/>
      <c r="X112" s="141"/>
      <c r="Y112" s="147"/>
      <c r="Z112" s="144" t="str">
        <f t="shared" si="9"/>
        <v/>
      </c>
      <c r="AA112" s="138"/>
      <c r="AB112" s="148" t="str">
        <f t="shared" ca="1" si="11"/>
        <v/>
      </c>
      <c r="AC112" s="226"/>
      <c r="AD112" s="210"/>
      <c r="AE112" s="350"/>
      <c r="AF112" s="353"/>
      <c r="AG112" s="350"/>
      <c r="AH112" s="215"/>
    </row>
    <row r="113" spans="1:34" ht="67.5" customHeight="1" x14ac:dyDescent="0.25">
      <c r="A113" s="153" t="s">
        <v>954</v>
      </c>
      <c r="B113" s="142"/>
      <c r="C113" s="135"/>
      <c r="D113" s="136"/>
      <c r="E113" s="216"/>
      <c r="F113" s="463"/>
      <c r="G113" s="145"/>
      <c r="H113" s="146"/>
      <c r="I113" s="151"/>
      <c r="J113" s="150"/>
      <c r="K113" s="134"/>
      <c r="L113" s="137"/>
      <c r="M113" s="138"/>
      <c r="N113" s="138"/>
      <c r="O113" s="149" t="str">
        <f t="shared" si="10"/>
        <v/>
      </c>
      <c r="P113" s="470" t="str">
        <f>IFERROR(IF(L113="avec arrêt",IF(MONTH(N113)='Liste AT'!$X$2,0,N113-EOMONTH('Stats AT BDD'!$X$2,0)),""),"")</f>
        <v/>
      </c>
      <c r="Q113" s="139"/>
      <c r="R113" s="140"/>
      <c r="S113" s="140"/>
      <c r="T113" s="141"/>
      <c r="U113" s="143"/>
      <c r="V113" s="137"/>
      <c r="W113" s="137"/>
      <c r="X113" s="214"/>
      <c r="Y113" s="220"/>
      <c r="Z113" s="144" t="str">
        <f t="shared" si="9"/>
        <v/>
      </c>
      <c r="AA113" s="138"/>
      <c r="AB113" s="148" t="str">
        <f t="shared" ca="1" si="11"/>
        <v/>
      </c>
      <c r="AC113" s="226"/>
      <c r="AD113" s="210"/>
      <c r="AE113" s="350"/>
      <c r="AF113" s="353"/>
      <c r="AG113" s="350"/>
      <c r="AH113" s="215"/>
    </row>
    <row r="114" spans="1:34" ht="67.5" customHeight="1" x14ac:dyDescent="0.25">
      <c r="A114" s="153" t="s">
        <v>955</v>
      </c>
      <c r="B114" s="142"/>
      <c r="C114" s="135"/>
      <c r="D114" s="136"/>
      <c r="E114" s="216"/>
      <c r="F114" s="463"/>
      <c r="G114" s="145"/>
      <c r="H114" s="146"/>
      <c r="I114" s="151"/>
      <c r="J114" s="150"/>
      <c r="K114" s="134"/>
      <c r="L114" s="137"/>
      <c r="M114" s="138"/>
      <c r="N114" s="138"/>
      <c r="O114" s="149" t="str">
        <f t="shared" si="10"/>
        <v/>
      </c>
      <c r="P114" s="470" t="str">
        <f>IFERROR(IF(L114="avec arrêt",IF(MONTH(N114)='Liste AT'!$X$2,0,N114-EOMONTH('Stats AT BDD'!$X$2,0)),""),"")</f>
        <v/>
      </c>
      <c r="Q114" s="139"/>
      <c r="R114" s="140"/>
      <c r="S114" s="140"/>
      <c r="T114" s="141"/>
      <c r="U114" s="143"/>
      <c r="V114" s="137"/>
      <c r="W114" s="137"/>
      <c r="X114" s="141"/>
      <c r="Y114" s="147"/>
      <c r="Z114" s="144" t="str">
        <f t="shared" si="9"/>
        <v/>
      </c>
      <c r="AA114" s="138"/>
      <c r="AB114" s="148" t="str">
        <f t="shared" ca="1" si="11"/>
        <v/>
      </c>
      <c r="AC114" s="226"/>
      <c r="AD114" s="210"/>
      <c r="AE114" s="350"/>
      <c r="AF114" s="353"/>
      <c r="AG114" s="350"/>
      <c r="AH114" s="215"/>
    </row>
    <row r="115" spans="1:34" ht="67.5" customHeight="1" x14ac:dyDescent="0.25">
      <c r="A115" s="153" t="s">
        <v>956</v>
      </c>
      <c r="B115" s="142"/>
      <c r="C115" s="135"/>
      <c r="D115" s="136"/>
      <c r="E115" s="216"/>
      <c r="F115" s="463"/>
      <c r="G115" s="145"/>
      <c r="H115" s="146"/>
      <c r="I115" s="151"/>
      <c r="J115" s="150"/>
      <c r="K115" s="134"/>
      <c r="L115" s="137"/>
      <c r="M115" s="138"/>
      <c r="N115" s="138"/>
      <c r="O115" s="149" t="str">
        <f t="shared" si="10"/>
        <v/>
      </c>
      <c r="P115" s="470" t="str">
        <f>IFERROR(IF(L115="avec arrêt",IF(MONTH(N115)='Liste AT'!$X$2,0,N115-EOMONTH('Stats AT BDD'!$X$2,0)),""),"")</f>
        <v/>
      </c>
      <c r="Q115" s="139"/>
      <c r="R115" s="140"/>
      <c r="S115" s="140"/>
      <c r="T115" s="141"/>
      <c r="U115" s="143"/>
      <c r="V115" s="137"/>
      <c r="W115" s="137"/>
      <c r="X115" s="141"/>
      <c r="Y115" s="147"/>
      <c r="Z115" s="144" t="str">
        <f t="shared" si="9"/>
        <v/>
      </c>
      <c r="AA115" s="138"/>
      <c r="AB115" s="148" t="str">
        <f t="shared" ca="1" si="11"/>
        <v/>
      </c>
      <c r="AC115" s="226"/>
      <c r="AD115" s="210"/>
      <c r="AE115" s="350"/>
      <c r="AF115" s="353"/>
      <c r="AG115" s="350"/>
      <c r="AH115" s="215"/>
    </row>
    <row r="116" spans="1:34" ht="63" customHeight="1" x14ac:dyDescent="0.25">
      <c r="A116" s="153" t="s">
        <v>957</v>
      </c>
      <c r="B116" s="142"/>
      <c r="C116" s="135"/>
      <c r="D116" s="136"/>
      <c r="E116" s="216"/>
      <c r="F116" s="463"/>
      <c r="G116" s="145"/>
      <c r="H116" s="146"/>
      <c r="I116" s="151"/>
      <c r="J116" s="150"/>
      <c r="K116" s="134"/>
      <c r="L116" s="137"/>
      <c r="M116" s="138"/>
      <c r="N116" s="138"/>
      <c r="O116" s="149" t="str">
        <f t="shared" si="10"/>
        <v/>
      </c>
      <c r="P116" s="470" t="str">
        <f>IFERROR(IF(L116="avec arrêt",IF(MONTH(N116)='Liste AT'!$X$2,0,N116-EOMONTH('Stats AT BDD'!$X$2,0)),""),"")</f>
        <v/>
      </c>
      <c r="Q116" s="139"/>
      <c r="R116" s="140"/>
      <c r="S116" s="140"/>
      <c r="T116" s="141"/>
      <c r="U116" s="143"/>
      <c r="V116" s="137"/>
      <c r="W116" s="137"/>
      <c r="X116" s="141"/>
      <c r="Y116" s="147"/>
      <c r="Z116" s="144" t="str">
        <f t="shared" si="9"/>
        <v/>
      </c>
      <c r="AA116" s="138"/>
      <c r="AB116" s="148" t="str">
        <f t="shared" ca="1" si="11"/>
        <v/>
      </c>
      <c r="AC116" s="226"/>
      <c r="AD116" s="210"/>
      <c r="AE116" s="350"/>
      <c r="AF116" s="353"/>
      <c r="AG116" s="350"/>
      <c r="AH116" s="215"/>
    </row>
    <row r="117" spans="1:34" ht="63" customHeight="1" x14ac:dyDescent="0.25">
      <c r="A117" s="153" t="s">
        <v>958</v>
      </c>
      <c r="B117" s="142"/>
      <c r="C117" s="135"/>
      <c r="D117" s="136"/>
      <c r="E117" s="216"/>
      <c r="F117" s="463"/>
      <c r="G117" s="145"/>
      <c r="H117" s="146"/>
      <c r="I117" s="151"/>
      <c r="J117" s="150"/>
      <c r="K117" s="134"/>
      <c r="L117" s="137"/>
      <c r="M117" s="138"/>
      <c r="N117" s="138"/>
      <c r="O117" s="149" t="str">
        <f t="shared" si="10"/>
        <v/>
      </c>
      <c r="P117" s="470" t="str">
        <f>IFERROR(IF(L117="avec arrêt",IF(MONTH(N117)='Liste AT'!$X$2,0,N117-EOMONTH('Stats AT BDD'!$X$2,0)),""),"")</f>
        <v/>
      </c>
      <c r="Q117" s="139"/>
      <c r="R117" s="140"/>
      <c r="S117" s="140"/>
      <c r="T117" s="141"/>
      <c r="U117" s="143"/>
      <c r="V117" s="137"/>
      <c r="W117" s="137"/>
      <c r="X117" s="141"/>
      <c r="Y117" s="147"/>
      <c r="Z117" s="144" t="str">
        <f t="shared" si="9"/>
        <v/>
      </c>
      <c r="AA117" s="138"/>
      <c r="AB117" s="148" t="str">
        <f t="shared" ca="1" si="11"/>
        <v/>
      </c>
      <c r="AC117" s="226"/>
      <c r="AD117" s="210"/>
      <c r="AE117" s="350"/>
      <c r="AF117" s="353"/>
      <c r="AG117" s="350"/>
      <c r="AH117" s="215"/>
    </row>
    <row r="118" spans="1:34" ht="63" customHeight="1" x14ac:dyDescent="0.25">
      <c r="A118" s="153" t="s">
        <v>959</v>
      </c>
      <c r="B118" s="142"/>
      <c r="C118" s="135"/>
      <c r="D118" s="136"/>
      <c r="E118" s="216"/>
      <c r="F118" s="463"/>
      <c r="G118" s="145"/>
      <c r="H118" s="146"/>
      <c r="I118" s="151"/>
      <c r="J118" s="150"/>
      <c r="K118" s="134"/>
      <c r="L118" s="137"/>
      <c r="M118" s="138"/>
      <c r="N118" s="138"/>
      <c r="O118" s="149" t="str">
        <f t="shared" si="10"/>
        <v/>
      </c>
      <c r="P118" s="470" t="str">
        <f>IFERROR(IF(L118="avec arrêt",IF(MONTH(N118)='Liste AT'!$X$2,0,N118-EOMONTH('Stats AT BDD'!$X$2,0)),""),"")</f>
        <v/>
      </c>
      <c r="Q118" s="139"/>
      <c r="R118" s="140"/>
      <c r="S118" s="140"/>
      <c r="T118" s="141"/>
      <c r="U118" s="143"/>
      <c r="V118" s="137"/>
      <c r="W118" s="137"/>
      <c r="X118" s="141"/>
      <c r="Y118" s="147"/>
      <c r="Z118" s="144" t="str">
        <f t="shared" si="9"/>
        <v/>
      </c>
      <c r="AA118" s="138"/>
      <c r="AB118" s="148" t="str">
        <f t="shared" ca="1" si="11"/>
        <v/>
      </c>
      <c r="AC118" s="226"/>
      <c r="AD118" s="210"/>
      <c r="AE118" s="350"/>
      <c r="AF118" s="353"/>
      <c r="AG118" s="350"/>
      <c r="AH118" s="215"/>
    </row>
    <row r="119" spans="1:34" ht="63" customHeight="1" x14ac:dyDescent="0.25">
      <c r="A119" s="153" t="s">
        <v>960</v>
      </c>
      <c r="B119" s="142"/>
      <c r="C119" s="135"/>
      <c r="D119" s="136"/>
      <c r="E119" s="216"/>
      <c r="F119" s="463"/>
      <c r="G119" s="145"/>
      <c r="H119" s="146"/>
      <c r="I119" s="151"/>
      <c r="J119" s="150"/>
      <c r="K119" s="134"/>
      <c r="L119" s="137"/>
      <c r="M119" s="138"/>
      <c r="N119" s="138"/>
      <c r="O119" s="149" t="str">
        <f t="shared" si="10"/>
        <v/>
      </c>
      <c r="P119" s="470" t="str">
        <f>IFERROR(IF(L119="avec arrêt",IF(MONTH(N119)='Liste AT'!$X$2,0,N119-EOMONTH('Stats AT BDD'!$X$2,0)),""),"")</f>
        <v/>
      </c>
      <c r="Q119" s="139"/>
      <c r="R119" s="140"/>
      <c r="S119" s="140"/>
      <c r="T119" s="141"/>
      <c r="U119" s="143"/>
      <c r="V119" s="137"/>
      <c r="W119" s="137"/>
      <c r="X119" s="141"/>
      <c r="Y119" s="147"/>
      <c r="Z119" s="144" t="str">
        <f t="shared" si="9"/>
        <v/>
      </c>
      <c r="AA119" s="138"/>
      <c r="AB119" s="148" t="str">
        <f t="shared" ca="1" si="11"/>
        <v/>
      </c>
      <c r="AC119" s="226"/>
      <c r="AD119" s="210"/>
      <c r="AE119" s="350"/>
      <c r="AF119" s="353"/>
      <c r="AG119" s="350"/>
      <c r="AH119" s="215"/>
    </row>
    <row r="120" spans="1:34" ht="63" customHeight="1" x14ac:dyDescent="0.25">
      <c r="A120" s="153" t="s">
        <v>961</v>
      </c>
      <c r="B120" s="142"/>
      <c r="C120" s="135"/>
      <c r="D120" s="136"/>
      <c r="E120" s="216"/>
      <c r="F120" s="463"/>
      <c r="G120" s="145"/>
      <c r="H120" s="146"/>
      <c r="I120" s="151"/>
      <c r="J120" s="150"/>
      <c r="K120" s="134"/>
      <c r="L120" s="137"/>
      <c r="M120" s="138"/>
      <c r="N120" s="138"/>
      <c r="O120" s="149" t="str">
        <f t="shared" si="10"/>
        <v/>
      </c>
      <c r="P120" s="470" t="str">
        <f>IFERROR(IF(L120="avec arrêt",IF(MONTH(N120)='Liste AT'!$X$2,0,N120-EOMONTH('Stats AT BDD'!$X$2,0)),""),"")</f>
        <v/>
      </c>
      <c r="Q120" s="139"/>
      <c r="R120" s="140"/>
      <c r="S120" s="140"/>
      <c r="T120" s="141"/>
      <c r="U120" s="143"/>
      <c r="V120" s="137"/>
      <c r="W120" s="137"/>
      <c r="X120" s="141"/>
      <c r="Y120" s="147"/>
      <c r="Z120" s="144" t="str">
        <f t="shared" si="9"/>
        <v/>
      </c>
      <c r="AA120" s="138"/>
      <c r="AB120" s="148" t="str">
        <f t="shared" ca="1" si="11"/>
        <v/>
      </c>
      <c r="AC120" s="226"/>
      <c r="AD120" s="210"/>
      <c r="AE120" s="350"/>
      <c r="AF120" s="353"/>
      <c r="AG120" s="350"/>
      <c r="AH120" s="215"/>
    </row>
    <row r="121" spans="1:34" ht="63" customHeight="1" x14ac:dyDescent="0.25">
      <c r="A121" s="153" t="s">
        <v>962</v>
      </c>
      <c r="B121" s="142"/>
      <c r="C121" s="135"/>
      <c r="D121" s="136"/>
      <c r="E121" s="216"/>
      <c r="F121" s="463"/>
      <c r="G121" s="145"/>
      <c r="H121" s="146"/>
      <c r="I121" s="151"/>
      <c r="J121" s="150"/>
      <c r="K121" s="134"/>
      <c r="L121" s="137"/>
      <c r="M121" s="138"/>
      <c r="N121" s="138"/>
      <c r="O121" s="149" t="str">
        <f t="shared" si="10"/>
        <v/>
      </c>
      <c r="P121" s="470" t="str">
        <f>IFERROR(IF(L121="avec arrêt",IF(MONTH(N121)='Liste AT'!$X$2,0,N121-EOMONTH('Stats AT BDD'!$X$2,0)),""),"")</f>
        <v/>
      </c>
      <c r="Q121" s="139"/>
      <c r="R121" s="140"/>
      <c r="S121" s="140"/>
      <c r="T121" s="141"/>
      <c r="U121" s="143"/>
      <c r="V121" s="137"/>
      <c r="W121" s="137"/>
      <c r="X121" s="141"/>
      <c r="Y121" s="147"/>
      <c r="Z121" s="144" t="str">
        <f t="shared" si="9"/>
        <v/>
      </c>
      <c r="AA121" s="138"/>
      <c r="AB121" s="148" t="str">
        <f t="shared" ca="1" si="11"/>
        <v/>
      </c>
      <c r="AC121" s="226"/>
      <c r="AD121" s="210"/>
      <c r="AE121" s="350"/>
      <c r="AF121" s="353"/>
      <c r="AG121" s="350"/>
      <c r="AH121" s="215"/>
    </row>
    <row r="122" spans="1:34" ht="63" customHeight="1" x14ac:dyDescent="0.25">
      <c r="A122" s="153" t="s">
        <v>963</v>
      </c>
      <c r="B122" s="142"/>
      <c r="C122" s="135"/>
      <c r="D122" s="136"/>
      <c r="E122" s="216"/>
      <c r="F122" s="463"/>
      <c r="G122" s="145"/>
      <c r="H122" s="146"/>
      <c r="I122" s="151"/>
      <c r="J122" s="150"/>
      <c r="K122" s="134"/>
      <c r="L122" s="137"/>
      <c r="M122" s="138"/>
      <c r="N122" s="138"/>
      <c r="O122" s="149" t="str">
        <f t="shared" si="10"/>
        <v/>
      </c>
      <c r="P122" s="470" t="str">
        <f>IFERROR(IF(L122="avec arrêt",IF(MONTH(N122)='Liste AT'!$X$2,0,N122-EOMONTH('Stats AT BDD'!$X$2,0)),""),"")</f>
        <v/>
      </c>
      <c r="Q122" s="139"/>
      <c r="R122" s="140"/>
      <c r="S122" s="140"/>
      <c r="T122" s="141"/>
      <c r="U122" s="143"/>
      <c r="V122" s="137"/>
      <c r="W122" s="137"/>
      <c r="X122" s="141"/>
      <c r="Y122" s="147"/>
      <c r="Z122" s="144" t="str">
        <f t="shared" si="9"/>
        <v/>
      </c>
      <c r="AA122" s="138"/>
      <c r="AB122" s="148" t="str">
        <f t="shared" ca="1" si="11"/>
        <v/>
      </c>
      <c r="AC122" s="226"/>
      <c r="AD122" s="210"/>
      <c r="AE122" s="350"/>
      <c r="AF122" s="353"/>
      <c r="AG122" s="350"/>
      <c r="AH122" s="215"/>
    </row>
    <row r="123" spans="1:34" ht="63" customHeight="1" x14ac:dyDescent="0.25">
      <c r="A123" s="153" t="s">
        <v>964</v>
      </c>
      <c r="B123" s="142"/>
      <c r="C123" s="135"/>
      <c r="D123" s="136"/>
      <c r="E123" s="216"/>
      <c r="F123" s="463"/>
      <c r="G123" s="145"/>
      <c r="H123" s="146"/>
      <c r="I123" s="151"/>
      <c r="J123" s="150"/>
      <c r="K123" s="134"/>
      <c r="L123" s="137"/>
      <c r="M123" s="138"/>
      <c r="N123" s="138"/>
      <c r="O123" s="149" t="str">
        <f t="shared" si="10"/>
        <v/>
      </c>
      <c r="P123" s="470" t="str">
        <f>IFERROR(IF(L123="avec arrêt",IF(MONTH(N123)='Liste AT'!$X$2,0,N123-EOMONTH('Stats AT BDD'!$X$2,0)),""),"")</f>
        <v/>
      </c>
      <c r="Q123" s="139"/>
      <c r="R123" s="140"/>
      <c r="S123" s="140"/>
      <c r="T123" s="141"/>
      <c r="U123" s="143"/>
      <c r="V123" s="137"/>
      <c r="W123" s="137"/>
      <c r="X123" s="141"/>
      <c r="Y123" s="147"/>
      <c r="Z123" s="144" t="str">
        <f t="shared" si="9"/>
        <v/>
      </c>
      <c r="AA123" s="138"/>
      <c r="AB123" s="148" t="str">
        <f t="shared" ca="1" si="11"/>
        <v/>
      </c>
      <c r="AC123" s="226"/>
      <c r="AD123" s="210"/>
      <c r="AE123" s="350"/>
      <c r="AF123" s="353"/>
      <c r="AG123" s="350"/>
      <c r="AH123" s="215"/>
    </row>
    <row r="124" spans="1:34" ht="63" customHeight="1" x14ac:dyDescent="0.25">
      <c r="A124" s="153" t="s">
        <v>965</v>
      </c>
      <c r="B124" s="142"/>
      <c r="C124" s="135"/>
      <c r="D124" s="136"/>
      <c r="E124" s="216"/>
      <c r="F124" s="463"/>
      <c r="G124" s="145"/>
      <c r="H124" s="146"/>
      <c r="I124" s="151"/>
      <c r="J124" s="150"/>
      <c r="K124" s="134"/>
      <c r="L124" s="137"/>
      <c r="M124" s="138"/>
      <c r="N124" s="138"/>
      <c r="O124" s="149" t="str">
        <f t="shared" si="10"/>
        <v/>
      </c>
      <c r="P124" s="470" t="str">
        <f>IFERROR(IF(L124="avec arrêt",IF(MONTH(N124)='Liste AT'!$X$2,0,N124-EOMONTH('Stats AT BDD'!$X$2,0)),""),"")</f>
        <v/>
      </c>
      <c r="Q124" s="139"/>
      <c r="R124" s="140"/>
      <c r="S124" s="140"/>
      <c r="T124" s="141"/>
      <c r="U124" s="143"/>
      <c r="V124" s="137"/>
      <c r="W124" s="137"/>
      <c r="X124" s="141"/>
      <c r="Y124" s="147"/>
      <c r="Z124" s="144" t="str">
        <f t="shared" si="9"/>
        <v/>
      </c>
      <c r="AA124" s="138"/>
      <c r="AB124" s="148" t="str">
        <f t="shared" ca="1" si="11"/>
        <v/>
      </c>
      <c r="AC124" s="226"/>
      <c r="AD124" s="210"/>
      <c r="AE124" s="350"/>
      <c r="AF124" s="353"/>
      <c r="AG124" s="350"/>
      <c r="AH124" s="215"/>
    </row>
    <row r="125" spans="1:34" ht="63" customHeight="1" x14ac:dyDescent="0.25">
      <c r="A125" s="153" t="s">
        <v>966</v>
      </c>
      <c r="B125" s="142"/>
      <c r="C125" s="135"/>
      <c r="D125" s="136"/>
      <c r="E125" s="216"/>
      <c r="F125" s="463"/>
      <c r="G125" s="145"/>
      <c r="H125" s="146"/>
      <c r="I125" s="151"/>
      <c r="J125" s="150"/>
      <c r="K125" s="134"/>
      <c r="L125" s="137"/>
      <c r="M125" s="138"/>
      <c r="N125" s="138"/>
      <c r="O125" s="149" t="str">
        <f t="shared" si="10"/>
        <v/>
      </c>
      <c r="P125" s="470" t="str">
        <f>IFERROR(IF(L125="avec arrêt",IF(MONTH(N125)='Liste AT'!$X$2,0,N125-EOMONTH('Stats AT BDD'!$X$2,0)),""),"")</f>
        <v/>
      </c>
      <c r="Q125" s="139"/>
      <c r="R125" s="140"/>
      <c r="S125" s="140"/>
      <c r="T125" s="141"/>
      <c r="U125" s="143"/>
      <c r="V125" s="137"/>
      <c r="W125" s="137"/>
      <c r="X125" s="141"/>
      <c r="Y125" s="147"/>
      <c r="Z125" s="144" t="str">
        <f t="shared" si="9"/>
        <v/>
      </c>
      <c r="AA125" s="138"/>
      <c r="AB125" s="148" t="str">
        <f t="shared" ca="1" si="11"/>
        <v/>
      </c>
      <c r="AC125" s="226"/>
      <c r="AD125" s="210"/>
      <c r="AE125" s="350"/>
      <c r="AF125" s="353"/>
      <c r="AG125" s="350"/>
      <c r="AH125" s="215"/>
    </row>
    <row r="126" spans="1:34" ht="63" customHeight="1" x14ac:dyDescent="0.25">
      <c r="A126" s="153" t="s">
        <v>967</v>
      </c>
      <c r="B126" s="142"/>
      <c r="C126" s="135"/>
      <c r="D126" s="136"/>
      <c r="E126" s="216"/>
      <c r="F126" s="463"/>
      <c r="G126" s="145"/>
      <c r="H126" s="146"/>
      <c r="I126" s="151"/>
      <c r="J126" s="150"/>
      <c r="K126" s="134"/>
      <c r="L126" s="137"/>
      <c r="M126" s="138"/>
      <c r="N126" s="138"/>
      <c r="O126" s="149" t="str">
        <f t="shared" si="10"/>
        <v/>
      </c>
      <c r="P126" s="470" t="str">
        <f>IFERROR(IF(L126="avec arrêt",IF(MONTH(N126)='Liste AT'!$X$2,0,N126-EOMONTH('Stats AT BDD'!$X$2,0)),""),"")</f>
        <v/>
      </c>
      <c r="Q126" s="139"/>
      <c r="R126" s="140"/>
      <c r="S126" s="140"/>
      <c r="T126" s="141"/>
      <c r="U126" s="143"/>
      <c r="V126" s="137"/>
      <c r="W126" s="137"/>
      <c r="X126" s="141"/>
      <c r="Y126" s="147"/>
      <c r="Z126" s="144" t="str">
        <f t="shared" ref="Z126:Z189" si="12">IF(ISBLANK(I126),"",I126+7)</f>
        <v/>
      </c>
      <c r="AA126" s="138"/>
      <c r="AB126" s="148" t="str">
        <f t="shared" ca="1" si="11"/>
        <v/>
      </c>
      <c r="AC126" s="226"/>
      <c r="AD126" s="210"/>
      <c r="AE126" s="350"/>
      <c r="AF126" s="353"/>
      <c r="AG126" s="350"/>
      <c r="AH126" s="215"/>
    </row>
    <row r="127" spans="1:34" ht="63" customHeight="1" x14ac:dyDescent="0.25">
      <c r="A127" s="153" t="s">
        <v>968</v>
      </c>
      <c r="B127" s="142"/>
      <c r="C127" s="135"/>
      <c r="D127" s="136"/>
      <c r="E127" s="216"/>
      <c r="F127" s="463"/>
      <c r="G127" s="145"/>
      <c r="H127" s="146"/>
      <c r="I127" s="151"/>
      <c r="J127" s="150"/>
      <c r="K127" s="134"/>
      <c r="L127" s="137"/>
      <c r="M127" s="138"/>
      <c r="N127" s="138"/>
      <c r="O127" s="149" t="str">
        <f t="shared" si="10"/>
        <v/>
      </c>
      <c r="P127" s="470" t="str">
        <f>IFERROR(IF(L127="avec arrêt",IF(MONTH(N127)='Liste AT'!$X$2,0,N127-EOMONTH('Stats AT BDD'!$X$2,0)),""),"")</f>
        <v/>
      </c>
      <c r="Q127" s="139"/>
      <c r="R127" s="140"/>
      <c r="S127" s="140"/>
      <c r="T127" s="141"/>
      <c r="U127" s="143"/>
      <c r="V127" s="137"/>
      <c r="W127" s="137"/>
      <c r="X127" s="141"/>
      <c r="Y127" s="147"/>
      <c r="Z127" s="144" t="str">
        <f t="shared" si="12"/>
        <v/>
      </c>
      <c r="AA127" s="138"/>
      <c r="AB127" s="148" t="str">
        <f t="shared" ca="1" si="11"/>
        <v/>
      </c>
      <c r="AC127" s="226"/>
      <c r="AD127" s="210"/>
      <c r="AE127" s="350"/>
      <c r="AF127" s="353"/>
      <c r="AG127" s="350"/>
      <c r="AH127" s="215"/>
    </row>
    <row r="128" spans="1:34" ht="63" customHeight="1" x14ac:dyDescent="0.25">
      <c r="A128" s="153" t="s">
        <v>969</v>
      </c>
      <c r="B128" s="142"/>
      <c r="C128" s="135"/>
      <c r="D128" s="136"/>
      <c r="E128" s="216"/>
      <c r="F128" s="463"/>
      <c r="G128" s="145"/>
      <c r="H128" s="146"/>
      <c r="I128" s="151"/>
      <c r="J128" s="150"/>
      <c r="K128" s="134"/>
      <c r="L128" s="137"/>
      <c r="M128" s="138"/>
      <c r="N128" s="138"/>
      <c r="O128" s="149" t="str">
        <f t="shared" si="10"/>
        <v/>
      </c>
      <c r="P128" s="470" t="str">
        <f>IFERROR(IF(L128="avec arrêt",IF(MONTH(N128)='Liste AT'!$X$2,0,N128-EOMONTH('Stats AT BDD'!$X$2,0)),""),"")</f>
        <v/>
      </c>
      <c r="Q128" s="139"/>
      <c r="R128" s="140"/>
      <c r="S128" s="140"/>
      <c r="T128" s="141"/>
      <c r="U128" s="143"/>
      <c r="V128" s="137"/>
      <c r="W128" s="137"/>
      <c r="X128" s="141"/>
      <c r="Y128" s="147"/>
      <c r="Z128" s="144" t="str">
        <f t="shared" si="12"/>
        <v/>
      </c>
      <c r="AA128" s="138"/>
      <c r="AB128" s="148" t="str">
        <f t="shared" ca="1" si="11"/>
        <v/>
      </c>
      <c r="AC128" s="226"/>
      <c r="AD128" s="210"/>
      <c r="AE128" s="350"/>
      <c r="AF128" s="353"/>
      <c r="AG128" s="350"/>
      <c r="AH128" s="215"/>
    </row>
    <row r="129" spans="1:34" ht="63" customHeight="1" x14ac:dyDescent="0.25">
      <c r="A129" s="153" t="s">
        <v>970</v>
      </c>
      <c r="B129" s="142"/>
      <c r="C129" s="135"/>
      <c r="D129" s="136"/>
      <c r="E129" s="216"/>
      <c r="F129" s="463"/>
      <c r="G129" s="145"/>
      <c r="H129" s="146"/>
      <c r="I129" s="151"/>
      <c r="J129" s="150"/>
      <c r="K129" s="134"/>
      <c r="L129" s="137"/>
      <c r="M129" s="138"/>
      <c r="N129" s="138"/>
      <c r="O129" s="149" t="str">
        <f t="shared" si="10"/>
        <v/>
      </c>
      <c r="P129" s="470" t="str">
        <f>IFERROR(IF(L129="avec arrêt",IF(MONTH(N129)='Liste AT'!$X$2,0,N129-EOMONTH('Stats AT BDD'!$X$2,0)),""),"")</f>
        <v/>
      </c>
      <c r="Q129" s="139"/>
      <c r="R129" s="140"/>
      <c r="S129" s="140"/>
      <c r="T129" s="141"/>
      <c r="U129" s="143"/>
      <c r="V129" s="137"/>
      <c r="W129" s="137"/>
      <c r="X129" s="141"/>
      <c r="Y129" s="147"/>
      <c r="Z129" s="144" t="str">
        <f t="shared" si="12"/>
        <v/>
      </c>
      <c r="AA129" s="138"/>
      <c r="AB129" s="148" t="str">
        <f t="shared" ca="1" si="11"/>
        <v/>
      </c>
      <c r="AC129" s="226"/>
      <c r="AD129" s="210"/>
      <c r="AE129" s="350"/>
      <c r="AF129" s="353"/>
      <c r="AG129" s="350"/>
      <c r="AH129" s="215"/>
    </row>
    <row r="130" spans="1:34" ht="63" customHeight="1" x14ac:dyDescent="0.25">
      <c r="A130" s="153" t="s">
        <v>971</v>
      </c>
      <c r="B130" s="142"/>
      <c r="C130" s="135"/>
      <c r="D130" s="136"/>
      <c r="E130" s="216"/>
      <c r="F130" s="463"/>
      <c r="G130" s="145"/>
      <c r="H130" s="146"/>
      <c r="I130" s="151"/>
      <c r="J130" s="150"/>
      <c r="K130" s="134"/>
      <c r="L130" s="137"/>
      <c r="M130" s="138"/>
      <c r="N130" s="138"/>
      <c r="O130" s="149" t="str">
        <f t="shared" si="10"/>
        <v/>
      </c>
      <c r="P130" s="470" t="str">
        <f>IFERROR(IF(L130="avec arrêt",IF(MONTH(N130)='Liste AT'!$X$2,0,N130-EOMONTH('Stats AT BDD'!$X$2,0)),""),"")</f>
        <v/>
      </c>
      <c r="Q130" s="139"/>
      <c r="R130" s="140"/>
      <c r="S130" s="140"/>
      <c r="T130" s="141"/>
      <c r="U130" s="143"/>
      <c r="V130" s="137"/>
      <c r="W130" s="137"/>
      <c r="X130" s="141"/>
      <c r="Y130" s="147"/>
      <c r="Z130" s="144" t="str">
        <f t="shared" si="12"/>
        <v/>
      </c>
      <c r="AA130" s="138"/>
      <c r="AB130" s="148" t="str">
        <f t="shared" ca="1" si="11"/>
        <v/>
      </c>
      <c r="AC130" s="226"/>
      <c r="AD130" s="210"/>
      <c r="AE130" s="350"/>
      <c r="AF130" s="353"/>
      <c r="AG130" s="350"/>
      <c r="AH130" s="215"/>
    </row>
    <row r="131" spans="1:34" ht="63" customHeight="1" x14ac:dyDescent="0.25">
      <c r="A131" s="153" t="s">
        <v>972</v>
      </c>
      <c r="B131" s="142"/>
      <c r="C131" s="135"/>
      <c r="D131" s="136"/>
      <c r="E131" s="216"/>
      <c r="F131" s="463"/>
      <c r="G131" s="145"/>
      <c r="H131" s="146"/>
      <c r="I131" s="151"/>
      <c r="J131" s="150"/>
      <c r="K131" s="134"/>
      <c r="L131" s="137"/>
      <c r="M131" s="138"/>
      <c r="N131" s="138"/>
      <c r="O131" s="149" t="str">
        <f t="shared" si="10"/>
        <v/>
      </c>
      <c r="P131" s="470" t="str">
        <f>IFERROR(IF(L131="avec arrêt",IF(MONTH(N131)='Liste AT'!$X$2,0,N131-EOMONTH('Stats AT BDD'!$X$2,0)),""),"")</f>
        <v/>
      </c>
      <c r="Q131" s="139"/>
      <c r="R131" s="140"/>
      <c r="S131" s="140"/>
      <c r="T131" s="141"/>
      <c r="U131" s="143"/>
      <c r="V131" s="137"/>
      <c r="W131" s="137"/>
      <c r="X131" s="141"/>
      <c r="Y131" s="147"/>
      <c r="Z131" s="144" t="str">
        <f t="shared" si="12"/>
        <v/>
      </c>
      <c r="AA131" s="138"/>
      <c r="AB131" s="148" t="str">
        <f t="shared" ca="1" si="11"/>
        <v/>
      </c>
      <c r="AC131" s="226"/>
      <c r="AD131" s="210"/>
      <c r="AE131" s="350"/>
      <c r="AF131" s="353"/>
      <c r="AG131" s="350"/>
      <c r="AH131" s="215"/>
    </row>
    <row r="132" spans="1:34" ht="63" customHeight="1" x14ac:dyDescent="0.25">
      <c r="A132" s="153" t="s">
        <v>973</v>
      </c>
      <c r="B132" s="142"/>
      <c r="C132" s="135"/>
      <c r="D132" s="136"/>
      <c r="E132" s="216"/>
      <c r="F132" s="463"/>
      <c r="G132" s="145"/>
      <c r="H132" s="146"/>
      <c r="I132" s="151"/>
      <c r="J132" s="150"/>
      <c r="K132" s="134"/>
      <c r="L132" s="137"/>
      <c r="M132" s="138"/>
      <c r="N132" s="138"/>
      <c r="O132" s="149" t="str">
        <f t="shared" si="10"/>
        <v/>
      </c>
      <c r="P132" s="470" t="str">
        <f>IFERROR(IF(L132="avec arrêt",IF(MONTH(N132)='Liste AT'!$X$2,0,N132-EOMONTH('Stats AT BDD'!$X$2,0)),""),"")</f>
        <v/>
      </c>
      <c r="Q132" s="139"/>
      <c r="R132" s="140"/>
      <c r="S132" s="140"/>
      <c r="T132" s="141"/>
      <c r="U132" s="143"/>
      <c r="V132" s="137"/>
      <c r="W132" s="137"/>
      <c r="X132" s="141"/>
      <c r="Y132" s="147"/>
      <c r="Z132" s="144" t="str">
        <f t="shared" si="12"/>
        <v/>
      </c>
      <c r="AA132" s="138"/>
      <c r="AB132" s="148" t="str">
        <f t="shared" ca="1" si="11"/>
        <v/>
      </c>
      <c r="AC132" s="226"/>
      <c r="AD132" s="210"/>
      <c r="AE132" s="350"/>
      <c r="AF132" s="353"/>
      <c r="AG132" s="350"/>
      <c r="AH132" s="215"/>
    </row>
    <row r="133" spans="1:34" ht="63" customHeight="1" x14ac:dyDescent="0.25">
      <c r="A133" s="153" t="s">
        <v>974</v>
      </c>
      <c r="B133" s="142"/>
      <c r="C133" s="135"/>
      <c r="D133" s="136"/>
      <c r="E133" s="216"/>
      <c r="F133" s="463"/>
      <c r="G133" s="145"/>
      <c r="H133" s="146"/>
      <c r="I133" s="151"/>
      <c r="J133" s="150"/>
      <c r="K133" s="134"/>
      <c r="L133" s="137"/>
      <c r="M133" s="138"/>
      <c r="N133" s="138"/>
      <c r="O133" s="149" t="str">
        <f t="shared" si="10"/>
        <v/>
      </c>
      <c r="P133" s="470" t="str">
        <f>IFERROR(IF(L133="avec arrêt",IF(MONTH(N133)='Liste AT'!$X$2,0,N133-EOMONTH('Stats AT BDD'!$X$2,0)),""),"")</f>
        <v/>
      </c>
      <c r="Q133" s="139"/>
      <c r="R133" s="140"/>
      <c r="S133" s="140"/>
      <c r="T133" s="141"/>
      <c r="U133" s="143"/>
      <c r="V133" s="137"/>
      <c r="W133" s="137"/>
      <c r="X133" s="141"/>
      <c r="Y133" s="147"/>
      <c r="Z133" s="144" t="str">
        <f t="shared" si="12"/>
        <v/>
      </c>
      <c r="AA133" s="138"/>
      <c r="AB133" s="148" t="str">
        <f t="shared" ca="1" si="11"/>
        <v/>
      </c>
      <c r="AC133" s="226"/>
      <c r="AD133" s="210"/>
      <c r="AE133" s="350"/>
      <c r="AF133" s="353"/>
      <c r="AG133" s="350"/>
      <c r="AH133" s="215"/>
    </row>
    <row r="134" spans="1:34" ht="63" customHeight="1" x14ac:dyDescent="0.25">
      <c r="A134" s="153" t="s">
        <v>975</v>
      </c>
      <c r="B134" s="142"/>
      <c r="C134" s="135"/>
      <c r="D134" s="136"/>
      <c r="E134" s="216"/>
      <c r="F134" s="463"/>
      <c r="G134" s="145"/>
      <c r="H134" s="146"/>
      <c r="I134" s="151"/>
      <c r="J134" s="150"/>
      <c r="K134" s="134"/>
      <c r="L134" s="137"/>
      <c r="M134" s="138"/>
      <c r="N134" s="138"/>
      <c r="O134" s="149" t="str">
        <f t="shared" si="10"/>
        <v/>
      </c>
      <c r="P134" s="470" t="str">
        <f>IFERROR(IF(L134="avec arrêt",IF(MONTH(N134)='Liste AT'!$X$2,0,N134-EOMONTH('Stats AT BDD'!$X$2,0)),""),"")</f>
        <v/>
      </c>
      <c r="Q134" s="139"/>
      <c r="R134" s="140"/>
      <c r="S134" s="140"/>
      <c r="T134" s="141"/>
      <c r="U134" s="143"/>
      <c r="V134" s="137"/>
      <c r="W134" s="137"/>
      <c r="X134" s="141"/>
      <c r="Y134" s="147"/>
      <c r="Z134" s="144" t="str">
        <f t="shared" si="12"/>
        <v/>
      </c>
      <c r="AA134" s="138"/>
      <c r="AB134" s="148" t="str">
        <f t="shared" ca="1" si="11"/>
        <v/>
      </c>
      <c r="AC134" s="226"/>
      <c r="AD134" s="210"/>
      <c r="AE134" s="350"/>
      <c r="AF134" s="353"/>
      <c r="AG134" s="350"/>
      <c r="AH134" s="215"/>
    </row>
    <row r="135" spans="1:34" ht="63" customHeight="1" x14ac:dyDescent="0.25">
      <c r="A135" s="153" t="s">
        <v>976</v>
      </c>
      <c r="B135" s="142"/>
      <c r="C135" s="135"/>
      <c r="D135" s="136"/>
      <c r="E135" s="216"/>
      <c r="F135" s="463"/>
      <c r="G135" s="145"/>
      <c r="H135" s="146"/>
      <c r="I135" s="151"/>
      <c r="J135" s="150"/>
      <c r="K135" s="134"/>
      <c r="L135" s="137"/>
      <c r="M135" s="138"/>
      <c r="N135" s="138"/>
      <c r="O135" s="149" t="str">
        <f t="shared" ref="O135:O198" si="13">IF(L135="avec arrêt",(N135-M135)+1,"")</f>
        <v/>
      </c>
      <c r="P135" s="470" t="str">
        <f>IFERROR(IF(L135="avec arrêt",IF(MONTH(N135)='Liste AT'!$X$2,0,N135-EOMONTH('Stats AT BDD'!$X$2,0)),""),"")</f>
        <v/>
      </c>
      <c r="Q135" s="139"/>
      <c r="R135" s="140"/>
      <c r="S135" s="140"/>
      <c r="T135" s="141"/>
      <c r="U135" s="143"/>
      <c r="V135" s="137"/>
      <c r="W135" s="137"/>
      <c r="X135" s="214"/>
      <c r="Y135" s="220"/>
      <c r="Z135" s="144" t="str">
        <f t="shared" si="12"/>
        <v/>
      </c>
      <c r="AA135" s="138"/>
      <c r="AB135" s="148" t="str">
        <f t="shared" ca="1" si="11"/>
        <v/>
      </c>
      <c r="AC135" s="226"/>
      <c r="AD135" s="210"/>
      <c r="AE135" s="350"/>
      <c r="AF135" s="353"/>
      <c r="AG135" s="350"/>
      <c r="AH135" s="215"/>
    </row>
    <row r="136" spans="1:34" ht="63" customHeight="1" x14ac:dyDescent="0.25">
      <c r="A136" s="153" t="s">
        <v>977</v>
      </c>
      <c r="B136" s="142"/>
      <c r="C136" s="135"/>
      <c r="D136" s="136"/>
      <c r="E136" s="216"/>
      <c r="F136" s="463"/>
      <c r="G136" s="145"/>
      <c r="H136" s="146"/>
      <c r="I136" s="151"/>
      <c r="J136" s="150"/>
      <c r="K136" s="134"/>
      <c r="L136" s="137"/>
      <c r="M136" s="138"/>
      <c r="N136" s="138"/>
      <c r="O136" s="149" t="str">
        <f t="shared" si="13"/>
        <v/>
      </c>
      <c r="P136" s="470" t="str">
        <f>IFERROR(IF(L136="avec arrêt",IF(MONTH(N136)='Liste AT'!$X$2,0,N136-EOMONTH('Stats AT BDD'!$X$2,0)),""),"")</f>
        <v/>
      </c>
      <c r="Q136" s="139"/>
      <c r="R136" s="140"/>
      <c r="S136" s="140"/>
      <c r="T136" s="141"/>
      <c r="U136" s="143"/>
      <c r="V136" s="137"/>
      <c r="W136" s="137"/>
      <c r="X136" s="141"/>
      <c r="Y136" s="147"/>
      <c r="Z136" s="144" t="str">
        <f t="shared" si="12"/>
        <v/>
      </c>
      <c r="AA136" s="138"/>
      <c r="AB136" s="148" t="str">
        <f t="shared" ca="1" si="11"/>
        <v/>
      </c>
      <c r="AC136" s="226"/>
      <c r="AD136" s="210"/>
      <c r="AE136" s="350"/>
      <c r="AF136" s="353"/>
      <c r="AG136" s="350"/>
      <c r="AH136" s="215"/>
    </row>
    <row r="137" spans="1:34" ht="63" customHeight="1" x14ac:dyDescent="0.25">
      <c r="A137" s="153" t="s">
        <v>978</v>
      </c>
      <c r="B137" s="142"/>
      <c r="C137" s="135"/>
      <c r="D137" s="136"/>
      <c r="E137" s="216"/>
      <c r="F137" s="463"/>
      <c r="G137" s="145"/>
      <c r="H137" s="146"/>
      <c r="I137" s="151"/>
      <c r="J137" s="150"/>
      <c r="K137" s="134"/>
      <c r="L137" s="137"/>
      <c r="M137" s="138"/>
      <c r="N137" s="138"/>
      <c r="O137" s="149" t="str">
        <f t="shared" si="13"/>
        <v/>
      </c>
      <c r="P137" s="470" t="str">
        <f>IFERROR(IF(L137="avec arrêt",IF(MONTH(N137)='Liste AT'!$X$2,0,N137-EOMONTH('Stats AT BDD'!$X$2,0)),""),"")</f>
        <v/>
      </c>
      <c r="Q137" s="139"/>
      <c r="R137" s="140"/>
      <c r="S137" s="140"/>
      <c r="T137" s="141"/>
      <c r="U137" s="143"/>
      <c r="V137" s="137"/>
      <c r="W137" s="137"/>
      <c r="X137" s="141"/>
      <c r="Y137" s="147"/>
      <c r="Z137" s="144" t="str">
        <f t="shared" si="12"/>
        <v/>
      </c>
      <c r="AA137" s="138"/>
      <c r="AB137" s="148" t="str">
        <f t="shared" ca="1" si="11"/>
        <v/>
      </c>
      <c r="AC137" s="226"/>
      <c r="AD137" s="210"/>
      <c r="AE137" s="350"/>
      <c r="AF137" s="353"/>
      <c r="AG137" s="350"/>
      <c r="AH137" s="215"/>
    </row>
    <row r="138" spans="1:34" ht="63" customHeight="1" x14ac:dyDescent="0.25">
      <c r="A138" s="153" t="s">
        <v>979</v>
      </c>
      <c r="B138" s="142"/>
      <c r="C138" s="135"/>
      <c r="D138" s="136"/>
      <c r="E138" s="216"/>
      <c r="F138" s="463"/>
      <c r="G138" s="145"/>
      <c r="H138" s="146"/>
      <c r="I138" s="151"/>
      <c r="J138" s="150"/>
      <c r="K138" s="134"/>
      <c r="L138" s="137"/>
      <c r="M138" s="138"/>
      <c r="N138" s="138"/>
      <c r="O138" s="149" t="str">
        <f t="shared" si="13"/>
        <v/>
      </c>
      <c r="P138" s="470" t="str">
        <f>IFERROR(IF(L138="avec arrêt",IF(MONTH(N138)='Liste AT'!$X$2,0,N138-EOMONTH('Stats AT BDD'!$X$2,0)),""),"")</f>
        <v/>
      </c>
      <c r="Q138" s="139"/>
      <c r="R138" s="140"/>
      <c r="S138" s="140"/>
      <c r="T138" s="141"/>
      <c r="U138" s="143"/>
      <c r="V138" s="137"/>
      <c r="W138" s="137"/>
      <c r="X138" s="141"/>
      <c r="Y138" s="147"/>
      <c r="Z138" s="144" t="str">
        <f t="shared" si="12"/>
        <v/>
      </c>
      <c r="AA138" s="138"/>
      <c r="AB138" s="148" t="str">
        <f t="shared" ca="1" si="11"/>
        <v/>
      </c>
      <c r="AC138" s="226"/>
      <c r="AD138" s="210"/>
      <c r="AE138" s="350"/>
      <c r="AF138" s="353"/>
      <c r="AG138" s="350"/>
      <c r="AH138" s="215"/>
    </row>
    <row r="139" spans="1:34" ht="63" customHeight="1" x14ac:dyDescent="0.25">
      <c r="A139" s="153" t="s">
        <v>980</v>
      </c>
      <c r="B139" s="142"/>
      <c r="C139" s="135"/>
      <c r="D139" s="136"/>
      <c r="E139" s="216"/>
      <c r="F139" s="463"/>
      <c r="G139" s="145"/>
      <c r="H139" s="146"/>
      <c r="I139" s="151"/>
      <c r="J139" s="150"/>
      <c r="K139" s="134"/>
      <c r="L139" s="137"/>
      <c r="M139" s="138"/>
      <c r="N139" s="138"/>
      <c r="O139" s="149" t="str">
        <f t="shared" si="13"/>
        <v/>
      </c>
      <c r="P139" s="470" t="str">
        <f>IFERROR(IF(L139="avec arrêt",IF(MONTH(N139)='Liste AT'!$X$2,0,N139-EOMONTH('Stats AT BDD'!$X$2,0)),""),"")</f>
        <v/>
      </c>
      <c r="Q139" s="139"/>
      <c r="R139" s="140"/>
      <c r="S139" s="140"/>
      <c r="T139" s="141"/>
      <c r="U139" s="143"/>
      <c r="V139" s="137"/>
      <c r="W139" s="137"/>
      <c r="X139" s="141"/>
      <c r="Y139" s="147"/>
      <c r="Z139" s="144" t="str">
        <f t="shared" si="12"/>
        <v/>
      </c>
      <c r="AA139" s="138"/>
      <c r="AB139" s="148" t="str">
        <f t="shared" ca="1" si="11"/>
        <v/>
      </c>
      <c r="AC139" s="226"/>
      <c r="AD139" s="210"/>
      <c r="AE139" s="350"/>
      <c r="AF139" s="353"/>
      <c r="AG139" s="350"/>
      <c r="AH139" s="215"/>
    </row>
    <row r="140" spans="1:34" ht="63" customHeight="1" x14ac:dyDescent="0.25">
      <c r="A140" s="153" t="s">
        <v>981</v>
      </c>
      <c r="B140" s="142"/>
      <c r="C140" s="135"/>
      <c r="D140" s="136"/>
      <c r="E140" s="216"/>
      <c r="F140" s="463"/>
      <c r="G140" s="145"/>
      <c r="H140" s="146"/>
      <c r="I140" s="151"/>
      <c r="J140" s="150"/>
      <c r="K140" s="134"/>
      <c r="L140" s="137"/>
      <c r="M140" s="138"/>
      <c r="N140" s="138"/>
      <c r="O140" s="149" t="str">
        <f t="shared" si="13"/>
        <v/>
      </c>
      <c r="P140" s="470" t="str">
        <f>IFERROR(IF(L140="avec arrêt",IF(MONTH(N140)='Liste AT'!$X$2,0,N140-EOMONTH('Stats AT BDD'!$X$2,0)),""),"")</f>
        <v/>
      </c>
      <c r="Q140" s="139"/>
      <c r="R140" s="140"/>
      <c r="S140" s="140"/>
      <c r="T140" s="141"/>
      <c r="U140" s="143"/>
      <c r="V140" s="137"/>
      <c r="W140" s="137"/>
      <c r="X140" s="141"/>
      <c r="Y140" s="147"/>
      <c r="Z140" s="144" t="str">
        <f t="shared" si="12"/>
        <v/>
      </c>
      <c r="AA140" s="138"/>
      <c r="AB140" s="148" t="str">
        <f t="shared" ca="1" si="11"/>
        <v/>
      </c>
      <c r="AC140" s="226"/>
      <c r="AD140" s="210"/>
      <c r="AE140" s="350"/>
      <c r="AF140" s="353"/>
      <c r="AG140" s="350"/>
      <c r="AH140" s="215"/>
    </row>
    <row r="141" spans="1:34" ht="63" customHeight="1" x14ac:dyDescent="0.25">
      <c r="A141" s="153" t="s">
        <v>982</v>
      </c>
      <c r="B141" s="142"/>
      <c r="C141" s="135"/>
      <c r="D141" s="136"/>
      <c r="E141" s="216"/>
      <c r="F141" s="463"/>
      <c r="G141" s="145"/>
      <c r="H141" s="146"/>
      <c r="I141" s="151"/>
      <c r="J141" s="150"/>
      <c r="K141" s="134"/>
      <c r="L141" s="137"/>
      <c r="M141" s="138"/>
      <c r="N141" s="138"/>
      <c r="O141" s="149" t="str">
        <f t="shared" si="13"/>
        <v/>
      </c>
      <c r="P141" s="470" t="str">
        <f>IFERROR(IF(L141="avec arrêt",IF(MONTH(N141)='Liste AT'!$X$2,0,N141-EOMONTH('Stats AT BDD'!$X$2,0)),""),"")</f>
        <v/>
      </c>
      <c r="Q141" s="139"/>
      <c r="R141" s="140"/>
      <c r="S141" s="140"/>
      <c r="T141" s="141"/>
      <c r="U141" s="143"/>
      <c r="V141" s="137"/>
      <c r="W141" s="137"/>
      <c r="X141" s="141"/>
      <c r="Y141" s="147"/>
      <c r="Z141" s="144" t="str">
        <f t="shared" si="12"/>
        <v/>
      </c>
      <c r="AA141" s="138"/>
      <c r="AB141" s="148" t="str">
        <f t="shared" ca="1" si="11"/>
        <v/>
      </c>
      <c r="AC141" s="226"/>
      <c r="AD141" s="210"/>
      <c r="AE141" s="350"/>
      <c r="AF141" s="353"/>
      <c r="AG141" s="350"/>
      <c r="AH141" s="215"/>
    </row>
    <row r="142" spans="1:34" ht="63" customHeight="1" x14ac:dyDescent="0.25">
      <c r="A142" s="153" t="s">
        <v>983</v>
      </c>
      <c r="B142" s="142"/>
      <c r="C142" s="135"/>
      <c r="D142" s="136"/>
      <c r="E142" s="216"/>
      <c r="F142" s="463"/>
      <c r="G142" s="145"/>
      <c r="H142" s="146"/>
      <c r="I142" s="151"/>
      <c r="J142" s="150"/>
      <c r="K142" s="134"/>
      <c r="L142" s="137"/>
      <c r="M142" s="138"/>
      <c r="N142" s="138"/>
      <c r="O142" s="149" t="str">
        <f t="shared" si="13"/>
        <v/>
      </c>
      <c r="P142" s="470" t="str">
        <f>IFERROR(IF(L142="avec arrêt",IF(MONTH(N142)='Liste AT'!$X$2,0,N142-EOMONTH('Stats AT BDD'!$X$2,0)),""),"")</f>
        <v/>
      </c>
      <c r="Q142" s="139"/>
      <c r="R142" s="140"/>
      <c r="S142" s="140"/>
      <c r="T142" s="141"/>
      <c r="U142" s="143"/>
      <c r="V142" s="137"/>
      <c r="W142" s="137"/>
      <c r="X142" s="141"/>
      <c r="Y142" s="147"/>
      <c r="Z142" s="144" t="str">
        <f t="shared" si="12"/>
        <v/>
      </c>
      <c r="AA142" s="138"/>
      <c r="AB142" s="148" t="str">
        <f t="shared" ca="1" si="11"/>
        <v/>
      </c>
      <c r="AC142" s="226"/>
      <c r="AD142" s="210"/>
      <c r="AE142" s="350"/>
      <c r="AF142" s="353"/>
      <c r="AG142" s="350"/>
      <c r="AH142" s="215"/>
    </row>
    <row r="143" spans="1:34" ht="63" customHeight="1" x14ac:dyDescent="0.25">
      <c r="A143" s="153" t="s">
        <v>984</v>
      </c>
      <c r="B143" s="142"/>
      <c r="C143" s="135"/>
      <c r="D143" s="136"/>
      <c r="E143" s="216"/>
      <c r="F143" s="463"/>
      <c r="G143" s="145"/>
      <c r="H143" s="146"/>
      <c r="I143" s="151"/>
      <c r="J143" s="150"/>
      <c r="K143" s="134"/>
      <c r="L143" s="137"/>
      <c r="M143" s="138"/>
      <c r="N143" s="138"/>
      <c r="O143" s="149" t="str">
        <f t="shared" si="13"/>
        <v/>
      </c>
      <c r="P143" s="470" t="str">
        <f>IFERROR(IF(L143="avec arrêt",IF(MONTH(N143)='Liste AT'!$X$2,0,N143-EOMONTH('Stats AT BDD'!$X$2,0)),""),"")</f>
        <v/>
      </c>
      <c r="Q143" s="139"/>
      <c r="R143" s="140"/>
      <c r="S143" s="140"/>
      <c r="T143" s="141"/>
      <c r="U143" s="143"/>
      <c r="V143" s="137"/>
      <c r="W143" s="137"/>
      <c r="X143" s="141"/>
      <c r="Y143" s="147"/>
      <c r="Z143" s="144" t="str">
        <f t="shared" si="12"/>
        <v/>
      </c>
      <c r="AA143" s="138"/>
      <c r="AB143" s="148" t="str">
        <f t="shared" ca="1" si="11"/>
        <v/>
      </c>
      <c r="AC143" s="226"/>
      <c r="AD143" s="210"/>
      <c r="AE143" s="350"/>
      <c r="AF143" s="353"/>
      <c r="AG143" s="350"/>
      <c r="AH143" s="215"/>
    </row>
    <row r="144" spans="1:34" ht="63" customHeight="1" x14ac:dyDescent="0.25">
      <c r="A144" s="153" t="s">
        <v>985</v>
      </c>
      <c r="B144" s="142"/>
      <c r="C144" s="135"/>
      <c r="D144" s="136"/>
      <c r="E144" s="216"/>
      <c r="F144" s="463"/>
      <c r="G144" s="145"/>
      <c r="H144" s="146"/>
      <c r="I144" s="151"/>
      <c r="J144" s="150"/>
      <c r="K144" s="134"/>
      <c r="L144" s="137"/>
      <c r="M144" s="138"/>
      <c r="N144" s="138"/>
      <c r="O144" s="149" t="str">
        <f t="shared" si="13"/>
        <v/>
      </c>
      <c r="P144" s="470" t="str">
        <f>IFERROR(IF(L144="avec arrêt",IF(MONTH(N144)='Liste AT'!$X$2,0,N144-EOMONTH('Stats AT BDD'!$X$2,0)),""),"")</f>
        <v/>
      </c>
      <c r="Q144" s="139"/>
      <c r="R144" s="140"/>
      <c r="S144" s="140"/>
      <c r="T144" s="141"/>
      <c r="U144" s="143"/>
      <c r="V144" s="137"/>
      <c r="W144" s="137"/>
      <c r="X144" s="141"/>
      <c r="Y144" s="147"/>
      <c r="Z144" s="144" t="str">
        <f t="shared" si="12"/>
        <v/>
      </c>
      <c r="AA144" s="138"/>
      <c r="AB144" s="148" t="str">
        <f t="shared" ca="1" si="11"/>
        <v/>
      </c>
      <c r="AC144" s="226"/>
      <c r="AD144" s="210"/>
      <c r="AE144" s="350"/>
      <c r="AF144" s="353"/>
      <c r="AG144" s="350"/>
      <c r="AH144" s="215"/>
    </row>
    <row r="145" spans="1:34" ht="63" customHeight="1" x14ac:dyDescent="0.25">
      <c r="A145" s="153" t="s">
        <v>986</v>
      </c>
      <c r="B145" s="142"/>
      <c r="C145" s="135"/>
      <c r="D145" s="136"/>
      <c r="E145" s="216"/>
      <c r="F145" s="463"/>
      <c r="G145" s="145"/>
      <c r="H145" s="146"/>
      <c r="I145" s="151"/>
      <c r="J145" s="150"/>
      <c r="K145" s="134"/>
      <c r="L145" s="137"/>
      <c r="M145" s="138"/>
      <c r="N145" s="138"/>
      <c r="O145" s="149" t="str">
        <f t="shared" si="13"/>
        <v/>
      </c>
      <c r="P145" s="470" t="str">
        <f>IFERROR(IF(L145="avec arrêt",IF(MONTH(N145)='Liste AT'!$X$2,0,N145-EOMONTH('Stats AT BDD'!$X$2,0)),""),"")</f>
        <v/>
      </c>
      <c r="Q145" s="139"/>
      <c r="R145" s="140"/>
      <c r="S145" s="140"/>
      <c r="T145" s="141"/>
      <c r="U145" s="143"/>
      <c r="V145" s="137"/>
      <c r="W145" s="137"/>
      <c r="X145" s="141"/>
      <c r="Y145" s="147"/>
      <c r="Z145" s="144" t="str">
        <f t="shared" si="12"/>
        <v/>
      </c>
      <c r="AA145" s="138"/>
      <c r="AB145" s="148" t="str">
        <f t="shared" ca="1" si="11"/>
        <v/>
      </c>
      <c r="AC145" s="226"/>
      <c r="AD145" s="210"/>
      <c r="AE145" s="350"/>
      <c r="AF145" s="353"/>
      <c r="AG145" s="350"/>
      <c r="AH145" s="215"/>
    </row>
    <row r="146" spans="1:34" ht="63" customHeight="1" x14ac:dyDescent="0.25">
      <c r="A146" s="153" t="s">
        <v>987</v>
      </c>
      <c r="B146" s="142"/>
      <c r="C146" s="135"/>
      <c r="D146" s="136"/>
      <c r="E146" s="216"/>
      <c r="F146" s="463"/>
      <c r="G146" s="145"/>
      <c r="H146" s="146"/>
      <c r="I146" s="151"/>
      <c r="J146" s="150"/>
      <c r="K146" s="134"/>
      <c r="L146" s="137"/>
      <c r="M146" s="138"/>
      <c r="N146" s="138"/>
      <c r="O146" s="149" t="str">
        <f t="shared" si="13"/>
        <v/>
      </c>
      <c r="P146" s="470" t="str">
        <f>IFERROR(IF(L146="avec arrêt",IF(MONTH(N146)='Liste AT'!$X$2,0,N146-EOMONTH('Stats AT BDD'!$X$2,0)),""),"")</f>
        <v/>
      </c>
      <c r="Q146" s="139"/>
      <c r="R146" s="140"/>
      <c r="S146" s="140"/>
      <c r="T146" s="141"/>
      <c r="U146" s="143"/>
      <c r="V146" s="137"/>
      <c r="W146" s="137"/>
      <c r="X146" s="214"/>
      <c r="Y146" s="220"/>
      <c r="Z146" s="144" t="str">
        <f t="shared" si="12"/>
        <v/>
      </c>
      <c r="AA146" s="138"/>
      <c r="AB146" s="148" t="str">
        <f t="shared" ca="1" si="11"/>
        <v/>
      </c>
      <c r="AC146" s="226"/>
      <c r="AD146" s="210"/>
      <c r="AE146" s="350"/>
      <c r="AF146" s="353"/>
      <c r="AG146" s="350"/>
      <c r="AH146" s="215"/>
    </row>
    <row r="147" spans="1:34" ht="63" customHeight="1" x14ac:dyDescent="0.25">
      <c r="A147" s="153" t="s">
        <v>988</v>
      </c>
      <c r="B147" s="142"/>
      <c r="C147" s="135"/>
      <c r="D147" s="136"/>
      <c r="E147" s="216"/>
      <c r="F147" s="463"/>
      <c r="G147" s="145"/>
      <c r="H147" s="146"/>
      <c r="I147" s="151"/>
      <c r="J147" s="150"/>
      <c r="K147" s="134"/>
      <c r="L147" s="137"/>
      <c r="M147" s="138"/>
      <c r="N147" s="138"/>
      <c r="O147" s="149" t="str">
        <f t="shared" si="13"/>
        <v/>
      </c>
      <c r="P147" s="470" t="str">
        <f>IFERROR(IF(L147="avec arrêt",IF(MONTH(N147)='Liste AT'!$X$2,0,N147-EOMONTH('Stats AT BDD'!$X$2,0)),""),"")</f>
        <v/>
      </c>
      <c r="Q147" s="139"/>
      <c r="R147" s="140"/>
      <c r="S147" s="140"/>
      <c r="T147" s="141"/>
      <c r="U147" s="143"/>
      <c r="V147" s="137"/>
      <c r="W147" s="137"/>
      <c r="X147" s="141"/>
      <c r="Y147" s="147"/>
      <c r="Z147" s="144" t="str">
        <f t="shared" si="12"/>
        <v/>
      </c>
      <c r="AA147" s="138"/>
      <c r="AB147" s="148" t="str">
        <f t="shared" ref="AB147:AB210" ca="1" si="14">IF(ISBLANK(AA147),IF(Z147&lt;TODAY(),"non",""),IF(AA147&gt;Z147,"non","oui"))</f>
        <v/>
      </c>
      <c r="AC147" s="226"/>
      <c r="AD147" s="210"/>
      <c r="AE147" s="350"/>
      <c r="AF147" s="353"/>
      <c r="AG147" s="350"/>
      <c r="AH147" s="215"/>
    </row>
    <row r="148" spans="1:34" ht="63" customHeight="1" x14ac:dyDescent="0.25">
      <c r="A148" s="153" t="s">
        <v>989</v>
      </c>
      <c r="B148" s="142"/>
      <c r="C148" s="135"/>
      <c r="D148" s="136"/>
      <c r="E148" s="216"/>
      <c r="F148" s="463"/>
      <c r="G148" s="145"/>
      <c r="H148" s="146"/>
      <c r="I148" s="151"/>
      <c r="J148" s="150"/>
      <c r="K148" s="134"/>
      <c r="L148" s="137"/>
      <c r="M148" s="138"/>
      <c r="N148" s="138"/>
      <c r="O148" s="149" t="str">
        <f t="shared" si="13"/>
        <v/>
      </c>
      <c r="P148" s="470" t="str">
        <f>IFERROR(IF(L148="avec arrêt",IF(MONTH(N148)='Liste AT'!$X$2,0,N148-EOMONTH('Stats AT BDD'!$X$2,0)),""),"")</f>
        <v/>
      </c>
      <c r="Q148" s="139"/>
      <c r="R148" s="140"/>
      <c r="S148" s="140"/>
      <c r="T148" s="141"/>
      <c r="U148" s="143"/>
      <c r="V148" s="137"/>
      <c r="W148" s="137"/>
      <c r="X148" s="141"/>
      <c r="Y148" s="147"/>
      <c r="Z148" s="144" t="str">
        <f t="shared" si="12"/>
        <v/>
      </c>
      <c r="AA148" s="138"/>
      <c r="AB148" s="148" t="str">
        <f t="shared" ca="1" si="14"/>
        <v/>
      </c>
      <c r="AC148" s="226"/>
      <c r="AD148" s="210"/>
      <c r="AE148" s="350"/>
      <c r="AF148" s="353"/>
      <c r="AG148" s="350"/>
      <c r="AH148" s="215"/>
    </row>
    <row r="149" spans="1:34" ht="63" customHeight="1" x14ac:dyDescent="0.25">
      <c r="A149" s="153" t="s">
        <v>990</v>
      </c>
      <c r="B149" s="142"/>
      <c r="C149" s="135"/>
      <c r="D149" s="136"/>
      <c r="E149" s="216"/>
      <c r="F149" s="463"/>
      <c r="G149" s="145"/>
      <c r="H149" s="146"/>
      <c r="I149" s="151"/>
      <c r="J149" s="150"/>
      <c r="K149" s="134"/>
      <c r="L149" s="137"/>
      <c r="M149" s="138"/>
      <c r="N149" s="138"/>
      <c r="O149" s="149" t="str">
        <f t="shared" si="13"/>
        <v/>
      </c>
      <c r="P149" s="470" t="str">
        <f>IFERROR(IF(L149="avec arrêt",IF(MONTH(N149)='Liste AT'!$X$2,0,N149-EOMONTH('Stats AT BDD'!$X$2,0)),""),"")</f>
        <v/>
      </c>
      <c r="Q149" s="139"/>
      <c r="R149" s="140"/>
      <c r="S149" s="140"/>
      <c r="T149" s="141"/>
      <c r="U149" s="143"/>
      <c r="V149" s="137"/>
      <c r="W149" s="137"/>
      <c r="X149" s="141"/>
      <c r="Y149" s="147"/>
      <c r="Z149" s="144" t="str">
        <f t="shared" si="12"/>
        <v/>
      </c>
      <c r="AA149" s="138"/>
      <c r="AB149" s="148" t="str">
        <f t="shared" ca="1" si="14"/>
        <v/>
      </c>
      <c r="AC149" s="226"/>
      <c r="AD149" s="210"/>
      <c r="AE149" s="350"/>
      <c r="AF149" s="353"/>
      <c r="AG149" s="350"/>
      <c r="AH149" s="215"/>
    </row>
    <row r="150" spans="1:34" ht="63" customHeight="1" x14ac:dyDescent="0.25">
      <c r="A150" s="153" t="s">
        <v>991</v>
      </c>
      <c r="B150" s="142"/>
      <c r="C150" s="135"/>
      <c r="D150" s="136"/>
      <c r="E150" s="216"/>
      <c r="F150" s="463"/>
      <c r="G150" s="145"/>
      <c r="H150" s="146"/>
      <c r="I150" s="151"/>
      <c r="J150" s="150"/>
      <c r="K150" s="134"/>
      <c r="L150" s="137"/>
      <c r="M150" s="138"/>
      <c r="N150" s="138"/>
      <c r="O150" s="149" t="str">
        <f t="shared" si="13"/>
        <v/>
      </c>
      <c r="P150" s="470" t="str">
        <f>IFERROR(IF(L150="avec arrêt",IF(MONTH(N150)='Liste AT'!$X$2,0,N150-EOMONTH('Stats AT BDD'!$X$2,0)),""),"")</f>
        <v/>
      </c>
      <c r="Q150" s="139"/>
      <c r="R150" s="140"/>
      <c r="S150" s="140"/>
      <c r="T150" s="141"/>
      <c r="U150" s="143"/>
      <c r="V150" s="137"/>
      <c r="W150" s="137"/>
      <c r="X150" s="141"/>
      <c r="Y150" s="147"/>
      <c r="Z150" s="144" t="str">
        <f t="shared" si="12"/>
        <v/>
      </c>
      <c r="AA150" s="138"/>
      <c r="AB150" s="148" t="str">
        <f t="shared" ca="1" si="14"/>
        <v/>
      </c>
      <c r="AC150" s="226"/>
      <c r="AD150" s="210"/>
      <c r="AE150" s="350"/>
      <c r="AF150" s="353"/>
      <c r="AG150" s="350"/>
      <c r="AH150" s="215"/>
    </row>
    <row r="151" spans="1:34" ht="63" customHeight="1" x14ac:dyDescent="0.25">
      <c r="A151" s="153" t="s">
        <v>992</v>
      </c>
      <c r="B151" s="142"/>
      <c r="C151" s="135"/>
      <c r="D151" s="136"/>
      <c r="E151" s="216"/>
      <c r="F151" s="463"/>
      <c r="G151" s="145"/>
      <c r="H151" s="146"/>
      <c r="I151" s="151"/>
      <c r="J151" s="150"/>
      <c r="K151" s="134"/>
      <c r="L151" s="137"/>
      <c r="M151" s="138"/>
      <c r="N151" s="138"/>
      <c r="O151" s="149" t="str">
        <f t="shared" si="13"/>
        <v/>
      </c>
      <c r="P151" s="470" t="str">
        <f>IFERROR(IF(L151="avec arrêt",IF(MONTH(N151)='Liste AT'!$X$2,0,N151-EOMONTH('Stats AT BDD'!$X$2,0)),""),"")</f>
        <v/>
      </c>
      <c r="Q151" s="139"/>
      <c r="R151" s="140"/>
      <c r="S151" s="140"/>
      <c r="T151" s="141"/>
      <c r="U151" s="143"/>
      <c r="V151" s="137"/>
      <c r="W151" s="137"/>
      <c r="X151" s="141"/>
      <c r="Y151" s="147"/>
      <c r="Z151" s="144" t="str">
        <f t="shared" si="12"/>
        <v/>
      </c>
      <c r="AA151" s="138"/>
      <c r="AB151" s="148" t="str">
        <f t="shared" ca="1" si="14"/>
        <v/>
      </c>
      <c r="AC151" s="226"/>
      <c r="AD151" s="210"/>
      <c r="AE151" s="350"/>
      <c r="AF151" s="353"/>
      <c r="AG151" s="350"/>
      <c r="AH151" s="215"/>
    </row>
    <row r="152" spans="1:34" ht="63" customHeight="1" x14ac:dyDescent="0.25">
      <c r="A152" s="153" t="s">
        <v>993</v>
      </c>
      <c r="B152" s="142"/>
      <c r="C152" s="135"/>
      <c r="D152" s="136"/>
      <c r="E152" s="216"/>
      <c r="F152" s="463"/>
      <c r="G152" s="145"/>
      <c r="H152" s="146"/>
      <c r="I152" s="151"/>
      <c r="J152" s="150"/>
      <c r="K152" s="134"/>
      <c r="L152" s="137"/>
      <c r="M152" s="138"/>
      <c r="N152" s="138"/>
      <c r="O152" s="149" t="str">
        <f t="shared" si="13"/>
        <v/>
      </c>
      <c r="P152" s="470" t="str">
        <f>IFERROR(IF(L152="avec arrêt",IF(MONTH(N152)='Liste AT'!$X$2,0,N152-EOMONTH('Stats AT BDD'!$X$2,0)),""),"")</f>
        <v/>
      </c>
      <c r="Q152" s="139"/>
      <c r="R152" s="140"/>
      <c r="S152" s="140"/>
      <c r="T152" s="141"/>
      <c r="U152" s="143"/>
      <c r="V152" s="137"/>
      <c r="W152" s="137"/>
      <c r="X152" s="141"/>
      <c r="Y152" s="147"/>
      <c r="Z152" s="144" t="str">
        <f t="shared" si="12"/>
        <v/>
      </c>
      <c r="AA152" s="138"/>
      <c r="AB152" s="148" t="str">
        <f t="shared" ca="1" si="14"/>
        <v/>
      </c>
      <c r="AC152" s="226"/>
      <c r="AD152" s="210"/>
      <c r="AE152" s="350"/>
      <c r="AF152" s="353"/>
      <c r="AG152" s="350"/>
      <c r="AH152" s="215"/>
    </row>
    <row r="153" spans="1:34" ht="63" customHeight="1" x14ac:dyDescent="0.25">
      <c r="A153" s="153" t="s">
        <v>994</v>
      </c>
      <c r="B153" s="142"/>
      <c r="C153" s="135"/>
      <c r="D153" s="136"/>
      <c r="E153" s="216"/>
      <c r="F153" s="463"/>
      <c r="G153" s="145"/>
      <c r="H153" s="146"/>
      <c r="I153" s="151"/>
      <c r="J153" s="150"/>
      <c r="K153" s="134"/>
      <c r="L153" s="137"/>
      <c r="M153" s="138"/>
      <c r="N153" s="138"/>
      <c r="O153" s="149" t="str">
        <f t="shared" si="13"/>
        <v/>
      </c>
      <c r="P153" s="470" t="str">
        <f>IFERROR(IF(L153="avec arrêt",IF(MONTH(N153)='Liste AT'!$X$2,0,N153-EOMONTH('Stats AT BDD'!$X$2,0)),""),"")</f>
        <v/>
      </c>
      <c r="Q153" s="139"/>
      <c r="R153" s="140"/>
      <c r="S153" s="140"/>
      <c r="T153" s="141"/>
      <c r="U153" s="143"/>
      <c r="V153" s="137"/>
      <c r="W153" s="137"/>
      <c r="X153" s="141"/>
      <c r="Y153" s="147"/>
      <c r="Z153" s="144" t="str">
        <f t="shared" si="12"/>
        <v/>
      </c>
      <c r="AA153" s="138"/>
      <c r="AB153" s="148" t="str">
        <f t="shared" ca="1" si="14"/>
        <v/>
      </c>
      <c r="AC153" s="226"/>
      <c r="AD153" s="210"/>
      <c r="AE153" s="350"/>
      <c r="AF153" s="353"/>
      <c r="AG153" s="350"/>
      <c r="AH153" s="215"/>
    </row>
    <row r="154" spans="1:34" ht="63" customHeight="1" x14ac:dyDescent="0.25">
      <c r="A154" s="153" t="s">
        <v>995</v>
      </c>
      <c r="B154" s="142"/>
      <c r="C154" s="135"/>
      <c r="D154" s="136"/>
      <c r="E154" s="216"/>
      <c r="F154" s="463"/>
      <c r="G154" s="145"/>
      <c r="H154" s="146"/>
      <c r="I154" s="151"/>
      <c r="J154" s="150"/>
      <c r="K154" s="134"/>
      <c r="L154" s="137"/>
      <c r="M154" s="138"/>
      <c r="N154" s="138"/>
      <c r="O154" s="149" t="str">
        <f t="shared" si="13"/>
        <v/>
      </c>
      <c r="P154" s="470" t="str">
        <f>IFERROR(IF(L154="avec arrêt",IF(MONTH(N154)='Liste AT'!$X$2,0,N154-EOMONTH('Stats AT BDD'!$X$2,0)),""),"")</f>
        <v/>
      </c>
      <c r="Q154" s="139"/>
      <c r="R154" s="140"/>
      <c r="S154" s="140"/>
      <c r="T154" s="141"/>
      <c r="U154" s="143"/>
      <c r="V154" s="137"/>
      <c r="W154" s="137"/>
      <c r="X154" s="141"/>
      <c r="Y154" s="147"/>
      <c r="Z154" s="144" t="str">
        <f t="shared" si="12"/>
        <v/>
      </c>
      <c r="AA154" s="138"/>
      <c r="AB154" s="148" t="str">
        <f t="shared" ca="1" si="14"/>
        <v/>
      </c>
      <c r="AC154" s="226"/>
      <c r="AD154" s="210"/>
      <c r="AE154" s="350"/>
      <c r="AF154" s="353"/>
      <c r="AG154" s="350"/>
      <c r="AH154" s="215"/>
    </row>
    <row r="155" spans="1:34" ht="63" customHeight="1" x14ac:dyDescent="0.25">
      <c r="A155" s="153" t="s">
        <v>996</v>
      </c>
      <c r="B155" s="142"/>
      <c r="C155" s="135"/>
      <c r="D155" s="136"/>
      <c r="E155" s="143"/>
      <c r="F155" s="463"/>
      <c r="G155" s="145"/>
      <c r="H155" s="146"/>
      <c r="I155" s="151"/>
      <c r="J155" s="150"/>
      <c r="K155" s="134"/>
      <c r="L155" s="137"/>
      <c r="M155" s="138"/>
      <c r="N155" s="138"/>
      <c r="O155" s="149" t="str">
        <f t="shared" si="13"/>
        <v/>
      </c>
      <c r="P155" s="470" t="str">
        <f>IFERROR(IF(L155="avec arrêt",IF(MONTH(N155)='Liste AT'!$X$2,0,N155-EOMONTH('Stats AT BDD'!$X$2,0)),""),"")</f>
        <v/>
      </c>
      <c r="Q155" s="139"/>
      <c r="R155" s="140"/>
      <c r="S155" s="140"/>
      <c r="T155" s="141"/>
      <c r="U155" s="143"/>
      <c r="V155" s="137"/>
      <c r="W155" s="137"/>
      <c r="X155" s="141"/>
      <c r="Y155" s="147"/>
      <c r="Z155" s="144" t="str">
        <f t="shared" si="12"/>
        <v/>
      </c>
      <c r="AA155" s="138"/>
      <c r="AB155" s="148" t="str">
        <f t="shared" ca="1" si="14"/>
        <v/>
      </c>
      <c r="AC155" s="226"/>
      <c r="AD155" s="210"/>
      <c r="AE155" s="350"/>
      <c r="AF155" s="353"/>
      <c r="AG155" s="350"/>
      <c r="AH155" s="215"/>
    </row>
    <row r="156" spans="1:34" ht="63" customHeight="1" x14ac:dyDescent="0.25">
      <c r="A156" s="153" t="s">
        <v>997</v>
      </c>
      <c r="B156" s="142"/>
      <c r="C156" s="135"/>
      <c r="D156" s="136"/>
      <c r="E156" s="143"/>
      <c r="F156" s="463"/>
      <c r="G156" s="145"/>
      <c r="H156" s="146"/>
      <c r="I156" s="151"/>
      <c r="J156" s="150"/>
      <c r="K156" s="134"/>
      <c r="L156" s="137"/>
      <c r="M156" s="138"/>
      <c r="N156" s="138"/>
      <c r="O156" s="149" t="str">
        <f t="shared" si="13"/>
        <v/>
      </c>
      <c r="P156" s="470" t="str">
        <f>IFERROR(IF(L156="avec arrêt",IF(MONTH(N156)='Liste AT'!$X$2,0,N156-EOMONTH('Stats AT BDD'!$X$2,0)),""),"")</f>
        <v/>
      </c>
      <c r="Q156" s="139"/>
      <c r="R156" s="140"/>
      <c r="S156" s="140"/>
      <c r="T156" s="141"/>
      <c r="U156" s="143"/>
      <c r="V156" s="137"/>
      <c r="W156" s="137"/>
      <c r="X156" s="141"/>
      <c r="Y156" s="147"/>
      <c r="Z156" s="144" t="str">
        <f t="shared" si="12"/>
        <v/>
      </c>
      <c r="AA156" s="138"/>
      <c r="AB156" s="148" t="str">
        <f t="shared" ca="1" si="14"/>
        <v/>
      </c>
      <c r="AC156" s="226"/>
      <c r="AD156" s="210"/>
      <c r="AE156" s="350"/>
      <c r="AF156" s="353"/>
      <c r="AG156" s="350"/>
      <c r="AH156" s="215"/>
    </row>
    <row r="157" spans="1:34" ht="63" customHeight="1" x14ac:dyDescent="0.25">
      <c r="A157" s="153" t="s">
        <v>998</v>
      </c>
      <c r="B157" s="142"/>
      <c r="C157" s="135"/>
      <c r="D157" s="136"/>
      <c r="E157" s="143"/>
      <c r="F157" s="463"/>
      <c r="G157" s="145"/>
      <c r="H157" s="146"/>
      <c r="I157" s="151"/>
      <c r="J157" s="150"/>
      <c r="K157" s="134"/>
      <c r="L157" s="137"/>
      <c r="M157" s="138"/>
      <c r="N157" s="138"/>
      <c r="O157" s="149" t="str">
        <f t="shared" si="13"/>
        <v/>
      </c>
      <c r="P157" s="470" t="str">
        <f>IFERROR(IF(L157="avec arrêt",IF(MONTH(N157)='Liste AT'!$X$2,0,N157-EOMONTH('Stats AT BDD'!$X$2,0)),""),"")</f>
        <v/>
      </c>
      <c r="Q157" s="139"/>
      <c r="R157" s="140"/>
      <c r="S157" s="140"/>
      <c r="T157" s="141"/>
      <c r="U157" s="143"/>
      <c r="V157" s="137"/>
      <c r="W157" s="137"/>
      <c r="X157" s="214"/>
      <c r="Y157" s="147"/>
      <c r="Z157" s="144" t="str">
        <f t="shared" si="12"/>
        <v/>
      </c>
      <c r="AA157" s="138"/>
      <c r="AB157" s="148" t="str">
        <f t="shared" ca="1" si="14"/>
        <v/>
      </c>
      <c r="AC157" s="226"/>
      <c r="AD157" s="210"/>
      <c r="AE157" s="350"/>
      <c r="AF157" s="353"/>
      <c r="AG157" s="350"/>
      <c r="AH157" s="215"/>
    </row>
    <row r="158" spans="1:34" ht="63" customHeight="1" x14ac:dyDescent="0.25">
      <c r="A158" s="153" t="s">
        <v>999</v>
      </c>
      <c r="B158" s="142"/>
      <c r="C158" s="135"/>
      <c r="D158" s="136"/>
      <c r="E158" s="143"/>
      <c r="F158" s="463"/>
      <c r="G158" s="145"/>
      <c r="H158" s="146"/>
      <c r="I158" s="151"/>
      <c r="J158" s="150"/>
      <c r="K158" s="134"/>
      <c r="L158" s="137"/>
      <c r="M158" s="138"/>
      <c r="N158" s="138"/>
      <c r="O158" s="149" t="str">
        <f t="shared" si="13"/>
        <v/>
      </c>
      <c r="P158" s="470" t="str">
        <f>IFERROR(IF(L158="avec arrêt",IF(MONTH(N158)='Liste AT'!$X$2,0,N158-EOMONTH('Stats AT BDD'!$X$2,0)),""),"")</f>
        <v/>
      </c>
      <c r="Q158" s="139"/>
      <c r="R158" s="140"/>
      <c r="S158" s="140"/>
      <c r="T158" s="141"/>
      <c r="U158" s="143"/>
      <c r="V158" s="137"/>
      <c r="W158" s="137"/>
      <c r="X158" s="141"/>
      <c r="Y158" s="147"/>
      <c r="Z158" s="144" t="str">
        <f t="shared" si="12"/>
        <v/>
      </c>
      <c r="AA158" s="138"/>
      <c r="AB158" s="148" t="str">
        <f t="shared" ca="1" si="14"/>
        <v/>
      </c>
      <c r="AC158" s="226"/>
      <c r="AD158" s="210"/>
      <c r="AE158" s="350"/>
      <c r="AF158" s="353"/>
      <c r="AG158" s="350"/>
      <c r="AH158" s="215"/>
    </row>
    <row r="159" spans="1:34" ht="63" customHeight="1" x14ac:dyDescent="0.25">
      <c r="A159" s="153" t="s">
        <v>1000</v>
      </c>
      <c r="B159" s="142"/>
      <c r="C159" s="135"/>
      <c r="D159" s="136"/>
      <c r="E159" s="143"/>
      <c r="F159" s="463"/>
      <c r="G159" s="145"/>
      <c r="H159" s="146"/>
      <c r="I159" s="151"/>
      <c r="J159" s="150"/>
      <c r="K159" s="134"/>
      <c r="L159" s="137"/>
      <c r="M159" s="138"/>
      <c r="N159" s="138"/>
      <c r="O159" s="149" t="str">
        <f t="shared" si="13"/>
        <v/>
      </c>
      <c r="P159" s="470" t="str">
        <f>IFERROR(IF(L159="avec arrêt",IF(MONTH(N159)='Liste AT'!$X$2,0,N159-EOMONTH('Stats AT BDD'!$X$2,0)),""),"")</f>
        <v/>
      </c>
      <c r="Q159" s="139"/>
      <c r="R159" s="140"/>
      <c r="S159" s="140"/>
      <c r="T159" s="141"/>
      <c r="U159" s="143"/>
      <c r="V159" s="137"/>
      <c r="W159" s="137"/>
      <c r="X159" s="141"/>
      <c r="Y159" s="147"/>
      <c r="Z159" s="144" t="str">
        <f t="shared" si="12"/>
        <v/>
      </c>
      <c r="AA159" s="138"/>
      <c r="AB159" s="148" t="str">
        <f t="shared" ca="1" si="14"/>
        <v/>
      </c>
      <c r="AC159" s="226"/>
      <c r="AD159" s="210"/>
      <c r="AE159" s="350"/>
      <c r="AF159" s="353"/>
      <c r="AG159" s="350"/>
      <c r="AH159" s="215"/>
    </row>
    <row r="160" spans="1:34" ht="63" customHeight="1" x14ac:dyDescent="0.25">
      <c r="A160" s="153" t="s">
        <v>1001</v>
      </c>
      <c r="B160" s="142"/>
      <c r="C160" s="135"/>
      <c r="D160" s="136"/>
      <c r="E160" s="143"/>
      <c r="F160" s="463"/>
      <c r="G160" s="145"/>
      <c r="H160" s="146"/>
      <c r="I160" s="151"/>
      <c r="J160" s="150"/>
      <c r="K160" s="134"/>
      <c r="L160" s="137"/>
      <c r="M160" s="138"/>
      <c r="N160" s="138"/>
      <c r="O160" s="149" t="str">
        <f t="shared" si="13"/>
        <v/>
      </c>
      <c r="P160" s="470" t="str">
        <f>IFERROR(IF(L160="avec arrêt",IF(MONTH(N160)='Liste AT'!$X$2,0,N160-EOMONTH('Stats AT BDD'!$X$2,0)),""),"")</f>
        <v/>
      </c>
      <c r="Q160" s="139"/>
      <c r="R160" s="140"/>
      <c r="S160" s="140"/>
      <c r="T160" s="141"/>
      <c r="U160" s="143"/>
      <c r="V160" s="137"/>
      <c r="W160" s="137"/>
      <c r="X160" s="141"/>
      <c r="Y160" s="147"/>
      <c r="Z160" s="144" t="str">
        <f t="shared" si="12"/>
        <v/>
      </c>
      <c r="AA160" s="138"/>
      <c r="AB160" s="148" t="str">
        <f t="shared" ca="1" si="14"/>
        <v/>
      </c>
      <c r="AC160" s="226"/>
      <c r="AD160" s="210"/>
      <c r="AE160" s="350"/>
      <c r="AF160" s="353"/>
      <c r="AG160" s="350"/>
      <c r="AH160" s="215"/>
    </row>
    <row r="161" spans="1:34" ht="63" customHeight="1" x14ac:dyDescent="0.25">
      <c r="A161" s="153" t="s">
        <v>1002</v>
      </c>
      <c r="B161" s="142"/>
      <c r="C161" s="135"/>
      <c r="D161" s="136"/>
      <c r="E161" s="143"/>
      <c r="F161" s="463"/>
      <c r="G161" s="145"/>
      <c r="H161" s="146"/>
      <c r="I161" s="151"/>
      <c r="J161" s="150"/>
      <c r="K161" s="134"/>
      <c r="L161" s="137"/>
      <c r="M161" s="138"/>
      <c r="N161" s="138"/>
      <c r="O161" s="149" t="str">
        <f t="shared" si="13"/>
        <v/>
      </c>
      <c r="P161" s="470" t="str">
        <f>IFERROR(IF(L161="avec arrêt",IF(MONTH(N161)='Liste AT'!$X$2,0,N161-EOMONTH('Stats AT BDD'!$X$2,0)),""),"")</f>
        <v/>
      </c>
      <c r="Q161" s="139"/>
      <c r="R161" s="140"/>
      <c r="S161" s="140"/>
      <c r="T161" s="141"/>
      <c r="U161" s="143"/>
      <c r="V161" s="137"/>
      <c r="W161" s="137"/>
      <c r="X161" s="141"/>
      <c r="Y161" s="147"/>
      <c r="Z161" s="144" t="str">
        <f t="shared" si="12"/>
        <v/>
      </c>
      <c r="AA161" s="138"/>
      <c r="AB161" s="148" t="str">
        <f t="shared" ca="1" si="14"/>
        <v/>
      </c>
      <c r="AC161" s="226"/>
      <c r="AD161" s="210"/>
      <c r="AE161" s="350"/>
      <c r="AF161" s="353"/>
      <c r="AG161" s="350"/>
      <c r="AH161" s="215"/>
    </row>
    <row r="162" spans="1:34" ht="63" customHeight="1" x14ac:dyDescent="0.25">
      <c r="A162" s="153" t="s">
        <v>1003</v>
      </c>
      <c r="B162" s="142"/>
      <c r="C162" s="135"/>
      <c r="D162" s="136"/>
      <c r="E162" s="143"/>
      <c r="F162" s="463"/>
      <c r="G162" s="145"/>
      <c r="H162" s="146"/>
      <c r="I162" s="151"/>
      <c r="J162" s="150"/>
      <c r="K162" s="134"/>
      <c r="L162" s="137"/>
      <c r="M162" s="138"/>
      <c r="N162" s="138"/>
      <c r="O162" s="149" t="str">
        <f t="shared" si="13"/>
        <v/>
      </c>
      <c r="P162" s="470" t="str">
        <f>IFERROR(IF(L162="avec arrêt",IF(MONTH(N162)='Liste AT'!$X$2,0,N162-EOMONTH('Stats AT BDD'!$X$2,0)),""),"")</f>
        <v/>
      </c>
      <c r="Q162" s="139"/>
      <c r="R162" s="140"/>
      <c r="S162" s="140"/>
      <c r="T162" s="141"/>
      <c r="U162" s="143"/>
      <c r="V162" s="137"/>
      <c r="W162" s="137"/>
      <c r="X162" s="141"/>
      <c r="Y162" s="147"/>
      <c r="Z162" s="144" t="str">
        <f t="shared" si="12"/>
        <v/>
      </c>
      <c r="AA162" s="138"/>
      <c r="AB162" s="148" t="str">
        <f t="shared" ca="1" si="14"/>
        <v/>
      </c>
      <c r="AC162" s="226"/>
      <c r="AD162" s="210"/>
      <c r="AE162" s="350"/>
      <c r="AF162" s="353"/>
      <c r="AG162" s="350"/>
      <c r="AH162" s="215"/>
    </row>
    <row r="163" spans="1:34" ht="63" customHeight="1" x14ac:dyDescent="0.25">
      <c r="A163" s="153" t="s">
        <v>1004</v>
      </c>
      <c r="B163" s="142"/>
      <c r="C163" s="135"/>
      <c r="D163" s="136"/>
      <c r="E163" s="143"/>
      <c r="F163" s="463"/>
      <c r="G163" s="145"/>
      <c r="H163" s="146"/>
      <c r="I163" s="151"/>
      <c r="J163" s="150"/>
      <c r="K163" s="134"/>
      <c r="L163" s="137"/>
      <c r="M163" s="138"/>
      <c r="N163" s="138"/>
      <c r="O163" s="149" t="str">
        <f t="shared" si="13"/>
        <v/>
      </c>
      <c r="P163" s="470" t="str">
        <f>IFERROR(IF(L163="avec arrêt",IF(MONTH(N163)='Liste AT'!$X$2,0,N163-EOMONTH('Stats AT BDD'!$X$2,0)),""),"")</f>
        <v/>
      </c>
      <c r="Q163" s="139"/>
      <c r="R163" s="140"/>
      <c r="S163" s="140"/>
      <c r="T163" s="141"/>
      <c r="U163" s="143"/>
      <c r="V163" s="137"/>
      <c r="W163" s="137"/>
      <c r="X163" s="141"/>
      <c r="Y163" s="147"/>
      <c r="Z163" s="144" t="str">
        <f t="shared" si="12"/>
        <v/>
      </c>
      <c r="AA163" s="138"/>
      <c r="AB163" s="148" t="str">
        <f t="shared" ca="1" si="14"/>
        <v/>
      </c>
      <c r="AC163" s="226"/>
      <c r="AD163" s="210"/>
      <c r="AE163" s="350"/>
      <c r="AF163" s="353"/>
      <c r="AG163" s="350"/>
      <c r="AH163" s="215"/>
    </row>
    <row r="164" spans="1:34" ht="63" customHeight="1" x14ac:dyDescent="0.25">
      <c r="A164" s="153" t="s">
        <v>1005</v>
      </c>
      <c r="B164" s="142"/>
      <c r="C164" s="135"/>
      <c r="D164" s="136"/>
      <c r="E164" s="143"/>
      <c r="F164" s="463"/>
      <c r="G164" s="145"/>
      <c r="H164" s="146"/>
      <c r="I164" s="151"/>
      <c r="J164" s="150"/>
      <c r="K164" s="134"/>
      <c r="L164" s="137"/>
      <c r="M164" s="138"/>
      <c r="N164" s="138"/>
      <c r="O164" s="149" t="str">
        <f t="shared" si="13"/>
        <v/>
      </c>
      <c r="P164" s="470" t="str">
        <f>IFERROR(IF(L164="avec arrêt",IF(MONTH(N164)='Liste AT'!$X$2,0,N164-EOMONTH('Stats AT BDD'!$X$2,0)),""),"")</f>
        <v/>
      </c>
      <c r="Q164" s="139"/>
      <c r="R164" s="140"/>
      <c r="S164" s="140"/>
      <c r="T164" s="141"/>
      <c r="U164" s="143"/>
      <c r="V164" s="137"/>
      <c r="W164" s="137"/>
      <c r="X164" s="141"/>
      <c r="Y164" s="147"/>
      <c r="Z164" s="144" t="str">
        <f t="shared" si="12"/>
        <v/>
      </c>
      <c r="AA164" s="138"/>
      <c r="AB164" s="148" t="str">
        <f t="shared" ca="1" si="14"/>
        <v/>
      </c>
      <c r="AC164" s="226"/>
      <c r="AD164" s="210"/>
      <c r="AE164" s="350"/>
      <c r="AF164" s="353"/>
      <c r="AG164" s="350"/>
      <c r="AH164" s="215"/>
    </row>
    <row r="165" spans="1:34" ht="63" customHeight="1" x14ac:dyDescent="0.25">
      <c r="A165" s="153" t="s">
        <v>1006</v>
      </c>
      <c r="B165" s="142"/>
      <c r="C165" s="135"/>
      <c r="D165" s="136"/>
      <c r="E165" s="143"/>
      <c r="F165" s="463"/>
      <c r="G165" s="145"/>
      <c r="H165" s="146"/>
      <c r="I165" s="151"/>
      <c r="J165" s="150"/>
      <c r="K165" s="134"/>
      <c r="L165" s="137"/>
      <c r="M165" s="138"/>
      <c r="N165" s="138"/>
      <c r="O165" s="149" t="str">
        <f t="shared" si="13"/>
        <v/>
      </c>
      <c r="P165" s="470" t="str">
        <f>IFERROR(IF(L165="avec arrêt",IF(MONTH(N165)='Liste AT'!$X$2,0,N165-EOMONTH('Stats AT BDD'!$X$2,0)),""),"")</f>
        <v/>
      </c>
      <c r="Q165" s="139"/>
      <c r="R165" s="140"/>
      <c r="S165" s="140"/>
      <c r="T165" s="141"/>
      <c r="U165" s="143"/>
      <c r="V165" s="137"/>
      <c r="W165" s="137"/>
      <c r="X165" s="141"/>
      <c r="Y165" s="147"/>
      <c r="Z165" s="144" t="str">
        <f t="shared" si="12"/>
        <v/>
      </c>
      <c r="AA165" s="138"/>
      <c r="AB165" s="148" t="str">
        <f t="shared" ca="1" si="14"/>
        <v/>
      </c>
      <c r="AC165" s="226"/>
      <c r="AD165" s="210"/>
      <c r="AE165" s="350"/>
      <c r="AF165" s="353"/>
      <c r="AG165" s="350"/>
      <c r="AH165" s="215"/>
    </row>
    <row r="166" spans="1:34" ht="63" customHeight="1" x14ac:dyDescent="0.25">
      <c r="A166" s="153" t="s">
        <v>1007</v>
      </c>
      <c r="B166" s="142"/>
      <c r="C166" s="135"/>
      <c r="D166" s="136"/>
      <c r="E166" s="143"/>
      <c r="F166" s="463"/>
      <c r="G166" s="145"/>
      <c r="H166" s="146"/>
      <c r="I166" s="151"/>
      <c r="J166" s="150"/>
      <c r="K166" s="134"/>
      <c r="L166" s="137"/>
      <c r="M166" s="138"/>
      <c r="N166" s="138"/>
      <c r="O166" s="149" t="str">
        <f t="shared" si="13"/>
        <v/>
      </c>
      <c r="P166" s="470" t="str">
        <f>IFERROR(IF(L166="avec arrêt",IF(MONTH(N166)='Liste AT'!$X$2,0,N166-EOMONTH('Stats AT BDD'!$X$2,0)),""),"")</f>
        <v/>
      </c>
      <c r="Q166" s="139"/>
      <c r="R166" s="140"/>
      <c r="S166" s="140"/>
      <c r="T166" s="141"/>
      <c r="U166" s="143"/>
      <c r="V166" s="137"/>
      <c r="W166" s="137"/>
      <c r="X166" s="141"/>
      <c r="Y166" s="147"/>
      <c r="Z166" s="144" t="str">
        <f t="shared" si="12"/>
        <v/>
      </c>
      <c r="AA166" s="138"/>
      <c r="AB166" s="148" t="str">
        <f t="shared" ca="1" si="14"/>
        <v/>
      </c>
      <c r="AC166" s="226"/>
      <c r="AD166" s="210"/>
      <c r="AE166" s="350"/>
      <c r="AF166" s="353"/>
      <c r="AG166" s="350"/>
      <c r="AH166" s="215"/>
    </row>
    <row r="167" spans="1:34" ht="63" customHeight="1" x14ac:dyDescent="0.25">
      <c r="A167" s="153" t="s">
        <v>1008</v>
      </c>
      <c r="B167" s="142"/>
      <c r="C167" s="135"/>
      <c r="D167" s="136"/>
      <c r="E167" s="143"/>
      <c r="F167" s="463"/>
      <c r="G167" s="145"/>
      <c r="H167" s="146"/>
      <c r="I167" s="151"/>
      <c r="J167" s="150"/>
      <c r="K167" s="134"/>
      <c r="L167" s="137"/>
      <c r="M167" s="138"/>
      <c r="N167" s="138"/>
      <c r="O167" s="149" t="str">
        <f t="shared" si="13"/>
        <v/>
      </c>
      <c r="P167" s="470" t="str">
        <f>IFERROR(IF(L167="avec arrêt",IF(MONTH(N167)='Liste AT'!$X$2,0,N167-EOMONTH('Stats AT BDD'!$X$2,0)),""),"")</f>
        <v/>
      </c>
      <c r="Q167" s="139"/>
      <c r="R167" s="140"/>
      <c r="S167" s="140"/>
      <c r="T167" s="141"/>
      <c r="U167" s="143"/>
      <c r="V167" s="137"/>
      <c r="W167" s="137"/>
      <c r="X167" s="141"/>
      <c r="Y167" s="147"/>
      <c r="Z167" s="144" t="str">
        <f t="shared" si="12"/>
        <v/>
      </c>
      <c r="AA167" s="138"/>
      <c r="AB167" s="148" t="str">
        <f t="shared" ca="1" si="14"/>
        <v/>
      </c>
      <c r="AC167" s="226"/>
      <c r="AD167" s="210"/>
      <c r="AE167" s="350"/>
      <c r="AF167" s="353"/>
      <c r="AG167" s="350"/>
      <c r="AH167" s="215"/>
    </row>
    <row r="168" spans="1:34" ht="63" customHeight="1" x14ac:dyDescent="0.25">
      <c r="A168" s="153" t="s">
        <v>1009</v>
      </c>
      <c r="B168" s="142"/>
      <c r="C168" s="135"/>
      <c r="D168" s="136"/>
      <c r="E168" s="143"/>
      <c r="F168" s="463"/>
      <c r="G168" s="145"/>
      <c r="H168" s="146"/>
      <c r="I168" s="151"/>
      <c r="J168" s="150"/>
      <c r="K168" s="134"/>
      <c r="L168" s="137"/>
      <c r="M168" s="138"/>
      <c r="N168" s="138"/>
      <c r="O168" s="149" t="str">
        <f t="shared" si="13"/>
        <v/>
      </c>
      <c r="P168" s="470" t="str">
        <f>IFERROR(IF(L168="avec arrêt",IF(MONTH(N168)='Liste AT'!$X$2,0,N168-EOMONTH('Stats AT BDD'!$X$2,0)),""),"")</f>
        <v/>
      </c>
      <c r="Q168" s="139"/>
      <c r="R168" s="140"/>
      <c r="S168" s="140"/>
      <c r="T168" s="141"/>
      <c r="U168" s="143"/>
      <c r="V168" s="137"/>
      <c r="W168" s="137"/>
      <c r="X168" s="141"/>
      <c r="Y168" s="147"/>
      <c r="Z168" s="144" t="str">
        <f t="shared" si="12"/>
        <v/>
      </c>
      <c r="AA168" s="138"/>
      <c r="AB168" s="148" t="str">
        <f t="shared" ca="1" si="14"/>
        <v/>
      </c>
      <c r="AC168" s="226"/>
      <c r="AD168" s="210"/>
      <c r="AE168" s="350"/>
      <c r="AF168" s="353"/>
      <c r="AG168" s="350"/>
      <c r="AH168" s="215"/>
    </row>
    <row r="169" spans="1:34" ht="63" customHeight="1" x14ac:dyDescent="0.25">
      <c r="A169" s="153" t="s">
        <v>1010</v>
      </c>
      <c r="B169" s="142"/>
      <c r="C169" s="135"/>
      <c r="D169" s="136"/>
      <c r="E169" s="143"/>
      <c r="F169" s="463"/>
      <c r="G169" s="145"/>
      <c r="H169" s="146"/>
      <c r="I169" s="151"/>
      <c r="J169" s="150"/>
      <c r="K169" s="134"/>
      <c r="L169" s="137"/>
      <c r="M169" s="138"/>
      <c r="N169" s="138"/>
      <c r="O169" s="149" t="str">
        <f t="shared" si="13"/>
        <v/>
      </c>
      <c r="P169" s="470" t="str">
        <f>IFERROR(IF(L169="avec arrêt",IF(MONTH(N169)='Liste AT'!$X$2,0,N169-EOMONTH('Stats AT BDD'!$X$2,0)),""),"")</f>
        <v/>
      </c>
      <c r="Q169" s="139"/>
      <c r="R169" s="140"/>
      <c r="S169" s="140"/>
      <c r="T169" s="141"/>
      <c r="U169" s="143"/>
      <c r="V169" s="137"/>
      <c r="W169" s="137"/>
      <c r="X169" s="141"/>
      <c r="Y169" s="147"/>
      <c r="Z169" s="144" t="str">
        <f t="shared" si="12"/>
        <v/>
      </c>
      <c r="AA169" s="138"/>
      <c r="AB169" s="148" t="str">
        <f t="shared" ca="1" si="14"/>
        <v/>
      </c>
      <c r="AC169" s="226"/>
      <c r="AD169" s="210"/>
      <c r="AE169" s="350"/>
      <c r="AF169" s="353"/>
      <c r="AG169" s="350"/>
      <c r="AH169" s="215"/>
    </row>
    <row r="170" spans="1:34" ht="63" customHeight="1" x14ac:dyDescent="0.25">
      <c r="A170" s="153" t="s">
        <v>1011</v>
      </c>
      <c r="B170" s="142"/>
      <c r="C170" s="135"/>
      <c r="D170" s="136"/>
      <c r="E170" s="143"/>
      <c r="F170" s="463"/>
      <c r="G170" s="145"/>
      <c r="H170" s="146"/>
      <c r="I170" s="151"/>
      <c r="J170" s="150"/>
      <c r="K170" s="134"/>
      <c r="L170" s="137"/>
      <c r="M170" s="138"/>
      <c r="N170" s="138"/>
      <c r="O170" s="149" t="str">
        <f t="shared" si="13"/>
        <v/>
      </c>
      <c r="P170" s="470" t="str">
        <f>IFERROR(IF(L170="avec arrêt",IF(MONTH(N170)='Liste AT'!$X$2,0,N170-EOMONTH('Stats AT BDD'!$X$2,0)),""),"")</f>
        <v/>
      </c>
      <c r="Q170" s="139"/>
      <c r="R170" s="140"/>
      <c r="S170" s="140"/>
      <c r="T170" s="141"/>
      <c r="U170" s="143"/>
      <c r="V170" s="137"/>
      <c r="W170" s="137"/>
      <c r="X170" s="141"/>
      <c r="Y170" s="147"/>
      <c r="Z170" s="144" t="str">
        <f t="shared" si="12"/>
        <v/>
      </c>
      <c r="AA170" s="138"/>
      <c r="AB170" s="148" t="str">
        <f t="shared" ca="1" si="14"/>
        <v/>
      </c>
      <c r="AC170" s="226"/>
      <c r="AD170" s="210"/>
      <c r="AE170" s="350"/>
      <c r="AF170" s="353"/>
      <c r="AG170" s="350"/>
      <c r="AH170" s="215"/>
    </row>
    <row r="171" spans="1:34" ht="63" customHeight="1" x14ac:dyDescent="0.25">
      <c r="A171" s="153" t="s">
        <v>1012</v>
      </c>
      <c r="B171" s="142"/>
      <c r="C171" s="135"/>
      <c r="D171" s="136"/>
      <c r="E171" s="143"/>
      <c r="F171" s="463"/>
      <c r="G171" s="145"/>
      <c r="H171" s="146"/>
      <c r="I171" s="151"/>
      <c r="J171" s="150"/>
      <c r="K171" s="134"/>
      <c r="L171" s="137"/>
      <c r="M171" s="138"/>
      <c r="N171" s="138"/>
      <c r="O171" s="149" t="str">
        <f t="shared" si="13"/>
        <v/>
      </c>
      <c r="P171" s="470" t="str">
        <f>IFERROR(IF(L171="avec arrêt",IF(MONTH(N171)='Liste AT'!$X$2,0,N171-EOMONTH('Stats AT BDD'!$X$2,0)),""),"")</f>
        <v/>
      </c>
      <c r="Q171" s="139"/>
      <c r="R171" s="140"/>
      <c r="S171" s="140"/>
      <c r="T171" s="141"/>
      <c r="U171" s="143"/>
      <c r="V171" s="137"/>
      <c r="W171" s="137"/>
      <c r="X171" s="141"/>
      <c r="Y171" s="147"/>
      <c r="Z171" s="144" t="str">
        <f t="shared" si="12"/>
        <v/>
      </c>
      <c r="AA171" s="138"/>
      <c r="AB171" s="148" t="str">
        <f t="shared" ca="1" si="14"/>
        <v/>
      </c>
      <c r="AC171" s="226"/>
      <c r="AD171" s="210"/>
      <c r="AE171" s="350"/>
      <c r="AF171" s="353"/>
      <c r="AG171" s="350"/>
      <c r="AH171" s="215"/>
    </row>
    <row r="172" spans="1:34" ht="63" customHeight="1" x14ac:dyDescent="0.25">
      <c r="A172" s="153" t="s">
        <v>1013</v>
      </c>
      <c r="B172" s="142"/>
      <c r="C172" s="135"/>
      <c r="D172" s="136"/>
      <c r="E172" s="143"/>
      <c r="F172" s="463"/>
      <c r="G172" s="145"/>
      <c r="H172" s="146"/>
      <c r="I172" s="151"/>
      <c r="J172" s="150"/>
      <c r="K172" s="134"/>
      <c r="L172" s="137"/>
      <c r="M172" s="138"/>
      <c r="N172" s="138"/>
      <c r="O172" s="149" t="str">
        <f t="shared" si="13"/>
        <v/>
      </c>
      <c r="P172" s="470" t="str">
        <f>IFERROR(IF(L172="avec arrêt",IF(MONTH(N172)='Liste AT'!$X$2,0,N172-EOMONTH('Stats AT BDD'!$X$2,0)),""),"")</f>
        <v/>
      </c>
      <c r="Q172" s="139"/>
      <c r="R172" s="140"/>
      <c r="S172" s="140"/>
      <c r="T172" s="141"/>
      <c r="U172" s="143"/>
      <c r="V172" s="137"/>
      <c r="W172" s="137"/>
      <c r="X172" s="141"/>
      <c r="Y172" s="147"/>
      <c r="Z172" s="144" t="str">
        <f t="shared" si="12"/>
        <v/>
      </c>
      <c r="AA172" s="138"/>
      <c r="AB172" s="148" t="str">
        <f t="shared" ca="1" si="14"/>
        <v/>
      </c>
      <c r="AC172" s="226"/>
      <c r="AD172" s="210"/>
      <c r="AE172" s="350"/>
      <c r="AF172" s="353"/>
      <c r="AG172" s="350"/>
      <c r="AH172" s="215"/>
    </row>
    <row r="173" spans="1:34" ht="63" customHeight="1" x14ac:dyDescent="0.25">
      <c r="A173" s="153" t="s">
        <v>1014</v>
      </c>
      <c r="B173" s="142"/>
      <c r="C173" s="135"/>
      <c r="D173" s="136"/>
      <c r="E173" s="143"/>
      <c r="F173" s="463"/>
      <c r="G173" s="145"/>
      <c r="H173" s="146"/>
      <c r="I173" s="151"/>
      <c r="J173" s="150"/>
      <c r="K173" s="134"/>
      <c r="L173" s="137"/>
      <c r="M173" s="138"/>
      <c r="N173" s="138"/>
      <c r="O173" s="149" t="str">
        <f t="shared" si="13"/>
        <v/>
      </c>
      <c r="P173" s="470" t="str">
        <f>IFERROR(IF(L173="avec arrêt",IF(MONTH(N173)='Liste AT'!$X$2,0,N173-EOMONTH('Stats AT BDD'!$X$2,0)),""),"")</f>
        <v/>
      </c>
      <c r="Q173" s="139"/>
      <c r="R173" s="140"/>
      <c r="S173" s="140"/>
      <c r="T173" s="141"/>
      <c r="U173" s="143"/>
      <c r="V173" s="137"/>
      <c r="W173" s="137"/>
      <c r="X173" s="141"/>
      <c r="Y173" s="147"/>
      <c r="Z173" s="144" t="str">
        <f t="shared" si="12"/>
        <v/>
      </c>
      <c r="AA173" s="138"/>
      <c r="AB173" s="148" t="str">
        <f t="shared" ca="1" si="14"/>
        <v/>
      </c>
      <c r="AC173" s="226"/>
      <c r="AD173" s="210"/>
      <c r="AE173" s="350"/>
      <c r="AF173" s="353"/>
      <c r="AG173" s="350"/>
      <c r="AH173" s="215"/>
    </row>
    <row r="174" spans="1:34" ht="63" customHeight="1" x14ac:dyDescent="0.25">
      <c r="A174" s="153" t="s">
        <v>1015</v>
      </c>
      <c r="B174" s="142"/>
      <c r="C174" s="135"/>
      <c r="D174" s="136"/>
      <c r="E174" s="143"/>
      <c r="F174" s="463"/>
      <c r="G174" s="145"/>
      <c r="H174" s="146"/>
      <c r="I174" s="151"/>
      <c r="J174" s="150"/>
      <c r="K174" s="134"/>
      <c r="L174" s="137"/>
      <c r="M174" s="138"/>
      <c r="N174" s="138"/>
      <c r="O174" s="149" t="str">
        <f t="shared" si="13"/>
        <v/>
      </c>
      <c r="P174" s="470" t="str">
        <f>IFERROR(IF(L174="avec arrêt",IF(MONTH(N174)='Liste AT'!$X$2,0,N174-EOMONTH('Stats AT BDD'!$X$2,0)),""),"")</f>
        <v/>
      </c>
      <c r="Q174" s="139"/>
      <c r="R174" s="140"/>
      <c r="S174" s="140"/>
      <c r="T174" s="141"/>
      <c r="U174" s="143"/>
      <c r="V174" s="137"/>
      <c r="W174" s="137"/>
      <c r="X174" s="141"/>
      <c r="Y174" s="147"/>
      <c r="Z174" s="144" t="str">
        <f t="shared" si="12"/>
        <v/>
      </c>
      <c r="AA174" s="138"/>
      <c r="AB174" s="148" t="str">
        <f t="shared" ca="1" si="14"/>
        <v/>
      </c>
      <c r="AC174" s="226"/>
      <c r="AD174" s="210"/>
      <c r="AE174" s="350"/>
      <c r="AF174" s="353"/>
      <c r="AG174" s="350"/>
      <c r="AH174" s="215"/>
    </row>
    <row r="175" spans="1:34" ht="63" customHeight="1" x14ac:dyDescent="0.25">
      <c r="A175" s="153" t="s">
        <v>1016</v>
      </c>
      <c r="B175" s="142"/>
      <c r="C175" s="135"/>
      <c r="D175" s="136"/>
      <c r="E175" s="143"/>
      <c r="F175" s="463"/>
      <c r="G175" s="145"/>
      <c r="H175" s="146"/>
      <c r="I175" s="151"/>
      <c r="J175" s="150"/>
      <c r="K175" s="134"/>
      <c r="L175" s="137"/>
      <c r="M175" s="138"/>
      <c r="N175" s="138"/>
      <c r="O175" s="149" t="str">
        <f t="shared" si="13"/>
        <v/>
      </c>
      <c r="P175" s="470" t="str">
        <f>IFERROR(IF(L175="avec arrêt",IF(MONTH(N175)='Liste AT'!$X$2,0,N175-EOMONTH('Stats AT BDD'!$X$2,0)),""),"")</f>
        <v/>
      </c>
      <c r="Q175" s="139"/>
      <c r="R175" s="140"/>
      <c r="S175" s="140"/>
      <c r="T175" s="141"/>
      <c r="U175" s="143"/>
      <c r="V175" s="137"/>
      <c r="W175" s="137"/>
      <c r="X175" s="141"/>
      <c r="Y175" s="147"/>
      <c r="Z175" s="144" t="str">
        <f t="shared" si="12"/>
        <v/>
      </c>
      <c r="AA175" s="138"/>
      <c r="AB175" s="148" t="str">
        <f t="shared" ca="1" si="14"/>
        <v/>
      </c>
      <c r="AC175" s="226"/>
      <c r="AD175" s="210"/>
      <c r="AE175" s="350"/>
      <c r="AF175" s="353"/>
      <c r="AG175" s="350"/>
      <c r="AH175" s="215"/>
    </row>
    <row r="176" spans="1:34" ht="63" customHeight="1" x14ac:dyDescent="0.25">
      <c r="A176" s="153" t="s">
        <v>1017</v>
      </c>
      <c r="B176" s="142"/>
      <c r="C176" s="135"/>
      <c r="D176" s="136"/>
      <c r="E176" s="143"/>
      <c r="F176" s="463"/>
      <c r="G176" s="145"/>
      <c r="H176" s="146"/>
      <c r="I176" s="151"/>
      <c r="J176" s="150"/>
      <c r="K176" s="134"/>
      <c r="L176" s="137"/>
      <c r="M176" s="138"/>
      <c r="N176" s="138"/>
      <c r="O176" s="149" t="str">
        <f t="shared" si="13"/>
        <v/>
      </c>
      <c r="P176" s="470" t="str">
        <f>IFERROR(IF(L176="avec arrêt",IF(MONTH(N176)='Liste AT'!$X$2,0,N176-EOMONTH('Stats AT BDD'!$X$2,0)),""),"")</f>
        <v/>
      </c>
      <c r="Q176" s="139"/>
      <c r="R176" s="140"/>
      <c r="S176" s="140"/>
      <c r="T176" s="141"/>
      <c r="U176" s="143"/>
      <c r="V176" s="137"/>
      <c r="W176" s="137"/>
      <c r="X176" s="141"/>
      <c r="Y176" s="147"/>
      <c r="Z176" s="144" t="str">
        <f t="shared" si="12"/>
        <v/>
      </c>
      <c r="AA176" s="138"/>
      <c r="AB176" s="148" t="str">
        <f t="shared" ca="1" si="14"/>
        <v/>
      </c>
      <c r="AC176" s="226"/>
      <c r="AD176" s="210"/>
      <c r="AE176" s="350"/>
      <c r="AF176" s="353"/>
      <c r="AG176" s="350"/>
      <c r="AH176" s="215"/>
    </row>
    <row r="177" spans="1:34" ht="63" customHeight="1" x14ac:dyDescent="0.25">
      <c r="A177" s="153" t="s">
        <v>1018</v>
      </c>
      <c r="B177" s="142"/>
      <c r="C177" s="135"/>
      <c r="D177" s="136"/>
      <c r="E177" s="143"/>
      <c r="F177" s="463"/>
      <c r="G177" s="145"/>
      <c r="H177" s="146"/>
      <c r="I177" s="151"/>
      <c r="J177" s="150"/>
      <c r="K177" s="134"/>
      <c r="L177" s="137"/>
      <c r="M177" s="138"/>
      <c r="N177" s="138"/>
      <c r="O177" s="149" t="str">
        <f t="shared" si="13"/>
        <v/>
      </c>
      <c r="P177" s="470" t="str">
        <f>IFERROR(IF(L177="avec arrêt",IF(MONTH(N177)='Liste AT'!$X$2,0,N177-EOMONTH('Stats AT BDD'!$X$2,0)),""),"")</f>
        <v/>
      </c>
      <c r="Q177" s="139"/>
      <c r="R177" s="140"/>
      <c r="S177" s="140"/>
      <c r="T177" s="141"/>
      <c r="U177" s="143"/>
      <c r="V177" s="137"/>
      <c r="W177" s="137"/>
      <c r="X177" s="141"/>
      <c r="Y177" s="147"/>
      <c r="Z177" s="144" t="str">
        <f t="shared" si="12"/>
        <v/>
      </c>
      <c r="AA177" s="138"/>
      <c r="AB177" s="148" t="str">
        <f t="shared" ca="1" si="14"/>
        <v/>
      </c>
      <c r="AC177" s="226"/>
      <c r="AD177" s="210"/>
      <c r="AE177" s="350"/>
      <c r="AF177" s="353"/>
      <c r="AG177" s="350"/>
      <c r="AH177" s="215"/>
    </row>
    <row r="178" spans="1:34" ht="63" customHeight="1" x14ac:dyDescent="0.25">
      <c r="A178" s="153" t="s">
        <v>1019</v>
      </c>
      <c r="B178" s="142"/>
      <c r="C178" s="135"/>
      <c r="D178" s="136"/>
      <c r="E178" s="143"/>
      <c r="F178" s="463"/>
      <c r="G178" s="145"/>
      <c r="H178" s="146"/>
      <c r="I178" s="151"/>
      <c r="J178" s="150"/>
      <c r="K178" s="134"/>
      <c r="L178" s="137"/>
      <c r="M178" s="138"/>
      <c r="N178" s="138"/>
      <c r="O178" s="149" t="str">
        <f t="shared" si="13"/>
        <v/>
      </c>
      <c r="P178" s="470" t="str">
        <f>IFERROR(IF(L178="avec arrêt",IF(MONTH(N178)='Liste AT'!$X$2,0,N178-EOMONTH('Stats AT BDD'!$X$2,0)),""),"")</f>
        <v/>
      </c>
      <c r="Q178" s="139"/>
      <c r="R178" s="140"/>
      <c r="S178" s="140"/>
      <c r="T178" s="141"/>
      <c r="U178" s="143"/>
      <c r="V178" s="137"/>
      <c r="W178" s="137"/>
      <c r="X178" s="141"/>
      <c r="Y178" s="147"/>
      <c r="Z178" s="144" t="str">
        <f t="shared" si="12"/>
        <v/>
      </c>
      <c r="AA178" s="138"/>
      <c r="AB178" s="148" t="str">
        <f t="shared" ca="1" si="14"/>
        <v/>
      </c>
      <c r="AC178" s="226"/>
      <c r="AD178" s="210"/>
      <c r="AE178" s="350"/>
      <c r="AF178" s="353"/>
      <c r="AG178" s="350"/>
      <c r="AH178" s="215"/>
    </row>
    <row r="179" spans="1:34" ht="63" customHeight="1" x14ac:dyDescent="0.25">
      <c r="A179" s="153" t="s">
        <v>1020</v>
      </c>
      <c r="B179" s="142"/>
      <c r="C179" s="135"/>
      <c r="D179" s="136"/>
      <c r="E179" s="143"/>
      <c r="F179" s="463"/>
      <c r="G179" s="145"/>
      <c r="H179" s="146"/>
      <c r="I179" s="151"/>
      <c r="J179" s="150"/>
      <c r="K179" s="134"/>
      <c r="L179" s="137"/>
      <c r="M179" s="138"/>
      <c r="N179" s="138"/>
      <c r="O179" s="149" t="str">
        <f t="shared" si="13"/>
        <v/>
      </c>
      <c r="P179" s="470" t="str">
        <f>IFERROR(IF(L179="avec arrêt",IF(MONTH(N179)='Liste AT'!$X$2,0,N179-EOMONTH('Stats AT BDD'!$X$2,0)),""),"")</f>
        <v/>
      </c>
      <c r="Q179" s="139"/>
      <c r="R179" s="140"/>
      <c r="S179" s="140"/>
      <c r="T179" s="141"/>
      <c r="U179" s="143"/>
      <c r="V179" s="137"/>
      <c r="W179" s="137"/>
      <c r="X179" s="141"/>
      <c r="Y179" s="147"/>
      <c r="Z179" s="144" t="str">
        <f t="shared" si="12"/>
        <v/>
      </c>
      <c r="AA179" s="138"/>
      <c r="AB179" s="148" t="str">
        <f t="shared" ca="1" si="14"/>
        <v/>
      </c>
      <c r="AC179" s="226"/>
      <c r="AD179" s="210"/>
      <c r="AE179" s="350"/>
      <c r="AF179" s="353"/>
      <c r="AG179" s="350"/>
      <c r="AH179" s="215"/>
    </row>
    <row r="180" spans="1:34" ht="63" customHeight="1" x14ac:dyDescent="0.25">
      <c r="A180" s="153" t="s">
        <v>1021</v>
      </c>
      <c r="B180" s="142"/>
      <c r="C180" s="135"/>
      <c r="D180" s="136"/>
      <c r="E180" s="143"/>
      <c r="F180" s="463"/>
      <c r="G180" s="145"/>
      <c r="H180" s="146"/>
      <c r="I180" s="151"/>
      <c r="J180" s="150"/>
      <c r="K180" s="134"/>
      <c r="L180" s="137"/>
      <c r="M180" s="138"/>
      <c r="N180" s="138"/>
      <c r="O180" s="149" t="str">
        <f t="shared" si="13"/>
        <v/>
      </c>
      <c r="P180" s="470" t="str">
        <f>IFERROR(IF(L180="avec arrêt",IF(MONTH(N180)='Liste AT'!$X$2,0,N180-EOMONTH('Stats AT BDD'!$X$2,0)),""),"")</f>
        <v/>
      </c>
      <c r="Q180" s="139"/>
      <c r="R180" s="140"/>
      <c r="S180" s="140"/>
      <c r="T180" s="141"/>
      <c r="U180" s="143"/>
      <c r="V180" s="137"/>
      <c r="W180" s="137"/>
      <c r="X180" s="141"/>
      <c r="Y180" s="147"/>
      <c r="Z180" s="144" t="str">
        <f t="shared" si="12"/>
        <v/>
      </c>
      <c r="AA180" s="138"/>
      <c r="AB180" s="148" t="str">
        <f t="shared" ca="1" si="14"/>
        <v/>
      </c>
      <c r="AC180" s="226"/>
      <c r="AD180" s="210"/>
      <c r="AE180" s="350"/>
      <c r="AF180" s="353"/>
      <c r="AG180" s="350"/>
      <c r="AH180" s="215"/>
    </row>
    <row r="181" spans="1:34" ht="63" customHeight="1" x14ac:dyDescent="0.25">
      <c r="A181" s="153" t="s">
        <v>1022</v>
      </c>
      <c r="B181" s="142"/>
      <c r="C181" s="135"/>
      <c r="D181" s="136"/>
      <c r="E181" s="143"/>
      <c r="F181" s="463"/>
      <c r="G181" s="145"/>
      <c r="H181" s="146"/>
      <c r="I181" s="151"/>
      <c r="J181" s="150"/>
      <c r="K181" s="134"/>
      <c r="L181" s="137"/>
      <c r="M181" s="138"/>
      <c r="N181" s="138"/>
      <c r="O181" s="149" t="str">
        <f t="shared" si="13"/>
        <v/>
      </c>
      <c r="P181" s="470" t="str">
        <f>IFERROR(IF(L181="avec arrêt",IF(MONTH(N181)='Liste AT'!$X$2,0,N181-EOMONTH('Stats AT BDD'!$X$2,0)),""),"")</f>
        <v/>
      </c>
      <c r="Q181" s="139"/>
      <c r="R181" s="140"/>
      <c r="S181" s="140"/>
      <c r="T181" s="141"/>
      <c r="U181" s="143"/>
      <c r="V181" s="137"/>
      <c r="W181" s="137"/>
      <c r="X181" s="141"/>
      <c r="Y181" s="147"/>
      <c r="Z181" s="144" t="str">
        <f t="shared" si="12"/>
        <v/>
      </c>
      <c r="AA181" s="138"/>
      <c r="AB181" s="148" t="str">
        <f t="shared" ca="1" si="14"/>
        <v/>
      </c>
      <c r="AC181" s="226"/>
      <c r="AD181" s="210"/>
      <c r="AE181" s="350"/>
      <c r="AF181" s="353"/>
      <c r="AG181" s="350"/>
      <c r="AH181" s="215"/>
    </row>
    <row r="182" spans="1:34" ht="63" customHeight="1" x14ac:dyDescent="0.25">
      <c r="A182" s="153" t="s">
        <v>1023</v>
      </c>
      <c r="B182" s="142"/>
      <c r="C182" s="135"/>
      <c r="D182" s="136"/>
      <c r="E182" s="143"/>
      <c r="F182" s="463"/>
      <c r="G182" s="145"/>
      <c r="H182" s="146"/>
      <c r="I182" s="151"/>
      <c r="J182" s="150"/>
      <c r="K182" s="134"/>
      <c r="L182" s="137"/>
      <c r="M182" s="138"/>
      <c r="N182" s="138"/>
      <c r="O182" s="149" t="str">
        <f t="shared" si="13"/>
        <v/>
      </c>
      <c r="P182" s="470" t="str">
        <f>IFERROR(IF(L182="avec arrêt",IF(MONTH(N182)='Liste AT'!$X$2,0,N182-EOMONTH('Stats AT BDD'!$X$2,0)),""),"")</f>
        <v/>
      </c>
      <c r="Q182" s="139"/>
      <c r="R182" s="140"/>
      <c r="S182" s="140"/>
      <c r="T182" s="141"/>
      <c r="U182" s="143"/>
      <c r="V182" s="137"/>
      <c r="W182" s="137"/>
      <c r="X182" s="141"/>
      <c r="Y182" s="147"/>
      <c r="Z182" s="144" t="str">
        <f t="shared" si="12"/>
        <v/>
      </c>
      <c r="AA182" s="138"/>
      <c r="AB182" s="148" t="str">
        <f t="shared" ca="1" si="14"/>
        <v/>
      </c>
      <c r="AC182" s="226"/>
      <c r="AD182" s="210"/>
      <c r="AE182" s="350"/>
      <c r="AF182" s="353"/>
      <c r="AG182" s="350"/>
      <c r="AH182" s="215"/>
    </row>
    <row r="183" spans="1:34" ht="63" customHeight="1" x14ac:dyDescent="0.25">
      <c r="A183" s="153" t="s">
        <v>1024</v>
      </c>
      <c r="B183" s="142"/>
      <c r="C183" s="135"/>
      <c r="D183" s="136"/>
      <c r="E183" s="143"/>
      <c r="F183" s="463"/>
      <c r="G183" s="145"/>
      <c r="H183" s="146"/>
      <c r="I183" s="151"/>
      <c r="J183" s="150"/>
      <c r="K183" s="134"/>
      <c r="L183" s="137"/>
      <c r="M183" s="138"/>
      <c r="N183" s="138"/>
      <c r="O183" s="149" t="str">
        <f t="shared" si="13"/>
        <v/>
      </c>
      <c r="P183" s="470" t="str">
        <f>IFERROR(IF(L183="avec arrêt",IF(MONTH(N183)='Liste AT'!$X$2,0,N183-EOMONTH('Stats AT BDD'!$X$2,0)),""),"")</f>
        <v/>
      </c>
      <c r="Q183" s="139"/>
      <c r="R183" s="140"/>
      <c r="S183" s="140"/>
      <c r="T183" s="141"/>
      <c r="U183" s="143"/>
      <c r="V183" s="137"/>
      <c r="W183" s="137"/>
      <c r="X183" s="141"/>
      <c r="Y183" s="147"/>
      <c r="Z183" s="144" t="str">
        <f t="shared" si="12"/>
        <v/>
      </c>
      <c r="AA183" s="138"/>
      <c r="AB183" s="148" t="str">
        <f t="shared" ca="1" si="14"/>
        <v/>
      </c>
      <c r="AC183" s="226"/>
      <c r="AD183" s="210"/>
      <c r="AE183" s="350"/>
      <c r="AF183" s="353"/>
      <c r="AG183" s="350"/>
      <c r="AH183" s="215"/>
    </row>
    <row r="184" spans="1:34" ht="63" customHeight="1" x14ac:dyDescent="0.25">
      <c r="A184" s="153" t="s">
        <v>1025</v>
      </c>
      <c r="B184" s="142"/>
      <c r="C184" s="135"/>
      <c r="D184" s="136"/>
      <c r="E184" s="143"/>
      <c r="F184" s="463"/>
      <c r="G184" s="145"/>
      <c r="H184" s="146"/>
      <c r="I184" s="151"/>
      <c r="J184" s="150"/>
      <c r="K184" s="134"/>
      <c r="L184" s="137"/>
      <c r="M184" s="138"/>
      <c r="N184" s="138"/>
      <c r="O184" s="149" t="str">
        <f t="shared" si="13"/>
        <v/>
      </c>
      <c r="P184" s="470" t="str">
        <f>IFERROR(IF(L184="avec arrêt",IF(MONTH(N184)='Liste AT'!$X$2,0,N184-EOMONTH('Stats AT BDD'!$X$2,0)),""),"")</f>
        <v/>
      </c>
      <c r="Q184" s="139"/>
      <c r="R184" s="140"/>
      <c r="S184" s="140"/>
      <c r="T184" s="141"/>
      <c r="U184" s="143"/>
      <c r="V184" s="137"/>
      <c r="W184" s="137"/>
      <c r="X184" s="141"/>
      <c r="Y184" s="147"/>
      <c r="Z184" s="144" t="str">
        <f t="shared" si="12"/>
        <v/>
      </c>
      <c r="AA184" s="138"/>
      <c r="AB184" s="148" t="str">
        <f t="shared" ca="1" si="14"/>
        <v/>
      </c>
      <c r="AC184" s="226"/>
      <c r="AD184" s="210"/>
      <c r="AE184" s="350"/>
      <c r="AF184" s="353"/>
      <c r="AG184" s="350"/>
      <c r="AH184" s="215"/>
    </row>
    <row r="185" spans="1:34" ht="63" customHeight="1" x14ac:dyDescent="0.25">
      <c r="A185" s="153" t="s">
        <v>1026</v>
      </c>
      <c r="B185" s="142"/>
      <c r="C185" s="135"/>
      <c r="D185" s="136"/>
      <c r="E185" s="143"/>
      <c r="F185" s="463"/>
      <c r="G185" s="145"/>
      <c r="H185" s="146"/>
      <c r="I185" s="151"/>
      <c r="J185" s="150"/>
      <c r="K185" s="134"/>
      <c r="L185" s="137"/>
      <c r="M185" s="138"/>
      <c r="N185" s="138"/>
      <c r="O185" s="149" t="str">
        <f t="shared" si="13"/>
        <v/>
      </c>
      <c r="P185" s="470" t="str">
        <f>IFERROR(IF(L185="avec arrêt",IF(MONTH(N185)='Liste AT'!$X$2,0,N185-EOMONTH('Stats AT BDD'!$X$2,0)),""),"")</f>
        <v/>
      </c>
      <c r="Q185" s="139"/>
      <c r="R185" s="140"/>
      <c r="S185" s="140"/>
      <c r="T185" s="141"/>
      <c r="U185" s="143"/>
      <c r="V185" s="137"/>
      <c r="W185" s="137"/>
      <c r="X185" s="141"/>
      <c r="Y185" s="147"/>
      <c r="Z185" s="144" t="str">
        <f t="shared" si="12"/>
        <v/>
      </c>
      <c r="AA185" s="138"/>
      <c r="AB185" s="148" t="str">
        <f t="shared" ca="1" si="14"/>
        <v/>
      </c>
      <c r="AC185" s="226"/>
      <c r="AD185" s="210"/>
      <c r="AE185" s="350"/>
      <c r="AF185" s="353"/>
      <c r="AG185" s="350"/>
      <c r="AH185" s="215"/>
    </row>
    <row r="186" spans="1:34" ht="63" customHeight="1" x14ac:dyDescent="0.25">
      <c r="A186" s="153" t="s">
        <v>1027</v>
      </c>
      <c r="B186" s="142"/>
      <c r="C186" s="135"/>
      <c r="D186" s="136"/>
      <c r="E186" s="143"/>
      <c r="F186" s="463"/>
      <c r="G186" s="145"/>
      <c r="H186" s="146"/>
      <c r="I186" s="151"/>
      <c r="J186" s="150"/>
      <c r="K186" s="134"/>
      <c r="L186" s="137"/>
      <c r="M186" s="138"/>
      <c r="N186" s="138"/>
      <c r="O186" s="149" t="str">
        <f t="shared" si="13"/>
        <v/>
      </c>
      <c r="P186" s="470" t="str">
        <f>IFERROR(IF(L186="avec arrêt",IF(MONTH(N186)='Liste AT'!$X$2,0,N186-EOMONTH('Stats AT BDD'!$X$2,0)),""),"")</f>
        <v/>
      </c>
      <c r="Q186" s="139"/>
      <c r="R186" s="140"/>
      <c r="S186" s="140"/>
      <c r="T186" s="141"/>
      <c r="U186" s="143"/>
      <c r="V186" s="137"/>
      <c r="W186" s="137"/>
      <c r="X186" s="141"/>
      <c r="Y186" s="147"/>
      <c r="Z186" s="144" t="str">
        <f t="shared" si="12"/>
        <v/>
      </c>
      <c r="AA186" s="138"/>
      <c r="AB186" s="148" t="str">
        <f t="shared" ca="1" si="14"/>
        <v/>
      </c>
      <c r="AC186" s="226"/>
      <c r="AD186" s="210"/>
      <c r="AE186" s="350"/>
      <c r="AF186" s="353"/>
      <c r="AG186" s="350"/>
      <c r="AH186" s="215"/>
    </row>
    <row r="187" spans="1:34" ht="63" customHeight="1" x14ac:dyDescent="0.25">
      <c r="A187" s="153" t="s">
        <v>1028</v>
      </c>
      <c r="B187" s="142"/>
      <c r="C187" s="135"/>
      <c r="D187" s="136"/>
      <c r="E187" s="143"/>
      <c r="F187" s="463"/>
      <c r="G187" s="145"/>
      <c r="H187" s="146"/>
      <c r="I187" s="151"/>
      <c r="J187" s="150"/>
      <c r="K187" s="134"/>
      <c r="L187" s="137"/>
      <c r="M187" s="138"/>
      <c r="N187" s="138"/>
      <c r="O187" s="149" t="str">
        <f t="shared" si="13"/>
        <v/>
      </c>
      <c r="P187" s="470" t="str">
        <f>IFERROR(IF(L187="avec arrêt",IF(MONTH(N187)='Liste AT'!$X$2,0,N187-EOMONTH('Stats AT BDD'!$X$2,0)),""),"")</f>
        <v/>
      </c>
      <c r="Q187" s="139"/>
      <c r="R187" s="140"/>
      <c r="S187" s="140"/>
      <c r="T187" s="141"/>
      <c r="U187" s="143"/>
      <c r="V187" s="137"/>
      <c r="W187" s="137"/>
      <c r="X187" s="141"/>
      <c r="Y187" s="147"/>
      <c r="Z187" s="144" t="str">
        <f t="shared" si="12"/>
        <v/>
      </c>
      <c r="AA187" s="138"/>
      <c r="AB187" s="148" t="str">
        <f t="shared" ca="1" si="14"/>
        <v/>
      </c>
      <c r="AC187" s="226"/>
      <c r="AD187" s="210"/>
      <c r="AE187" s="350"/>
      <c r="AF187" s="353"/>
      <c r="AG187" s="350"/>
      <c r="AH187" s="215"/>
    </row>
    <row r="188" spans="1:34" ht="63" customHeight="1" x14ac:dyDescent="0.25">
      <c r="A188" s="153" t="s">
        <v>1029</v>
      </c>
      <c r="B188" s="142"/>
      <c r="C188" s="135"/>
      <c r="D188" s="136"/>
      <c r="E188" s="143"/>
      <c r="F188" s="463"/>
      <c r="G188" s="145"/>
      <c r="H188" s="146"/>
      <c r="I188" s="151"/>
      <c r="J188" s="150"/>
      <c r="K188" s="134"/>
      <c r="L188" s="137"/>
      <c r="M188" s="138"/>
      <c r="N188" s="138"/>
      <c r="O188" s="149" t="str">
        <f t="shared" si="13"/>
        <v/>
      </c>
      <c r="P188" s="470" t="str">
        <f>IFERROR(IF(L188="avec arrêt",IF(MONTH(N188)='Liste AT'!$X$2,0,N188-EOMONTH('Stats AT BDD'!$X$2,0)),""),"")</f>
        <v/>
      </c>
      <c r="Q188" s="139"/>
      <c r="R188" s="140"/>
      <c r="S188" s="140"/>
      <c r="T188" s="141"/>
      <c r="U188" s="143"/>
      <c r="V188" s="137"/>
      <c r="W188" s="137"/>
      <c r="X188" s="141"/>
      <c r="Y188" s="147"/>
      <c r="Z188" s="144" t="str">
        <f t="shared" si="12"/>
        <v/>
      </c>
      <c r="AA188" s="138"/>
      <c r="AB188" s="148" t="str">
        <f t="shared" ca="1" si="14"/>
        <v/>
      </c>
      <c r="AC188" s="226"/>
      <c r="AD188" s="210"/>
      <c r="AE188" s="350"/>
      <c r="AF188" s="353"/>
      <c r="AG188" s="350"/>
      <c r="AH188" s="215"/>
    </row>
    <row r="189" spans="1:34" ht="63" customHeight="1" x14ac:dyDescent="0.25">
      <c r="A189" s="153" t="s">
        <v>1030</v>
      </c>
      <c r="B189" s="142"/>
      <c r="C189" s="135"/>
      <c r="D189" s="136"/>
      <c r="E189" s="143"/>
      <c r="F189" s="463"/>
      <c r="G189" s="145"/>
      <c r="H189" s="146"/>
      <c r="I189" s="151"/>
      <c r="J189" s="150"/>
      <c r="K189" s="134"/>
      <c r="L189" s="137"/>
      <c r="M189" s="138"/>
      <c r="N189" s="138"/>
      <c r="O189" s="149" t="str">
        <f t="shared" si="13"/>
        <v/>
      </c>
      <c r="P189" s="470" t="str">
        <f>IFERROR(IF(L189="avec arrêt",IF(MONTH(N189)='Liste AT'!$X$2,0,N189-EOMONTH('Stats AT BDD'!$X$2,0)),""),"")</f>
        <v/>
      </c>
      <c r="Q189" s="139"/>
      <c r="R189" s="140"/>
      <c r="S189" s="140"/>
      <c r="T189" s="141"/>
      <c r="U189" s="143"/>
      <c r="V189" s="137"/>
      <c r="W189" s="137"/>
      <c r="X189" s="141"/>
      <c r="Y189" s="147"/>
      <c r="Z189" s="144" t="str">
        <f t="shared" si="12"/>
        <v/>
      </c>
      <c r="AA189" s="138"/>
      <c r="AB189" s="148" t="str">
        <f t="shared" ca="1" si="14"/>
        <v/>
      </c>
      <c r="AC189" s="226"/>
      <c r="AD189" s="210"/>
      <c r="AE189" s="350"/>
      <c r="AF189" s="353"/>
      <c r="AG189" s="350"/>
      <c r="AH189" s="215"/>
    </row>
    <row r="190" spans="1:34" ht="63" customHeight="1" x14ac:dyDescent="0.25">
      <c r="A190" s="153" t="s">
        <v>1031</v>
      </c>
      <c r="B190" s="142"/>
      <c r="C190" s="135"/>
      <c r="D190" s="136"/>
      <c r="E190" s="143"/>
      <c r="F190" s="463"/>
      <c r="G190" s="145"/>
      <c r="H190" s="146"/>
      <c r="I190" s="151"/>
      <c r="J190" s="150"/>
      <c r="K190" s="134"/>
      <c r="L190" s="137"/>
      <c r="M190" s="138"/>
      <c r="N190" s="138"/>
      <c r="O190" s="149" t="str">
        <f t="shared" si="13"/>
        <v/>
      </c>
      <c r="P190" s="470" t="str">
        <f>IFERROR(IF(L190="avec arrêt",IF(MONTH(N190)='Liste AT'!$X$2,0,N190-EOMONTH('Stats AT BDD'!$X$2,0)),""),"")</f>
        <v/>
      </c>
      <c r="Q190" s="139"/>
      <c r="R190" s="140"/>
      <c r="S190" s="140"/>
      <c r="T190" s="141"/>
      <c r="U190" s="143"/>
      <c r="V190" s="137"/>
      <c r="W190" s="137"/>
      <c r="X190" s="214"/>
      <c r="Y190" s="147"/>
      <c r="Z190" s="144" t="str">
        <f t="shared" ref="Z190:Z253" si="15">IF(ISBLANK(I190),"",I190+7)</f>
        <v/>
      </c>
      <c r="AA190" s="138"/>
      <c r="AB190" s="148" t="str">
        <f t="shared" ca="1" si="14"/>
        <v/>
      </c>
      <c r="AC190" s="226"/>
      <c r="AD190" s="210"/>
      <c r="AE190" s="350"/>
      <c r="AF190" s="353"/>
      <c r="AG190" s="350"/>
      <c r="AH190" s="215"/>
    </row>
    <row r="191" spans="1:34" ht="63" customHeight="1" x14ac:dyDescent="0.25">
      <c r="A191" s="153" t="s">
        <v>1032</v>
      </c>
      <c r="B191" s="142"/>
      <c r="C191" s="135"/>
      <c r="D191" s="136"/>
      <c r="E191" s="143"/>
      <c r="F191" s="463"/>
      <c r="G191" s="145"/>
      <c r="H191" s="146"/>
      <c r="I191" s="151"/>
      <c r="J191" s="150"/>
      <c r="K191" s="134"/>
      <c r="L191" s="137"/>
      <c r="M191" s="138"/>
      <c r="N191" s="138"/>
      <c r="O191" s="149" t="str">
        <f t="shared" si="13"/>
        <v/>
      </c>
      <c r="P191" s="470" t="str">
        <f>IFERROR(IF(L191="avec arrêt",IF(MONTH(N191)='Liste AT'!$X$2,0,N191-EOMONTH('Stats AT BDD'!$X$2,0)),""),"")</f>
        <v/>
      </c>
      <c r="Q191" s="139"/>
      <c r="R191" s="140"/>
      <c r="S191" s="140"/>
      <c r="T191" s="141"/>
      <c r="U191" s="143"/>
      <c r="V191" s="137"/>
      <c r="W191" s="137"/>
      <c r="X191" s="141"/>
      <c r="Y191" s="147"/>
      <c r="Z191" s="144" t="str">
        <f t="shared" si="15"/>
        <v/>
      </c>
      <c r="AA191" s="138"/>
      <c r="AB191" s="148" t="str">
        <f t="shared" ca="1" si="14"/>
        <v/>
      </c>
      <c r="AC191" s="226"/>
      <c r="AD191" s="210"/>
      <c r="AE191" s="350"/>
      <c r="AF191" s="353"/>
      <c r="AG191" s="350"/>
      <c r="AH191" s="215"/>
    </row>
    <row r="192" spans="1:34" ht="63" customHeight="1" x14ac:dyDescent="0.25">
      <c r="A192" s="153" t="s">
        <v>1033</v>
      </c>
      <c r="B192" s="142"/>
      <c r="C192" s="135"/>
      <c r="D192" s="136"/>
      <c r="E192" s="143"/>
      <c r="F192" s="463"/>
      <c r="G192" s="145"/>
      <c r="H192" s="146"/>
      <c r="I192" s="151"/>
      <c r="J192" s="150"/>
      <c r="K192" s="134"/>
      <c r="L192" s="137"/>
      <c r="M192" s="138"/>
      <c r="N192" s="138"/>
      <c r="O192" s="149" t="str">
        <f t="shared" si="13"/>
        <v/>
      </c>
      <c r="P192" s="470" t="str">
        <f>IFERROR(IF(L192="avec arrêt",IF(MONTH(N192)='Liste AT'!$X$2,0,N192-EOMONTH('Stats AT BDD'!$X$2,0)),""),"")</f>
        <v/>
      </c>
      <c r="Q192" s="139"/>
      <c r="R192" s="140"/>
      <c r="S192" s="140"/>
      <c r="T192" s="141"/>
      <c r="U192" s="143"/>
      <c r="V192" s="137"/>
      <c r="W192" s="137"/>
      <c r="X192" s="141"/>
      <c r="Y192" s="147"/>
      <c r="Z192" s="144" t="str">
        <f t="shared" si="15"/>
        <v/>
      </c>
      <c r="AA192" s="138"/>
      <c r="AB192" s="148" t="str">
        <f t="shared" ca="1" si="14"/>
        <v/>
      </c>
      <c r="AC192" s="226"/>
      <c r="AD192" s="210"/>
      <c r="AE192" s="350"/>
      <c r="AF192" s="353"/>
      <c r="AG192" s="350"/>
      <c r="AH192" s="215"/>
    </row>
    <row r="193" spans="1:34" ht="63" customHeight="1" x14ac:dyDescent="0.25">
      <c r="A193" s="153" t="s">
        <v>1034</v>
      </c>
      <c r="B193" s="142"/>
      <c r="C193" s="135"/>
      <c r="D193" s="136"/>
      <c r="E193" s="143"/>
      <c r="F193" s="463"/>
      <c r="G193" s="145"/>
      <c r="H193" s="146"/>
      <c r="I193" s="151"/>
      <c r="J193" s="150"/>
      <c r="K193" s="134"/>
      <c r="L193" s="137"/>
      <c r="M193" s="138"/>
      <c r="N193" s="138"/>
      <c r="O193" s="149" t="str">
        <f t="shared" si="13"/>
        <v/>
      </c>
      <c r="P193" s="470" t="str">
        <f>IFERROR(IF(L193="avec arrêt",IF(MONTH(N193)='Liste AT'!$X$2,0,N193-EOMONTH('Stats AT BDD'!$X$2,0)),""),"")</f>
        <v/>
      </c>
      <c r="Q193" s="139"/>
      <c r="R193" s="140"/>
      <c r="S193" s="140"/>
      <c r="T193" s="141"/>
      <c r="U193" s="143"/>
      <c r="V193" s="137"/>
      <c r="W193" s="137"/>
      <c r="X193" s="141"/>
      <c r="Y193" s="147"/>
      <c r="Z193" s="144" t="str">
        <f t="shared" si="15"/>
        <v/>
      </c>
      <c r="AA193" s="138"/>
      <c r="AB193" s="148" t="str">
        <f t="shared" ca="1" si="14"/>
        <v/>
      </c>
      <c r="AC193" s="226"/>
      <c r="AD193" s="210"/>
      <c r="AE193" s="350"/>
      <c r="AF193" s="353"/>
      <c r="AG193" s="350"/>
      <c r="AH193" s="215"/>
    </row>
    <row r="194" spans="1:34" ht="63" customHeight="1" x14ac:dyDescent="0.25">
      <c r="A194" s="153" t="s">
        <v>1035</v>
      </c>
      <c r="B194" s="142"/>
      <c r="C194" s="135"/>
      <c r="D194" s="136"/>
      <c r="E194" s="143"/>
      <c r="F194" s="463"/>
      <c r="G194" s="145"/>
      <c r="H194" s="146"/>
      <c r="I194" s="151"/>
      <c r="J194" s="150"/>
      <c r="K194" s="134"/>
      <c r="L194" s="137"/>
      <c r="M194" s="138"/>
      <c r="N194" s="138"/>
      <c r="O194" s="149" t="str">
        <f t="shared" si="13"/>
        <v/>
      </c>
      <c r="P194" s="470" t="str">
        <f>IFERROR(IF(L194="avec arrêt",IF(MONTH(N194)='Liste AT'!$X$2,0,N194-EOMONTH('Stats AT BDD'!$X$2,0)),""),"")</f>
        <v/>
      </c>
      <c r="Q194" s="139"/>
      <c r="R194" s="140"/>
      <c r="S194" s="140"/>
      <c r="T194" s="141"/>
      <c r="U194" s="143"/>
      <c r="V194" s="137"/>
      <c r="W194" s="137"/>
      <c r="X194" s="141"/>
      <c r="Y194" s="147"/>
      <c r="Z194" s="144" t="str">
        <f t="shared" si="15"/>
        <v/>
      </c>
      <c r="AA194" s="138"/>
      <c r="AB194" s="148" t="str">
        <f t="shared" ca="1" si="14"/>
        <v/>
      </c>
      <c r="AC194" s="226"/>
      <c r="AD194" s="210"/>
      <c r="AE194" s="350"/>
      <c r="AF194" s="353"/>
      <c r="AG194" s="350"/>
      <c r="AH194" s="215"/>
    </row>
    <row r="195" spans="1:34" ht="63" customHeight="1" x14ac:dyDescent="0.25">
      <c r="A195" s="153" t="s">
        <v>1036</v>
      </c>
      <c r="B195" s="142"/>
      <c r="C195" s="135"/>
      <c r="D195" s="136"/>
      <c r="E195" s="143"/>
      <c r="F195" s="463"/>
      <c r="G195" s="145"/>
      <c r="H195" s="146"/>
      <c r="I195" s="151"/>
      <c r="J195" s="150"/>
      <c r="K195" s="134"/>
      <c r="L195" s="137"/>
      <c r="M195" s="138"/>
      <c r="N195" s="138"/>
      <c r="O195" s="149" t="str">
        <f t="shared" si="13"/>
        <v/>
      </c>
      <c r="P195" s="470" t="str">
        <f>IFERROR(IF(L195="avec arrêt",IF(MONTH(N195)='Liste AT'!$X$2,0,N195-EOMONTH('Stats AT BDD'!$X$2,0)),""),"")</f>
        <v/>
      </c>
      <c r="Q195" s="139"/>
      <c r="R195" s="140"/>
      <c r="S195" s="140"/>
      <c r="T195" s="141"/>
      <c r="U195" s="143"/>
      <c r="V195" s="137"/>
      <c r="W195" s="137"/>
      <c r="X195" s="141"/>
      <c r="Y195" s="147"/>
      <c r="Z195" s="144" t="str">
        <f t="shared" si="15"/>
        <v/>
      </c>
      <c r="AA195" s="138"/>
      <c r="AB195" s="148" t="str">
        <f t="shared" ca="1" si="14"/>
        <v/>
      </c>
      <c r="AC195" s="226"/>
      <c r="AD195" s="210"/>
      <c r="AE195" s="350"/>
      <c r="AF195" s="353"/>
      <c r="AG195" s="350"/>
      <c r="AH195" s="215"/>
    </row>
    <row r="196" spans="1:34" ht="63" customHeight="1" x14ac:dyDescent="0.25">
      <c r="A196" s="153" t="s">
        <v>1037</v>
      </c>
      <c r="B196" s="142"/>
      <c r="C196" s="135"/>
      <c r="D196" s="136"/>
      <c r="E196" s="143"/>
      <c r="F196" s="463"/>
      <c r="G196" s="145"/>
      <c r="H196" s="146"/>
      <c r="I196" s="151"/>
      <c r="J196" s="150"/>
      <c r="K196" s="134"/>
      <c r="L196" s="137"/>
      <c r="M196" s="138"/>
      <c r="N196" s="138"/>
      <c r="O196" s="149" t="str">
        <f t="shared" si="13"/>
        <v/>
      </c>
      <c r="P196" s="470" t="str">
        <f>IFERROR(IF(L196="avec arrêt",IF(MONTH(N196)='Liste AT'!$X$2,0,N196-EOMONTH('Stats AT BDD'!$X$2,0)),""),"")</f>
        <v/>
      </c>
      <c r="Q196" s="139"/>
      <c r="R196" s="140"/>
      <c r="S196" s="140"/>
      <c r="T196" s="141"/>
      <c r="U196" s="143"/>
      <c r="V196" s="137"/>
      <c r="W196" s="137"/>
      <c r="X196" s="141"/>
      <c r="Y196" s="147"/>
      <c r="Z196" s="144" t="str">
        <f t="shared" si="15"/>
        <v/>
      </c>
      <c r="AA196" s="138"/>
      <c r="AB196" s="148" t="str">
        <f t="shared" ca="1" si="14"/>
        <v/>
      </c>
      <c r="AC196" s="226"/>
      <c r="AD196" s="210"/>
      <c r="AE196" s="350"/>
      <c r="AF196" s="353"/>
      <c r="AG196" s="350"/>
      <c r="AH196" s="215"/>
    </row>
    <row r="197" spans="1:34" ht="63" customHeight="1" x14ac:dyDescent="0.25">
      <c r="A197" s="153" t="s">
        <v>1038</v>
      </c>
      <c r="B197" s="142"/>
      <c r="C197" s="135"/>
      <c r="D197" s="136"/>
      <c r="E197" s="143"/>
      <c r="F197" s="463"/>
      <c r="G197" s="145"/>
      <c r="H197" s="146"/>
      <c r="I197" s="151"/>
      <c r="J197" s="150"/>
      <c r="K197" s="134"/>
      <c r="L197" s="137"/>
      <c r="M197" s="138"/>
      <c r="N197" s="138"/>
      <c r="O197" s="149" t="str">
        <f t="shared" si="13"/>
        <v/>
      </c>
      <c r="P197" s="470" t="str">
        <f>IFERROR(IF(L197="avec arrêt",IF(MONTH(N197)='Liste AT'!$X$2,0,N197-EOMONTH('Stats AT BDD'!$X$2,0)),""),"")</f>
        <v/>
      </c>
      <c r="Q197" s="139"/>
      <c r="R197" s="140"/>
      <c r="S197" s="140"/>
      <c r="T197" s="141"/>
      <c r="U197" s="143"/>
      <c r="V197" s="137"/>
      <c r="W197" s="137"/>
      <c r="X197" s="141"/>
      <c r="Y197" s="147"/>
      <c r="Z197" s="144" t="str">
        <f t="shared" si="15"/>
        <v/>
      </c>
      <c r="AA197" s="138"/>
      <c r="AB197" s="148" t="str">
        <f t="shared" ca="1" si="14"/>
        <v/>
      </c>
      <c r="AC197" s="226"/>
      <c r="AD197" s="210"/>
      <c r="AE197" s="350"/>
      <c r="AF197" s="353"/>
      <c r="AG197" s="350"/>
      <c r="AH197" s="215"/>
    </row>
    <row r="198" spans="1:34" ht="63" customHeight="1" x14ac:dyDescent="0.25">
      <c r="A198" s="153" t="s">
        <v>1039</v>
      </c>
      <c r="B198" s="142"/>
      <c r="C198" s="135"/>
      <c r="D198" s="136"/>
      <c r="E198" s="143"/>
      <c r="F198" s="463"/>
      <c r="G198" s="145"/>
      <c r="H198" s="146"/>
      <c r="I198" s="151"/>
      <c r="J198" s="150"/>
      <c r="K198" s="134"/>
      <c r="L198" s="137"/>
      <c r="M198" s="138"/>
      <c r="N198" s="138"/>
      <c r="O198" s="149" t="str">
        <f t="shared" si="13"/>
        <v/>
      </c>
      <c r="P198" s="470" t="str">
        <f>IFERROR(IF(L198="avec arrêt",IF(MONTH(N198)='Liste AT'!$X$2,0,N198-EOMONTH('Stats AT BDD'!$X$2,0)),""),"")</f>
        <v/>
      </c>
      <c r="Q198" s="139"/>
      <c r="R198" s="140"/>
      <c r="S198" s="140"/>
      <c r="T198" s="141"/>
      <c r="U198" s="143"/>
      <c r="V198" s="137"/>
      <c r="W198" s="137"/>
      <c r="X198" s="141"/>
      <c r="Y198" s="147"/>
      <c r="Z198" s="144" t="str">
        <f t="shared" si="15"/>
        <v/>
      </c>
      <c r="AA198" s="138"/>
      <c r="AB198" s="148" t="str">
        <f t="shared" ca="1" si="14"/>
        <v/>
      </c>
      <c r="AC198" s="226"/>
      <c r="AD198" s="210"/>
      <c r="AE198" s="350"/>
      <c r="AF198" s="353"/>
      <c r="AG198" s="350"/>
      <c r="AH198" s="215"/>
    </row>
    <row r="199" spans="1:34" ht="63" customHeight="1" x14ac:dyDescent="0.25">
      <c r="A199" s="153" t="s">
        <v>1040</v>
      </c>
      <c r="B199" s="142"/>
      <c r="C199" s="135"/>
      <c r="D199" s="136"/>
      <c r="E199" s="143"/>
      <c r="F199" s="463"/>
      <c r="G199" s="145"/>
      <c r="H199" s="146"/>
      <c r="I199" s="151"/>
      <c r="J199" s="150"/>
      <c r="K199" s="134"/>
      <c r="L199" s="137"/>
      <c r="M199" s="138"/>
      <c r="N199" s="138"/>
      <c r="O199" s="149" t="str">
        <f t="shared" ref="O199:O262" si="16">IF(L199="avec arrêt",(N199-M199)+1,"")</f>
        <v/>
      </c>
      <c r="P199" s="470" t="str">
        <f>IFERROR(IF(L199="avec arrêt",IF(MONTH(N199)='Liste AT'!$X$2,0,N199-EOMONTH('Stats AT BDD'!$X$2,0)),""),"")</f>
        <v/>
      </c>
      <c r="Q199" s="139"/>
      <c r="R199" s="140"/>
      <c r="S199" s="140"/>
      <c r="T199" s="141"/>
      <c r="U199" s="143"/>
      <c r="V199" s="137"/>
      <c r="W199" s="137"/>
      <c r="X199" s="141"/>
      <c r="Y199" s="147"/>
      <c r="Z199" s="144" t="str">
        <f t="shared" si="15"/>
        <v/>
      </c>
      <c r="AA199" s="138"/>
      <c r="AB199" s="148" t="str">
        <f t="shared" ca="1" si="14"/>
        <v/>
      </c>
      <c r="AC199" s="226"/>
      <c r="AD199" s="210"/>
      <c r="AE199" s="350"/>
      <c r="AF199" s="353"/>
      <c r="AG199" s="350"/>
      <c r="AH199" s="215"/>
    </row>
    <row r="200" spans="1:34" ht="63" customHeight="1" x14ac:dyDescent="0.25">
      <c r="A200" s="153" t="s">
        <v>1041</v>
      </c>
      <c r="B200" s="142"/>
      <c r="C200" s="135"/>
      <c r="D200" s="136"/>
      <c r="E200" s="143"/>
      <c r="F200" s="463"/>
      <c r="G200" s="145"/>
      <c r="H200" s="146"/>
      <c r="I200" s="151"/>
      <c r="J200" s="150"/>
      <c r="K200" s="134"/>
      <c r="L200" s="137"/>
      <c r="M200" s="138"/>
      <c r="N200" s="138"/>
      <c r="O200" s="149" t="str">
        <f t="shared" si="16"/>
        <v/>
      </c>
      <c r="P200" s="470" t="str">
        <f>IFERROR(IF(L200="avec arrêt",IF(MONTH(N200)='Liste AT'!$X$2,0,N200-EOMONTH('Stats AT BDD'!$X$2,0)),""),"")</f>
        <v/>
      </c>
      <c r="Q200" s="139"/>
      <c r="R200" s="140"/>
      <c r="S200" s="140"/>
      <c r="T200" s="141"/>
      <c r="U200" s="143"/>
      <c r="V200" s="137"/>
      <c r="W200" s="137"/>
      <c r="X200" s="141"/>
      <c r="Y200" s="147"/>
      <c r="Z200" s="144" t="str">
        <f t="shared" si="15"/>
        <v/>
      </c>
      <c r="AA200" s="138"/>
      <c r="AB200" s="148" t="str">
        <f t="shared" ca="1" si="14"/>
        <v/>
      </c>
      <c r="AC200" s="226"/>
      <c r="AD200" s="210"/>
      <c r="AE200" s="350"/>
      <c r="AF200" s="353"/>
      <c r="AG200" s="350"/>
      <c r="AH200" s="215"/>
    </row>
    <row r="201" spans="1:34" ht="63" customHeight="1" x14ac:dyDescent="0.25">
      <c r="A201" s="153" t="s">
        <v>1042</v>
      </c>
      <c r="B201" s="142"/>
      <c r="C201" s="135"/>
      <c r="D201" s="136"/>
      <c r="E201" s="143"/>
      <c r="F201" s="463"/>
      <c r="G201" s="145"/>
      <c r="H201" s="146"/>
      <c r="I201" s="151"/>
      <c r="J201" s="150"/>
      <c r="K201" s="134"/>
      <c r="L201" s="137"/>
      <c r="M201" s="138"/>
      <c r="N201" s="138"/>
      <c r="O201" s="149" t="str">
        <f t="shared" si="16"/>
        <v/>
      </c>
      <c r="P201" s="470" t="str">
        <f>IFERROR(IF(L201="avec arrêt",IF(MONTH(N201)='Liste AT'!$X$2,0,N201-EOMONTH('Stats AT BDD'!$X$2,0)),""),"")</f>
        <v/>
      </c>
      <c r="Q201" s="139"/>
      <c r="R201" s="140"/>
      <c r="S201" s="140"/>
      <c r="T201" s="141"/>
      <c r="U201" s="143"/>
      <c r="V201" s="137"/>
      <c r="W201" s="137"/>
      <c r="X201" s="214"/>
      <c r="Y201" s="220"/>
      <c r="Z201" s="144" t="str">
        <f t="shared" si="15"/>
        <v/>
      </c>
      <c r="AA201" s="138"/>
      <c r="AB201" s="148" t="str">
        <f t="shared" ca="1" si="14"/>
        <v/>
      </c>
      <c r="AC201" s="226"/>
      <c r="AD201" s="210"/>
      <c r="AE201" s="350"/>
      <c r="AF201" s="353"/>
      <c r="AG201" s="350"/>
      <c r="AH201" s="215"/>
    </row>
    <row r="202" spans="1:34" ht="63" customHeight="1" x14ac:dyDescent="0.25">
      <c r="A202" s="153" t="s">
        <v>1043</v>
      </c>
      <c r="B202" s="142"/>
      <c r="C202" s="135"/>
      <c r="D202" s="136"/>
      <c r="E202" s="143"/>
      <c r="F202" s="463"/>
      <c r="G202" s="145"/>
      <c r="H202" s="146"/>
      <c r="I202" s="151"/>
      <c r="J202" s="150"/>
      <c r="K202" s="134"/>
      <c r="L202" s="137"/>
      <c r="M202" s="138"/>
      <c r="N202" s="138"/>
      <c r="O202" s="149" t="str">
        <f t="shared" si="16"/>
        <v/>
      </c>
      <c r="P202" s="470" t="str">
        <f>IFERROR(IF(L202="avec arrêt",IF(MONTH(N202)='Liste AT'!$X$2,0,N202-EOMONTH('Stats AT BDD'!$X$2,0)),""),"")</f>
        <v/>
      </c>
      <c r="Q202" s="139"/>
      <c r="R202" s="140"/>
      <c r="S202" s="140"/>
      <c r="T202" s="141"/>
      <c r="U202" s="143"/>
      <c r="V202" s="137"/>
      <c r="W202" s="137"/>
      <c r="X202" s="141"/>
      <c r="Y202" s="147"/>
      <c r="Z202" s="144" t="str">
        <f t="shared" si="15"/>
        <v/>
      </c>
      <c r="AA202" s="138"/>
      <c r="AB202" s="148" t="str">
        <f t="shared" ca="1" si="14"/>
        <v/>
      </c>
      <c r="AC202" s="226"/>
      <c r="AD202" s="210"/>
      <c r="AE202" s="350"/>
      <c r="AF202" s="353"/>
      <c r="AG202" s="350"/>
      <c r="AH202" s="215"/>
    </row>
    <row r="203" spans="1:34" ht="63" customHeight="1" x14ac:dyDescent="0.25">
      <c r="A203" s="153" t="s">
        <v>1044</v>
      </c>
      <c r="B203" s="142"/>
      <c r="C203" s="135"/>
      <c r="D203" s="136"/>
      <c r="E203" s="143"/>
      <c r="F203" s="463"/>
      <c r="G203" s="145"/>
      <c r="H203" s="146"/>
      <c r="I203" s="151"/>
      <c r="J203" s="150"/>
      <c r="K203" s="134"/>
      <c r="L203" s="137"/>
      <c r="M203" s="138"/>
      <c r="N203" s="138"/>
      <c r="O203" s="149" t="str">
        <f t="shared" si="16"/>
        <v/>
      </c>
      <c r="P203" s="470" t="str">
        <f>IFERROR(IF(L203="avec arrêt",IF(MONTH(N203)='Liste AT'!$X$2,0,N203-EOMONTH('Stats AT BDD'!$X$2,0)),""),"")</f>
        <v/>
      </c>
      <c r="Q203" s="139"/>
      <c r="R203" s="140"/>
      <c r="S203" s="140"/>
      <c r="T203" s="141"/>
      <c r="U203" s="143"/>
      <c r="V203" s="137"/>
      <c r="W203" s="137"/>
      <c r="X203" s="141"/>
      <c r="Y203" s="147"/>
      <c r="Z203" s="144" t="str">
        <f t="shared" si="15"/>
        <v/>
      </c>
      <c r="AA203" s="138"/>
      <c r="AB203" s="148" t="str">
        <f t="shared" ca="1" si="14"/>
        <v/>
      </c>
      <c r="AC203" s="226"/>
      <c r="AD203" s="210"/>
      <c r="AE203" s="350"/>
      <c r="AF203" s="353"/>
      <c r="AG203" s="350"/>
      <c r="AH203" s="215"/>
    </row>
    <row r="204" spans="1:34" ht="63" customHeight="1" x14ac:dyDescent="0.25">
      <c r="A204" s="153" t="s">
        <v>1045</v>
      </c>
      <c r="B204" s="142"/>
      <c r="C204" s="135"/>
      <c r="D204" s="136"/>
      <c r="E204" s="143"/>
      <c r="F204" s="463"/>
      <c r="G204" s="145"/>
      <c r="H204" s="146"/>
      <c r="I204" s="151"/>
      <c r="J204" s="150"/>
      <c r="K204" s="134"/>
      <c r="L204" s="137"/>
      <c r="M204" s="138"/>
      <c r="N204" s="138"/>
      <c r="O204" s="149" t="str">
        <f t="shared" si="16"/>
        <v/>
      </c>
      <c r="P204" s="470" t="str">
        <f>IFERROR(IF(L204="avec arrêt",IF(MONTH(N204)='Liste AT'!$X$2,0,N204-EOMONTH('Stats AT BDD'!$X$2,0)),""),"")</f>
        <v/>
      </c>
      <c r="Q204" s="139"/>
      <c r="R204" s="140"/>
      <c r="S204" s="140"/>
      <c r="T204" s="141"/>
      <c r="U204" s="143"/>
      <c r="V204" s="137"/>
      <c r="W204" s="137"/>
      <c r="X204" s="141"/>
      <c r="Y204" s="147"/>
      <c r="Z204" s="144" t="str">
        <f t="shared" si="15"/>
        <v/>
      </c>
      <c r="AA204" s="138"/>
      <c r="AB204" s="148" t="str">
        <f t="shared" ca="1" si="14"/>
        <v/>
      </c>
      <c r="AC204" s="226"/>
      <c r="AD204" s="210"/>
      <c r="AE204" s="350"/>
      <c r="AF204" s="353"/>
      <c r="AG204" s="350"/>
      <c r="AH204" s="215"/>
    </row>
    <row r="205" spans="1:34" ht="63" customHeight="1" x14ac:dyDescent="0.25">
      <c r="A205" s="153" t="s">
        <v>1046</v>
      </c>
      <c r="B205" s="142"/>
      <c r="C205" s="135"/>
      <c r="D205" s="136"/>
      <c r="E205" s="143"/>
      <c r="F205" s="463"/>
      <c r="G205" s="145"/>
      <c r="H205" s="146"/>
      <c r="I205" s="151"/>
      <c r="J205" s="150"/>
      <c r="K205" s="134"/>
      <c r="L205" s="137"/>
      <c r="M205" s="138"/>
      <c r="N205" s="138"/>
      <c r="O205" s="149" t="str">
        <f t="shared" si="16"/>
        <v/>
      </c>
      <c r="P205" s="470" t="str">
        <f>IFERROR(IF(L205="avec arrêt",IF(MONTH(N205)='Liste AT'!$X$2,0,N205-EOMONTH('Stats AT BDD'!$X$2,0)),""),"")</f>
        <v/>
      </c>
      <c r="Q205" s="139"/>
      <c r="R205" s="140"/>
      <c r="S205" s="140"/>
      <c r="T205" s="141"/>
      <c r="U205" s="143"/>
      <c r="V205" s="137"/>
      <c r="W205" s="137"/>
      <c r="X205" s="141"/>
      <c r="Y205" s="147"/>
      <c r="Z205" s="144" t="str">
        <f t="shared" si="15"/>
        <v/>
      </c>
      <c r="AA205" s="138"/>
      <c r="AB205" s="148" t="str">
        <f t="shared" ca="1" si="14"/>
        <v/>
      </c>
      <c r="AC205" s="226"/>
      <c r="AD205" s="210"/>
      <c r="AE205" s="350"/>
      <c r="AF205" s="353"/>
      <c r="AG205" s="350"/>
      <c r="AH205" s="215"/>
    </row>
    <row r="206" spans="1:34" ht="63" customHeight="1" x14ac:dyDescent="0.25">
      <c r="A206" s="153" t="s">
        <v>1047</v>
      </c>
      <c r="B206" s="142"/>
      <c r="C206" s="135"/>
      <c r="D206" s="136"/>
      <c r="E206" s="143"/>
      <c r="F206" s="463"/>
      <c r="G206" s="145"/>
      <c r="H206" s="146"/>
      <c r="I206" s="151"/>
      <c r="J206" s="150"/>
      <c r="K206" s="134"/>
      <c r="L206" s="137"/>
      <c r="M206" s="138"/>
      <c r="N206" s="138"/>
      <c r="O206" s="149" t="str">
        <f t="shared" si="16"/>
        <v/>
      </c>
      <c r="P206" s="470" t="str">
        <f>IFERROR(IF(L206="avec arrêt",IF(MONTH(N206)='Liste AT'!$X$2,0,N206-EOMONTH('Stats AT BDD'!$X$2,0)),""),"")</f>
        <v/>
      </c>
      <c r="Q206" s="139"/>
      <c r="R206" s="140"/>
      <c r="S206" s="140"/>
      <c r="T206" s="141"/>
      <c r="U206" s="143"/>
      <c r="V206" s="137"/>
      <c r="W206" s="137"/>
      <c r="X206" s="141"/>
      <c r="Y206" s="147"/>
      <c r="Z206" s="144" t="str">
        <f t="shared" si="15"/>
        <v/>
      </c>
      <c r="AA206" s="138"/>
      <c r="AB206" s="148" t="str">
        <f t="shared" ca="1" si="14"/>
        <v/>
      </c>
      <c r="AC206" s="226"/>
      <c r="AD206" s="210"/>
      <c r="AE206" s="350"/>
      <c r="AF206" s="353"/>
      <c r="AG206" s="350"/>
      <c r="AH206" s="215"/>
    </row>
    <row r="207" spans="1:34" ht="63" customHeight="1" x14ac:dyDescent="0.25">
      <c r="A207" s="153" t="s">
        <v>1048</v>
      </c>
      <c r="B207" s="142"/>
      <c r="C207" s="135"/>
      <c r="D207" s="136"/>
      <c r="E207" s="143"/>
      <c r="F207" s="463"/>
      <c r="G207" s="145"/>
      <c r="H207" s="146"/>
      <c r="I207" s="151"/>
      <c r="J207" s="150"/>
      <c r="K207" s="134"/>
      <c r="L207" s="137"/>
      <c r="M207" s="138"/>
      <c r="N207" s="138"/>
      <c r="O207" s="149" t="str">
        <f t="shared" si="16"/>
        <v/>
      </c>
      <c r="P207" s="470" t="str">
        <f>IFERROR(IF(L207="avec arrêt",IF(MONTH(N207)='Liste AT'!$X$2,0,N207-EOMONTH('Stats AT BDD'!$X$2,0)),""),"")</f>
        <v/>
      </c>
      <c r="Q207" s="139"/>
      <c r="R207" s="140"/>
      <c r="S207" s="140"/>
      <c r="T207" s="141"/>
      <c r="U207" s="143"/>
      <c r="V207" s="137"/>
      <c r="W207" s="137"/>
      <c r="X207" s="141"/>
      <c r="Y207" s="147"/>
      <c r="Z207" s="144" t="str">
        <f t="shared" si="15"/>
        <v/>
      </c>
      <c r="AA207" s="138"/>
      <c r="AB207" s="148" t="str">
        <f t="shared" ca="1" si="14"/>
        <v/>
      </c>
      <c r="AC207" s="226"/>
      <c r="AD207" s="210"/>
      <c r="AE207" s="350"/>
      <c r="AF207" s="353"/>
      <c r="AG207" s="350"/>
      <c r="AH207" s="215"/>
    </row>
    <row r="208" spans="1:34" ht="63" customHeight="1" x14ac:dyDescent="0.25">
      <c r="A208" s="153" t="s">
        <v>1049</v>
      </c>
      <c r="B208" s="142"/>
      <c r="C208" s="135"/>
      <c r="D208" s="136"/>
      <c r="E208" s="143"/>
      <c r="F208" s="463"/>
      <c r="G208" s="145"/>
      <c r="H208" s="146"/>
      <c r="I208" s="151"/>
      <c r="J208" s="150"/>
      <c r="K208" s="134"/>
      <c r="L208" s="137"/>
      <c r="M208" s="138"/>
      <c r="N208" s="138"/>
      <c r="O208" s="149" t="str">
        <f t="shared" si="16"/>
        <v/>
      </c>
      <c r="P208" s="470" t="str">
        <f>IFERROR(IF(L208="avec arrêt",IF(MONTH(N208)='Liste AT'!$X$2,0,N208-EOMONTH('Stats AT BDD'!$X$2,0)),""),"")</f>
        <v/>
      </c>
      <c r="Q208" s="139"/>
      <c r="R208" s="140"/>
      <c r="S208" s="140"/>
      <c r="T208" s="141"/>
      <c r="U208" s="143"/>
      <c r="V208" s="137"/>
      <c r="W208" s="137"/>
      <c r="X208" s="141"/>
      <c r="Y208" s="147"/>
      <c r="Z208" s="144" t="str">
        <f t="shared" si="15"/>
        <v/>
      </c>
      <c r="AA208" s="138"/>
      <c r="AB208" s="148" t="str">
        <f t="shared" ca="1" si="14"/>
        <v/>
      </c>
      <c r="AC208" s="226"/>
      <c r="AD208" s="210"/>
      <c r="AE208" s="350"/>
      <c r="AF208" s="353"/>
      <c r="AG208" s="350"/>
      <c r="AH208" s="215"/>
    </row>
    <row r="209" spans="1:34" ht="63" customHeight="1" x14ac:dyDescent="0.25">
      <c r="A209" s="153" t="s">
        <v>1050</v>
      </c>
      <c r="B209" s="142"/>
      <c r="C209" s="135"/>
      <c r="D209" s="136"/>
      <c r="E209" s="143"/>
      <c r="F209" s="463"/>
      <c r="G209" s="145"/>
      <c r="H209" s="146"/>
      <c r="I209" s="151"/>
      <c r="J209" s="150"/>
      <c r="K209" s="134"/>
      <c r="L209" s="137"/>
      <c r="M209" s="138"/>
      <c r="N209" s="138"/>
      <c r="O209" s="149" t="str">
        <f t="shared" si="16"/>
        <v/>
      </c>
      <c r="P209" s="470" t="str">
        <f>IFERROR(IF(L209="avec arrêt",IF(MONTH(N209)='Liste AT'!$X$2,0,N209-EOMONTH('Stats AT BDD'!$X$2,0)),""),"")</f>
        <v/>
      </c>
      <c r="Q209" s="139"/>
      <c r="R209" s="140"/>
      <c r="S209" s="140"/>
      <c r="T209" s="141"/>
      <c r="U209" s="143"/>
      <c r="V209" s="137"/>
      <c r="W209" s="137"/>
      <c r="X209" s="141"/>
      <c r="Y209" s="147"/>
      <c r="Z209" s="144" t="str">
        <f t="shared" si="15"/>
        <v/>
      </c>
      <c r="AA209" s="138"/>
      <c r="AB209" s="148" t="str">
        <f t="shared" ca="1" si="14"/>
        <v/>
      </c>
      <c r="AC209" s="226"/>
      <c r="AD209" s="210"/>
      <c r="AE209" s="350"/>
      <c r="AF209" s="353"/>
      <c r="AG209" s="350"/>
      <c r="AH209" s="215"/>
    </row>
    <row r="210" spans="1:34" ht="63" customHeight="1" x14ac:dyDescent="0.25">
      <c r="A210" s="153" t="s">
        <v>1051</v>
      </c>
      <c r="B210" s="142"/>
      <c r="C210" s="135"/>
      <c r="D210" s="136"/>
      <c r="E210" s="143"/>
      <c r="F210" s="463"/>
      <c r="G210" s="145"/>
      <c r="H210" s="146"/>
      <c r="I210" s="151"/>
      <c r="J210" s="150"/>
      <c r="K210" s="134"/>
      <c r="L210" s="137"/>
      <c r="M210" s="138"/>
      <c r="N210" s="138"/>
      <c r="O210" s="149" t="str">
        <f t="shared" si="16"/>
        <v/>
      </c>
      <c r="P210" s="470" t="str">
        <f>IFERROR(IF(L210="avec arrêt",IF(MONTH(N210)='Liste AT'!$X$2,0,N210-EOMONTH('Stats AT BDD'!$X$2,0)),""),"")</f>
        <v/>
      </c>
      <c r="Q210" s="139"/>
      <c r="R210" s="140"/>
      <c r="S210" s="140"/>
      <c r="T210" s="141"/>
      <c r="U210" s="143"/>
      <c r="V210" s="137"/>
      <c r="W210" s="137"/>
      <c r="X210" s="141"/>
      <c r="Y210" s="147"/>
      <c r="Z210" s="144" t="str">
        <f t="shared" si="15"/>
        <v/>
      </c>
      <c r="AA210" s="138"/>
      <c r="AB210" s="148" t="str">
        <f t="shared" ca="1" si="14"/>
        <v/>
      </c>
      <c r="AC210" s="226"/>
      <c r="AD210" s="210"/>
      <c r="AE210" s="350"/>
      <c r="AF210" s="353"/>
      <c r="AG210" s="350"/>
      <c r="AH210" s="215"/>
    </row>
    <row r="211" spans="1:34" ht="63" customHeight="1" x14ac:dyDescent="0.25">
      <c r="A211" s="153" t="s">
        <v>1052</v>
      </c>
      <c r="B211" s="142"/>
      <c r="C211" s="135"/>
      <c r="D211" s="136"/>
      <c r="E211" s="143"/>
      <c r="F211" s="463"/>
      <c r="G211" s="145"/>
      <c r="H211" s="146"/>
      <c r="I211" s="151"/>
      <c r="J211" s="150"/>
      <c r="K211" s="134"/>
      <c r="L211" s="137"/>
      <c r="M211" s="138"/>
      <c r="N211" s="138"/>
      <c r="O211" s="149" t="str">
        <f t="shared" si="16"/>
        <v/>
      </c>
      <c r="P211" s="470" t="str">
        <f>IFERROR(IF(L211="avec arrêt",IF(MONTH(N211)='Liste AT'!$X$2,0,N211-EOMONTH('Stats AT BDD'!$X$2,0)),""),"")</f>
        <v/>
      </c>
      <c r="Q211" s="139"/>
      <c r="R211" s="140"/>
      <c r="S211" s="140"/>
      <c r="T211" s="141"/>
      <c r="U211" s="143"/>
      <c r="V211" s="137"/>
      <c r="W211" s="137"/>
      <c r="X211" s="141"/>
      <c r="Y211" s="147"/>
      <c r="Z211" s="144" t="str">
        <f t="shared" si="15"/>
        <v/>
      </c>
      <c r="AA211" s="138"/>
      <c r="AB211" s="148" t="str">
        <f t="shared" ref="AB211:AB274" ca="1" si="17">IF(ISBLANK(AA211),IF(Z211&lt;TODAY(),"non",""),IF(AA211&gt;Z211,"non","oui"))</f>
        <v/>
      </c>
      <c r="AC211" s="226"/>
      <c r="AD211" s="210"/>
      <c r="AE211" s="350"/>
      <c r="AF211" s="353"/>
      <c r="AG211" s="350"/>
      <c r="AH211" s="215"/>
    </row>
    <row r="212" spans="1:34" ht="63" customHeight="1" x14ac:dyDescent="0.25">
      <c r="A212" s="153" t="s">
        <v>1053</v>
      </c>
      <c r="B212" s="142"/>
      <c r="C212" s="135"/>
      <c r="D212" s="136"/>
      <c r="E212" s="143"/>
      <c r="F212" s="463"/>
      <c r="G212" s="145"/>
      <c r="H212" s="146"/>
      <c r="I212" s="151"/>
      <c r="J212" s="150"/>
      <c r="K212" s="134"/>
      <c r="L212" s="137"/>
      <c r="M212" s="138"/>
      <c r="N212" s="138"/>
      <c r="O212" s="149" t="str">
        <f t="shared" si="16"/>
        <v/>
      </c>
      <c r="P212" s="470" t="str">
        <f>IFERROR(IF(L212="avec arrêt",IF(MONTH(N212)='Liste AT'!$X$2,0,N212-EOMONTH('Stats AT BDD'!$X$2,0)),""),"")</f>
        <v/>
      </c>
      <c r="Q212" s="139"/>
      <c r="R212" s="140"/>
      <c r="S212" s="140"/>
      <c r="T212" s="141"/>
      <c r="U212" s="143"/>
      <c r="V212" s="137"/>
      <c r="W212" s="137"/>
      <c r="X212" s="141"/>
      <c r="Y212" s="147"/>
      <c r="Z212" s="144" t="str">
        <f t="shared" si="15"/>
        <v/>
      </c>
      <c r="AA212" s="138"/>
      <c r="AB212" s="148" t="str">
        <f t="shared" ca="1" si="17"/>
        <v/>
      </c>
      <c r="AC212" s="226"/>
      <c r="AD212" s="210"/>
      <c r="AE212" s="350"/>
      <c r="AF212" s="353"/>
      <c r="AG212" s="350"/>
      <c r="AH212" s="215"/>
    </row>
    <row r="213" spans="1:34" ht="63" customHeight="1" x14ac:dyDescent="0.25">
      <c r="A213" s="153" t="s">
        <v>1054</v>
      </c>
      <c r="B213" s="142"/>
      <c r="C213" s="135"/>
      <c r="D213" s="136"/>
      <c r="E213" s="143"/>
      <c r="F213" s="463"/>
      <c r="G213" s="145"/>
      <c r="H213" s="146"/>
      <c r="I213" s="151"/>
      <c r="J213" s="150"/>
      <c r="K213" s="134"/>
      <c r="L213" s="137"/>
      <c r="M213" s="138"/>
      <c r="N213" s="138"/>
      <c r="O213" s="149" t="str">
        <f t="shared" si="16"/>
        <v/>
      </c>
      <c r="P213" s="470" t="str">
        <f>IFERROR(IF(L213="avec arrêt",IF(MONTH(N213)='Liste AT'!$X$2,0,N213-EOMONTH('Stats AT BDD'!$X$2,0)),""),"")</f>
        <v/>
      </c>
      <c r="Q213" s="139"/>
      <c r="R213" s="140"/>
      <c r="S213" s="140"/>
      <c r="T213" s="141"/>
      <c r="U213" s="143"/>
      <c r="V213" s="137"/>
      <c r="W213" s="137"/>
      <c r="X213" s="141"/>
      <c r="Y213" s="147"/>
      <c r="Z213" s="144" t="str">
        <f t="shared" si="15"/>
        <v/>
      </c>
      <c r="AA213" s="138"/>
      <c r="AB213" s="148" t="str">
        <f t="shared" ca="1" si="17"/>
        <v/>
      </c>
      <c r="AC213" s="226"/>
      <c r="AD213" s="210"/>
      <c r="AE213" s="350"/>
      <c r="AF213" s="353"/>
      <c r="AG213" s="350"/>
      <c r="AH213" s="215"/>
    </row>
    <row r="214" spans="1:34" ht="63" customHeight="1" x14ac:dyDescent="0.25">
      <c r="A214" s="153" t="s">
        <v>1055</v>
      </c>
      <c r="B214" s="142"/>
      <c r="C214" s="135"/>
      <c r="D214" s="136"/>
      <c r="E214" s="143"/>
      <c r="F214" s="463"/>
      <c r="G214" s="145"/>
      <c r="H214" s="146"/>
      <c r="I214" s="151"/>
      <c r="J214" s="150"/>
      <c r="K214" s="134"/>
      <c r="L214" s="137"/>
      <c r="M214" s="138"/>
      <c r="N214" s="138"/>
      <c r="O214" s="149" t="str">
        <f t="shared" si="16"/>
        <v/>
      </c>
      <c r="P214" s="470" t="str">
        <f>IFERROR(IF(L214="avec arrêt",IF(MONTH(N214)='Liste AT'!$X$2,0,N214-EOMONTH('Stats AT BDD'!$X$2,0)),""),"")</f>
        <v/>
      </c>
      <c r="Q214" s="139"/>
      <c r="R214" s="140"/>
      <c r="S214" s="140"/>
      <c r="T214" s="141"/>
      <c r="U214" s="143"/>
      <c r="V214" s="137"/>
      <c r="W214" s="137"/>
      <c r="X214" s="141"/>
      <c r="Y214" s="147"/>
      <c r="Z214" s="144" t="str">
        <f t="shared" si="15"/>
        <v/>
      </c>
      <c r="AA214" s="138"/>
      <c r="AB214" s="148" t="str">
        <f t="shared" ca="1" si="17"/>
        <v/>
      </c>
      <c r="AC214" s="226"/>
      <c r="AD214" s="210"/>
      <c r="AE214" s="350"/>
      <c r="AF214" s="353"/>
      <c r="AG214" s="350"/>
      <c r="AH214" s="215"/>
    </row>
    <row r="215" spans="1:34" ht="63" customHeight="1" x14ac:dyDescent="0.25">
      <c r="A215" s="153" t="s">
        <v>1056</v>
      </c>
      <c r="B215" s="142"/>
      <c r="C215" s="135"/>
      <c r="D215" s="136"/>
      <c r="E215" s="143"/>
      <c r="F215" s="463"/>
      <c r="G215" s="145"/>
      <c r="H215" s="146"/>
      <c r="I215" s="151"/>
      <c r="J215" s="150"/>
      <c r="K215" s="134"/>
      <c r="L215" s="137"/>
      <c r="M215" s="138"/>
      <c r="N215" s="138"/>
      <c r="O215" s="149" t="str">
        <f t="shared" si="16"/>
        <v/>
      </c>
      <c r="P215" s="470" t="str">
        <f>IFERROR(IF(L215="avec arrêt",IF(MONTH(N215)='Liste AT'!$X$2,0,N215-EOMONTH('Stats AT BDD'!$X$2,0)),""),"")</f>
        <v/>
      </c>
      <c r="Q215" s="139"/>
      <c r="R215" s="140"/>
      <c r="S215" s="140"/>
      <c r="T215" s="141"/>
      <c r="U215" s="143"/>
      <c r="V215" s="137"/>
      <c r="W215" s="137"/>
      <c r="X215" s="141"/>
      <c r="Y215" s="147"/>
      <c r="Z215" s="144" t="str">
        <f t="shared" si="15"/>
        <v/>
      </c>
      <c r="AA215" s="138"/>
      <c r="AB215" s="148" t="str">
        <f t="shared" ca="1" si="17"/>
        <v/>
      </c>
      <c r="AC215" s="226"/>
      <c r="AD215" s="210"/>
      <c r="AE215" s="350"/>
      <c r="AF215" s="353"/>
      <c r="AG215" s="350"/>
      <c r="AH215" s="215"/>
    </row>
    <row r="216" spans="1:34" ht="63" customHeight="1" x14ac:dyDescent="0.25">
      <c r="A216" s="153" t="s">
        <v>1057</v>
      </c>
      <c r="B216" s="142"/>
      <c r="C216" s="135"/>
      <c r="D216" s="136"/>
      <c r="E216" s="143"/>
      <c r="F216" s="463"/>
      <c r="G216" s="145"/>
      <c r="H216" s="146"/>
      <c r="I216" s="151"/>
      <c r="J216" s="150"/>
      <c r="K216" s="134"/>
      <c r="L216" s="137"/>
      <c r="M216" s="138"/>
      <c r="N216" s="138"/>
      <c r="O216" s="149" t="str">
        <f t="shared" si="16"/>
        <v/>
      </c>
      <c r="P216" s="470" t="str">
        <f>IFERROR(IF(L216="avec arrêt",IF(MONTH(N216)='Liste AT'!$X$2,0,N216-EOMONTH('Stats AT BDD'!$X$2,0)),""),"")</f>
        <v/>
      </c>
      <c r="Q216" s="139"/>
      <c r="R216" s="140"/>
      <c r="S216" s="140"/>
      <c r="T216" s="141"/>
      <c r="U216" s="143"/>
      <c r="V216" s="137"/>
      <c r="W216" s="137"/>
      <c r="X216" s="141"/>
      <c r="Y216" s="147"/>
      <c r="Z216" s="144" t="str">
        <f t="shared" si="15"/>
        <v/>
      </c>
      <c r="AA216" s="138"/>
      <c r="AB216" s="148" t="str">
        <f t="shared" ca="1" si="17"/>
        <v/>
      </c>
      <c r="AC216" s="226"/>
      <c r="AD216" s="210"/>
      <c r="AE216" s="350"/>
      <c r="AF216" s="353"/>
      <c r="AG216" s="350"/>
      <c r="AH216" s="215"/>
    </row>
    <row r="217" spans="1:34" ht="63" customHeight="1" x14ac:dyDescent="0.25">
      <c r="A217" s="153" t="s">
        <v>1058</v>
      </c>
      <c r="B217" s="142"/>
      <c r="C217" s="135"/>
      <c r="D217" s="136"/>
      <c r="E217" s="143"/>
      <c r="F217" s="463"/>
      <c r="G217" s="145"/>
      <c r="H217" s="146"/>
      <c r="I217" s="151"/>
      <c r="J217" s="150"/>
      <c r="K217" s="134"/>
      <c r="L217" s="137"/>
      <c r="M217" s="138"/>
      <c r="N217" s="138"/>
      <c r="O217" s="149" t="str">
        <f t="shared" si="16"/>
        <v/>
      </c>
      <c r="P217" s="470" t="str">
        <f>IFERROR(IF(L217="avec arrêt",IF(MONTH(N217)='Liste AT'!$X$2,0,N217-EOMONTH('Stats AT BDD'!$X$2,0)),""),"")</f>
        <v/>
      </c>
      <c r="Q217" s="139"/>
      <c r="R217" s="140"/>
      <c r="S217" s="140"/>
      <c r="T217" s="141"/>
      <c r="U217" s="143"/>
      <c r="V217" s="137"/>
      <c r="W217" s="137"/>
      <c r="X217" s="141"/>
      <c r="Y217" s="147"/>
      <c r="Z217" s="144" t="str">
        <f t="shared" si="15"/>
        <v/>
      </c>
      <c r="AA217" s="138"/>
      <c r="AB217" s="148" t="str">
        <f t="shared" ca="1" si="17"/>
        <v/>
      </c>
      <c r="AC217" s="226"/>
      <c r="AD217" s="210"/>
      <c r="AE217" s="350"/>
      <c r="AF217" s="353"/>
      <c r="AG217" s="350"/>
      <c r="AH217" s="215"/>
    </row>
    <row r="218" spans="1:34" ht="63" customHeight="1" x14ac:dyDescent="0.25">
      <c r="A218" s="153" t="s">
        <v>1059</v>
      </c>
      <c r="B218" s="142"/>
      <c r="C218" s="135"/>
      <c r="D218" s="136"/>
      <c r="E218" s="143"/>
      <c r="F218" s="463"/>
      <c r="G218" s="145"/>
      <c r="H218" s="146"/>
      <c r="I218" s="151"/>
      <c r="J218" s="150"/>
      <c r="K218" s="134"/>
      <c r="L218" s="137"/>
      <c r="M218" s="138"/>
      <c r="N218" s="138"/>
      <c r="O218" s="149" t="str">
        <f t="shared" si="16"/>
        <v/>
      </c>
      <c r="P218" s="470" t="str">
        <f>IFERROR(IF(L218="avec arrêt",IF(MONTH(N218)='Liste AT'!$X$2,0,N218-EOMONTH('Stats AT BDD'!$X$2,0)),""),"")</f>
        <v/>
      </c>
      <c r="Q218" s="139"/>
      <c r="R218" s="140"/>
      <c r="S218" s="140"/>
      <c r="T218" s="141"/>
      <c r="U218" s="143"/>
      <c r="V218" s="137"/>
      <c r="W218" s="137"/>
      <c r="X218" s="141"/>
      <c r="Y218" s="147"/>
      <c r="Z218" s="144" t="str">
        <f t="shared" si="15"/>
        <v/>
      </c>
      <c r="AA218" s="138"/>
      <c r="AB218" s="148" t="str">
        <f t="shared" ca="1" si="17"/>
        <v/>
      </c>
      <c r="AC218" s="226"/>
      <c r="AD218" s="210"/>
      <c r="AE218" s="350"/>
      <c r="AF218" s="353"/>
      <c r="AG218" s="350"/>
      <c r="AH218" s="215"/>
    </row>
    <row r="219" spans="1:34" ht="63" customHeight="1" x14ac:dyDescent="0.25">
      <c r="A219" s="153" t="s">
        <v>1060</v>
      </c>
      <c r="B219" s="142"/>
      <c r="C219" s="135"/>
      <c r="D219" s="136"/>
      <c r="E219" s="143"/>
      <c r="F219" s="463"/>
      <c r="G219" s="145"/>
      <c r="H219" s="146"/>
      <c r="I219" s="151"/>
      <c r="J219" s="150"/>
      <c r="K219" s="134"/>
      <c r="L219" s="137"/>
      <c r="M219" s="138"/>
      <c r="N219" s="138"/>
      <c r="O219" s="149" t="str">
        <f t="shared" si="16"/>
        <v/>
      </c>
      <c r="P219" s="470" t="str">
        <f>IFERROR(IF(L219="avec arrêt",IF(MONTH(N219)='Liste AT'!$X$2,0,N219-EOMONTH('Stats AT BDD'!$X$2,0)),""),"")</f>
        <v/>
      </c>
      <c r="Q219" s="139"/>
      <c r="R219" s="140"/>
      <c r="S219" s="140"/>
      <c r="T219" s="141"/>
      <c r="U219" s="143"/>
      <c r="V219" s="137"/>
      <c r="W219" s="137"/>
      <c r="X219" s="141"/>
      <c r="Y219" s="147"/>
      <c r="Z219" s="144" t="str">
        <f t="shared" si="15"/>
        <v/>
      </c>
      <c r="AA219" s="138"/>
      <c r="AB219" s="148" t="str">
        <f t="shared" ca="1" si="17"/>
        <v/>
      </c>
      <c r="AC219" s="226"/>
      <c r="AD219" s="210"/>
      <c r="AE219" s="350"/>
      <c r="AF219" s="353"/>
      <c r="AG219" s="350"/>
      <c r="AH219" s="215"/>
    </row>
    <row r="220" spans="1:34" ht="63" customHeight="1" x14ac:dyDescent="0.25">
      <c r="A220" s="153" t="s">
        <v>1061</v>
      </c>
      <c r="B220" s="142"/>
      <c r="C220" s="135"/>
      <c r="D220" s="136"/>
      <c r="E220" s="143"/>
      <c r="F220" s="463"/>
      <c r="G220" s="145"/>
      <c r="H220" s="146"/>
      <c r="I220" s="151"/>
      <c r="J220" s="150"/>
      <c r="K220" s="134"/>
      <c r="L220" s="137"/>
      <c r="M220" s="138"/>
      <c r="N220" s="138"/>
      <c r="O220" s="149" t="str">
        <f t="shared" si="16"/>
        <v/>
      </c>
      <c r="P220" s="470" t="str">
        <f>IFERROR(IF(L220="avec arrêt",IF(MONTH(N220)='Liste AT'!$X$2,0,N220-EOMONTH('Stats AT BDD'!$X$2,0)),""),"")</f>
        <v/>
      </c>
      <c r="Q220" s="139"/>
      <c r="R220" s="140"/>
      <c r="S220" s="140"/>
      <c r="T220" s="141"/>
      <c r="U220" s="143"/>
      <c r="V220" s="137"/>
      <c r="W220" s="137"/>
      <c r="X220" s="141"/>
      <c r="Y220" s="147"/>
      <c r="Z220" s="144" t="str">
        <f t="shared" si="15"/>
        <v/>
      </c>
      <c r="AA220" s="138"/>
      <c r="AB220" s="148" t="str">
        <f t="shared" ca="1" si="17"/>
        <v/>
      </c>
      <c r="AC220" s="226"/>
      <c r="AD220" s="210"/>
      <c r="AE220" s="350"/>
      <c r="AF220" s="353"/>
      <c r="AG220" s="350"/>
      <c r="AH220" s="215"/>
    </row>
    <row r="221" spans="1:34" ht="63" customHeight="1" x14ac:dyDescent="0.25">
      <c r="A221" s="153" t="s">
        <v>1062</v>
      </c>
      <c r="B221" s="142"/>
      <c r="C221" s="135"/>
      <c r="D221" s="136"/>
      <c r="E221" s="143"/>
      <c r="F221" s="463"/>
      <c r="G221" s="145"/>
      <c r="H221" s="146"/>
      <c r="I221" s="151"/>
      <c r="J221" s="150"/>
      <c r="K221" s="134"/>
      <c r="L221" s="137"/>
      <c r="M221" s="138"/>
      <c r="N221" s="138"/>
      <c r="O221" s="149" t="str">
        <f t="shared" si="16"/>
        <v/>
      </c>
      <c r="P221" s="470" t="str">
        <f>IFERROR(IF(L221="avec arrêt",IF(MONTH(N221)='Liste AT'!$X$2,0,N221-EOMONTH('Stats AT BDD'!$X$2,0)),""),"")</f>
        <v/>
      </c>
      <c r="Q221" s="139"/>
      <c r="R221" s="140"/>
      <c r="S221" s="140"/>
      <c r="T221" s="141"/>
      <c r="U221" s="143"/>
      <c r="V221" s="137"/>
      <c r="W221" s="137"/>
      <c r="X221" s="141"/>
      <c r="Y221" s="147"/>
      <c r="Z221" s="144" t="str">
        <f t="shared" si="15"/>
        <v/>
      </c>
      <c r="AA221" s="138"/>
      <c r="AB221" s="148" t="str">
        <f t="shared" ca="1" si="17"/>
        <v/>
      </c>
      <c r="AC221" s="226"/>
      <c r="AD221" s="210"/>
      <c r="AE221" s="350"/>
      <c r="AF221" s="353"/>
      <c r="AG221" s="350"/>
      <c r="AH221" s="215"/>
    </row>
    <row r="222" spans="1:34" ht="63" customHeight="1" x14ac:dyDescent="0.25">
      <c r="A222" s="153" t="s">
        <v>1063</v>
      </c>
      <c r="B222" s="142"/>
      <c r="C222" s="135"/>
      <c r="D222" s="136"/>
      <c r="E222" s="143"/>
      <c r="F222" s="463"/>
      <c r="G222" s="145"/>
      <c r="H222" s="146"/>
      <c r="I222" s="151"/>
      <c r="J222" s="150"/>
      <c r="K222" s="134"/>
      <c r="L222" s="137"/>
      <c r="M222" s="138"/>
      <c r="N222" s="138"/>
      <c r="O222" s="149" t="str">
        <f t="shared" si="16"/>
        <v/>
      </c>
      <c r="P222" s="470" t="str">
        <f>IFERROR(IF(L222="avec arrêt",IF(MONTH(N222)='Liste AT'!$X$2,0,N222-EOMONTH('Stats AT BDD'!$X$2,0)),""),"")</f>
        <v/>
      </c>
      <c r="Q222" s="139"/>
      <c r="R222" s="140"/>
      <c r="S222" s="140"/>
      <c r="T222" s="141"/>
      <c r="U222" s="143"/>
      <c r="V222" s="137"/>
      <c r="W222" s="137"/>
      <c r="X222" s="141"/>
      <c r="Y222" s="147"/>
      <c r="Z222" s="144" t="str">
        <f t="shared" si="15"/>
        <v/>
      </c>
      <c r="AA222" s="138"/>
      <c r="AB222" s="148" t="str">
        <f t="shared" ca="1" si="17"/>
        <v/>
      </c>
      <c r="AC222" s="226"/>
      <c r="AD222" s="210"/>
      <c r="AE222" s="350"/>
      <c r="AF222" s="353"/>
      <c r="AG222" s="350"/>
      <c r="AH222" s="215"/>
    </row>
    <row r="223" spans="1:34" ht="63" customHeight="1" x14ac:dyDescent="0.25">
      <c r="A223" s="153" t="s">
        <v>1064</v>
      </c>
      <c r="B223" s="142"/>
      <c r="C223" s="135"/>
      <c r="D223" s="136"/>
      <c r="E223" s="143"/>
      <c r="F223" s="463"/>
      <c r="G223" s="145"/>
      <c r="H223" s="146"/>
      <c r="I223" s="151"/>
      <c r="J223" s="150"/>
      <c r="K223" s="134"/>
      <c r="L223" s="137"/>
      <c r="M223" s="138"/>
      <c r="N223" s="138"/>
      <c r="O223" s="149" t="str">
        <f t="shared" si="16"/>
        <v/>
      </c>
      <c r="P223" s="470" t="str">
        <f>IFERROR(IF(L223="avec arrêt",IF(MONTH(N223)='Liste AT'!$X$2,0,N223-EOMONTH('Stats AT BDD'!$X$2,0)),""),"")</f>
        <v/>
      </c>
      <c r="Q223" s="139"/>
      <c r="R223" s="140"/>
      <c r="S223" s="140"/>
      <c r="T223" s="141"/>
      <c r="U223" s="143"/>
      <c r="V223" s="137"/>
      <c r="W223" s="137"/>
      <c r="X223" s="141"/>
      <c r="Y223" s="147"/>
      <c r="Z223" s="144" t="str">
        <f t="shared" si="15"/>
        <v/>
      </c>
      <c r="AA223" s="138"/>
      <c r="AB223" s="148" t="str">
        <f t="shared" ca="1" si="17"/>
        <v/>
      </c>
      <c r="AC223" s="226"/>
      <c r="AD223" s="210"/>
      <c r="AE223" s="350"/>
      <c r="AF223" s="353"/>
      <c r="AG223" s="350"/>
      <c r="AH223" s="215"/>
    </row>
    <row r="224" spans="1:34" ht="63" customHeight="1" x14ac:dyDescent="0.25">
      <c r="A224" s="153" t="s">
        <v>1065</v>
      </c>
      <c r="B224" s="142"/>
      <c r="C224" s="135"/>
      <c r="D224" s="136"/>
      <c r="E224" s="143"/>
      <c r="F224" s="463"/>
      <c r="G224" s="145"/>
      <c r="H224" s="146"/>
      <c r="I224" s="151"/>
      <c r="J224" s="150"/>
      <c r="K224" s="134"/>
      <c r="L224" s="137"/>
      <c r="M224" s="138"/>
      <c r="N224" s="138"/>
      <c r="O224" s="149" t="str">
        <f t="shared" si="16"/>
        <v/>
      </c>
      <c r="P224" s="470" t="str">
        <f>IFERROR(IF(L224="avec arrêt",IF(MONTH(N224)='Liste AT'!$X$2,0,N224-EOMONTH('Stats AT BDD'!$X$2,0)),""),"")</f>
        <v/>
      </c>
      <c r="Q224" s="139"/>
      <c r="R224" s="140"/>
      <c r="S224" s="140"/>
      <c r="T224" s="141"/>
      <c r="U224" s="143"/>
      <c r="V224" s="137"/>
      <c r="W224" s="137"/>
      <c r="X224" s="141"/>
      <c r="Y224" s="147"/>
      <c r="Z224" s="144" t="str">
        <f t="shared" si="15"/>
        <v/>
      </c>
      <c r="AA224" s="138"/>
      <c r="AB224" s="148" t="str">
        <f t="shared" ca="1" si="17"/>
        <v/>
      </c>
      <c r="AC224" s="226"/>
      <c r="AD224" s="210"/>
      <c r="AE224" s="350"/>
      <c r="AF224" s="353"/>
      <c r="AG224" s="350"/>
      <c r="AH224" s="215"/>
    </row>
    <row r="225" spans="1:34" ht="63" customHeight="1" x14ac:dyDescent="0.25">
      <c r="A225" s="153" t="s">
        <v>1066</v>
      </c>
      <c r="B225" s="142"/>
      <c r="C225" s="135"/>
      <c r="D225" s="136"/>
      <c r="E225" s="143"/>
      <c r="F225" s="463"/>
      <c r="G225" s="145"/>
      <c r="H225" s="146"/>
      <c r="I225" s="151"/>
      <c r="J225" s="150"/>
      <c r="K225" s="134"/>
      <c r="L225" s="137"/>
      <c r="M225" s="138"/>
      <c r="N225" s="138"/>
      <c r="O225" s="149" t="str">
        <f t="shared" si="16"/>
        <v/>
      </c>
      <c r="P225" s="470" t="str">
        <f>IFERROR(IF(L225="avec arrêt",IF(MONTH(N225)='Liste AT'!$X$2,0,N225-EOMONTH('Stats AT BDD'!$X$2,0)),""),"")</f>
        <v/>
      </c>
      <c r="Q225" s="139"/>
      <c r="R225" s="140"/>
      <c r="S225" s="140"/>
      <c r="T225" s="141"/>
      <c r="U225" s="143"/>
      <c r="V225" s="137"/>
      <c r="W225" s="137"/>
      <c r="X225" s="141"/>
      <c r="Y225" s="147"/>
      <c r="Z225" s="144" t="str">
        <f t="shared" si="15"/>
        <v/>
      </c>
      <c r="AA225" s="138"/>
      <c r="AB225" s="148" t="str">
        <f t="shared" ca="1" si="17"/>
        <v/>
      </c>
      <c r="AC225" s="226"/>
      <c r="AD225" s="210"/>
      <c r="AE225" s="350"/>
      <c r="AF225" s="353"/>
      <c r="AG225" s="350"/>
      <c r="AH225" s="215"/>
    </row>
    <row r="226" spans="1:34" ht="63" customHeight="1" x14ac:dyDescent="0.25">
      <c r="A226" s="153" t="s">
        <v>1067</v>
      </c>
      <c r="B226" s="142"/>
      <c r="C226" s="135"/>
      <c r="D226" s="136"/>
      <c r="E226" s="143"/>
      <c r="F226" s="463"/>
      <c r="G226" s="145"/>
      <c r="H226" s="146"/>
      <c r="I226" s="151"/>
      <c r="J226" s="150"/>
      <c r="K226" s="134"/>
      <c r="L226" s="137"/>
      <c r="M226" s="138"/>
      <c r="N226" s="138"/>
      <c r="O226" s="149" t="str">
        <f t="shared" si="16"/>
        <v/>
      </c>
      <c r="P226" s="470" t="str">
        <f>IFERROR(IF(L226="avec arrêt",IF(MONTH(N226)='Liste AT'!$X$2,0,N226-EOMONTH('Stats AT BDD'!$X$2,0)),""),"")</f>
        <v/>
      </c>
      <c r="Q226" s="139"/>
      <c r="R226" s="140"/>
      <c r="S226" s="140"/>
      <c r="T226" s="141"/>
      <c r="U226" s="143"/>
      <c r="V226" s="137"/>
      <c r="W226" s="137"/>
      <c r="X226" s="141"/>
      <c r="Y226" s="147"/>
      <c r="Z226" s="144" t="str">
        <f t="shared" si="15"/>
        <v/>
      </c>
      <c r="AA226" s="138"/>
      <c r="AB226" s="148" t="str">
        <f t="shared" ca="1" si="17"/>
        <v/>
      </c>
      <c r="AC226" s="226"/>
      <c r="AD226" s="210"/>
      <c r="AE226" s="350"/>
      <c r="AF226" s="353"/>
      <c r="AG226" s="350"/>
      <c r="AH226" s="215"/>
    </row>
    <row r="227" spans="1:34" ht="63" customHeight="1" x14ac:dyDescent="0.25">
      <c r="A227" s="153" t="s">
        <v>1068</v>
      </c>
      <c r="B227" s="142"/>
      <c r="C227" s="135"/>
      <c r="D227" s="136"/>
      <c r="E227" s="143"/>
      <c r="F227" s="463"/>
      <c r="G227" s="145"/>
      <c r="H227" s="146"/>
      <c r="I227" s="151"/>
      <c r="J227" s="150"/>
      <c r="K227" s="134"/>
      <c r="L227" s="137"/>
      <c r="M227" s="138"/>
      <c r="N227" s="138"/>
      <c r="O227" s="149" t="str">
        <f t="shared" si="16"/>
        <v/>
      </c>
      <c r="P227" s="470" t="str">
        <f>IFERROR(IF(L227="avec arrêt",IF(MONTH(N227)='Liste AT'!$X$2,0,N227-EOMONTH('Stats AT BDD'!$X$2,0)),""),"")</f>
        <v/>
      </c>
      <c r="Q227" s="139"/>
      <c r="R227" s="140"/>
      <c r="S227" s="140"/>
      <c r="T227" s="141"/>
      <c r="U227" s="143"/>
      <c r="V227" s="137"/>
      <c r="W227" s="137"/>
      <c r="X227" s="141"/>
      <c r="Y227" s="147"/>
      <c r="Z227" s="144" t="str">
        <f t="shared" si="15"/>
        <v/>
      </c>
      <c r="AA227" s="138"/>
      <c r="AB227" s="148" t="str">
        <f t="shared" ca="1" si="17"/>
        <v/>
      </c>
      <c r="AC227" s="226"/>
      <c r="AD227" s="210"/>
      <c r="AE227" s="350"/>
      <c r="AF227" s="353"/>
      <c r="AG227" s="350"/>
      <c r="AH227" s="215"/>
    </row>
    <row r="228" spans="1:34" ht="63" customHeight="1" x14ac:dyDescent="0.25">
      <c r="A228" s="153" t="s">
        <v>1069</v>
      </c>
      <c r="B228" s="142"/>
      <c r="C228" s="135"/>
      <c r="D228" s="136"/>
      <c r="E228" s="143"/>
      <c r="F228" s="463"/>
      <c r="G228" s="145"/>
      <c r="H228" s="146"/>
      <c r="I228" s="151"/>
      <c r="J228" s="150"/>
      <c r="K228" s="134"/>
      <c r="L228" s="137"/>
      <c r="M228" s="138"/>
      <c r="N228" s="138"/>
      <c r="O228" s="149" t="str">
        <f t="shared" si="16"/>
        <v/>
      </c>
      <c r="P228" s="470" t="str">
        <f>IFERROR(IF(L228="avec arrêt",IF(MONTH(N228)='Liste AT'!$X$2,0,N228-EOMONTH('Stats AT BDD'!$X$2,0)),""),"")</f>
        <v/>
      </c>
      <c r="Q228" s="139"/>
      <c r="R228" s="140"/>
      <c r="S228" s="140"/>
      <c r="T228" s="141"/>
      <c r="U228" s="143"/>
      <c r="V228" s="137"/>
      <c r="W228" s="137"/>
      <c r="X228" s="141"/>
      <c r="Y228" s="147"/>
      <c r="Z228" s="144" t="str">
        <f t="shared" si="15"/>
        <v/>
      </c>
      <c r="AA228" s="138"/>
      <c r="AB228" s="148" t="str">
        <f t="shared" ca="1" si="17"/>
        <v/>
      </c>
      <c r="AC228" s="226"/>
      <c r="AD228" s="210"/>
      <c r="AE228" s="350"/>
      <c r="AF228" s="353"/>
      <c r="AG228" s="350"/>
      <c r="AH228" s="215"/>
    </row>
    <row r="229" spans="1:34" ht="63" customHeight="1" x14ac:dyDescent="0.25">
      <c r="A229" s="153" t="s">
        <v>1070</v>
      </c>
      <c r="B229" s="142"/>
      <c r="C229" s="135"/>
      <c r="D229" s="136"/>
      <c r="E229" s="143"/>
      <c r="F229" s="463"/>
      <c r="G229" s="145"/>
      <c r="H229" s="146"/>
      <c r="I229" s="151"/>
      <c r="J229" s="150"/>
      <c r="K229" s="134"/>
      <c r="L229" s="137"/>
      <c r="M229" s="138"/>
      <c r="N229" s="138"/>
      <c r="O229" s="149" t="str">
        <f t="shared" si="16"/>
        <v/>
      </c>
      <c r="P229" s="470" t="str">
        <f>IFERROR(IF(L229="avec arrêt",IF(MONTH(N229)='Liste AT'!$X$2,0,N229-EOMONTH('Stats AT BDD'!$X$2,0)),""),"")</f>
        <v/>
      </c>
      <c r="Q229" s="139"/>
      <c r="R229" s="140"/>
      <c r="S229" s="140"/>
      <c r="T229" s="141"/>
      <c r="U229" s="143"/>
      <c r="V229" s="137"/>
      <c r="W229" s="137"/>
      <c r="X229" s="141"/>
      <c r="Y229" s="147"/>
      <c r="Z229" s="144" t="str">
        <f t="shared" si="15"/>
        <v/>
      </c>
      <c r="AA229" s="138"/>
      <c r="AB229" s="148" t="str">
        <f t="shared" ca="1" si="17"/>
        <v/>
      </c>
      <c r="AC229" s="226"/>
      <c r="AD229" s="210"/>
      <c r="AE229" s="350"/>
      <c r="AF229" s="353"/>
      <c r="AG229" s="350"/>
      <c r="AH229" s="215"/>
    </row>
    <row r="230" spans="1:34" ht="63" customHeight="1" x14ac:dyDescent="0.25">
      <c r="A230" s="153" t="s">
        <v>1071</v>
      </c>
      <c r="B230" s="142"/>
      <c r="C230" s="135"/>
      <c r="D230" s="136"/>
      <c r="E230" s="143"/>
      <c r="F230" s="463"/>
      <c r="G230" s="145"/>
      <c r="H230" s="146"/>
      <c r="I230" s="151"/>
      <c r="J230" s="150"/>
      <c r="K230" s="134"/>
      <c r="L230" s="137"/>
      <c r="M230" s="138"/>
      <c r="N230" s="138"/>
      <c r="O230" s="149" t="str">
        <f t="shared" si="16"/>
        <v/>
      </c>
      <c r="P230" s="470" t="str">
        <f>IFERROR(IF(L230="avec arrêt",IF(MONTH(N230)='Liste AT'!$X$2,0,N230-EOMONTH('Stats AT BDD'!$X$2,0)),""),"")</f>
        <v/>
      </c>
      <c r="Q230" s="139"/>
      <c r="R230" s="140"/>
      <c r="S230" s="140"/>
      <c r="T230" s="141"/>
      <c r="U230" s="143"/>
      <c r="V230" s="137"/>
      <c r="W230" s="137"/>
      <c r="X230" s="141"/>
      <c r="Y230" s="147"/>
      <c r="Z230" s="144" t="str">
        <f t="shared" si="15"/>
        <v/>
      </c>
      <c r="AA230" s="138"/>
      <c r="AB230" s="148" t="str">
        <f t="shared" ca="1" si="17"/>
        <v/>
      </c>
      <c r="AC230" s="226"/>
      <c r="AD230" s="210"/>
      <c r="AE230" s="350"/>
      <c r="AF230" s="353"/>
      <c r="AG230" s="350"/>
      <c r="AH230" s="215"/>
    </row>
    <row r="231" spans="1:34" ht="63" customHeight="1" x14ac:dyDescent="0.25">
      <c r="A231" s="153" t="s">
        <v>1072</v>
      </c>
      <c r="B231" s="142"/>
      <c r="C231" s="135"/>
      <c r="D231" s="136"/>
      <c r="E231" s="143"/>
      <c r="F231" s="463"/>
      <c r="G231" s="145"/>
      <c r="H231" s="146"/>
      <c r="I231" s="151"/>
      <c r="J231" s="150"/>
      <c r="K231" s="134"/>
      <c r="L231" s="137"/>
      <c r="M231" s="138"/>
      <c r="N231" s="138"/>
      <c r="O231" s="149" t="str">
        <f t="shared" si="16"/>
        <v/>
      </c>
      <c r="P231" s="470" t="str">
        <f>IFERROR(IF(L231="avec arrêt",IF(MONTH(N231)='Liste AT'!$X$2,0,N231-EOMONTH('Stats AT BDD'!$X$2,0)),""),"")</f>
        <v/>
      </c>
      <c r="Q231" s="139"/>
      <c r="R231" s="140"/>
      <c r="S231" s="140"/>
      <c r="T231" s="141"/>
      <c r="U231" s="143"/>
      <c r="V231" s="137"/>
      <c r="W231" s="137"/>
      <c r="X231" s="141"/>
      <c r="Y231" s="147"/>
      <c r="Z231" s="144" t="str">
        <f t="shared" si="15"/>
        <v/>
      </c>
      <c r="AA231" s="138"/>
      <c r="AB231" s="148" t="str">
        <f t="shared" ca="1" si="17"/>
        <v/>
      </c>
      <c r="AC231" s="226"/>
      <c r="AD231" s="210"/>
      <c r="AE231" s="350"/>
      <c r="AF231" s="353"/>
      <c r="AG231" s="350"/>
      <c r="AH231" s="215"/>
    </row>
    <row r="232" spans="1:34" ht="63" customHeight="1" x14ac:dyDescent="0.25">
      <c r="A232" s="153" t="s">
        <v>1073</v>
      </c>
      <c r="B232" s="142"/>
      <c r="C232" s="135"/>
      <c r="D232" s="136"/>
      <c r="E232" s="143"/>
      <c r="F232" s="463"/>
      <c r="G232" s="145"/>
      <c r="H232" s="146"/>
      <c r="I232" s="151"/>
      <c r="J232" s="150"/>
      <c r="K232" s="134"/>
      <c r="L232" s="137"/>
      <c r="M232" s="138"/>
      <c r="N232" s="138"/>
      <c r="O232" s="149" t="str">
        <f t="shared" si="16"/>
        <v/>
      </c>
      <c r="P232" s="470" t="str">
        <f>IFERROR(IF(L232="avec arrêt",IF(MONTH(N232)='Liste AT'!$X$2,0,N232-EOMONTH('Stats AT BDD'!$X$2,0)),""),"")</f>
        <v/>
      </c>
      <c r="Q232" s="139"/>
      <c r="R232" s="140"/>
      <c r="S232" s="140"/>
      <c r="T232" s="141"/>
      <c r="U232" s="143"/>
      <c r="V232" s="137"/>
      <c r="W232" s="137"/>
      <c r="X232" s="141"/>
      <c r="Y232" s="147"/>
      <c r="Z232" s="144" t="str">
        <f t="shared" si="15"/>
        <v/>
      </c>
      <c r="AA232" s="138"/>
      <c r="AB232" s="148" t="str">
        <f t="shared" ca="1" si="17"/>
        <v/>
      </c>
      <c r="AC232" s="226"/>
      <c r="AD232" s="210"/>
      <c r="AE232" s="350"/>
      <c r="AF232" s="353"/>
      <c r="AG232" s="350"/>
      <c r="AH232" s="215"/>
    </row>
    <row r="233" spans="1:34" ht="63" customHeight="1" x14ac:dyDescent="0.25">
      <c r="A233" s="153" t="s">
        <v>1074</v>
      </c>
      <c r="B233" s="142"/>
      <c r="C233" s="135"/>
      <c r="D233" s="136"/>
      <c r="E233" s="143"/>
      <c r="F233" s="463"/>
      <c r="G233" s="145"/>
      <c r="H233" s="146"/>
      <c r="I233" s="151"/>
      <c r="J233" s="150"/>
      <c r="K233" s="134"/>
      <c r="L233" s="137"/>
      <c r="M233" s="138"/>
      <c r="N233" s="138"/>
      <c r="O233" s="149" t="str">
        <f t="shared" si="16"/>
        <v/>
      </c>
      <c r="P233" s="470" t="str">
        <f>IFERROR(IF(L233="avec arrêt",IF(MONTH(N233)='Liste AT'!$X$2,0,N233-EOMONTH('Stats AT BDD'!$X$2,0)),""),"")</f>
        <v/>
      </c>
      <c r="Q233" s="139"/>
      <c r="R233" s="140"/>
      <c r="S233" s="140"/>
      <c r="T233" s="141"/>
      <c r="U233" s="143"/>
      <c r="V233" s="137"/>
      <c r="W233" s="137"/>
      <c r="X233" s="141"/>
      <c r="Y233" s="147"/>
      <c r="Z233" s="144" t="str">
        <f t="shared" si="15"/>
        <v/>
      </c>
      <c r="AA233" s="138"/>
      <c r="AB233" s="148" t="str">
        <f t="shared" ca="1" si="17"/>
        <v/>
      </c>
      <c r="AC233" s="226"/>
      <c r="AD233" s="210"/>
      <c r="AE233" s="350"/>
      <c r="AF233" s="353"/>
      <c r="AG233" s="350"/>
      <c r="AH233" s="215"/>
    </row>
    <row r="234" spans="1:34" ht="63" customHeight="1" x14ac:dyDescent="0.25">
      <c r="A234" s="153" t="s">
        <v>1075</v>
      </c>
      <c r="B234" s="142"/>
      <c r="C234" s="135"/>
      <c r="D234" s="136"/>
      <c r="E234" s="143"/>
      <c r="F234" s="463"/>
      <c r="G234" s="145"/>
      <c r="H234" s="146"/>
      <c r="I234" s="151"/>
      <c r="J234" s="150"/>
      <c r="K234" s="134"/>
      <c r="L234" s="137"/>
      <c r="M234" s="138"/>
      <c r="N234" s="138"/>
      <c r="O234" s="149" t="str">
        <f t="shared" si="16"/>
        <v/>
      </c>
      <c r="P234" s="470" t="str">
        <f>IFERROR(IF(L234="avec arrêt",IF(MONTH(N234)='Liste AT'!$X$2,0,N234-EOMONTH('Stats AT BDD'!$X$2,0)),""),"")</f>
        <v/>
      </c>
      <c r="Q234" s="139"/>
      <c r="R234" s="140"/>
      <c r="S234" s="140"/>
      <c r="T234" s="141"/>
      <c r="U234" s="143"/>
      <c r="V234" s="137"/>
      <c r="W234" s="137"/>
      <c r="X234" s="141"/>
      <c r="Y234" s="147"/>
      <c r="Z234" s="144" t="str">
        <f t="shared" si="15"/>
        <v/>
      </c>
      <c r="AA234" s="138"/>
      <c r="AB234" s="148" t="str">
        <f t="shared" ca="1" si="17"/>
        <v/>
      </c>
      <c r="AC234" s="226"/>
      <c r="AD234" s="210"/>
      <c r="AE234" s="350"/>
      <c r="AF234" s="353"/>
      <c r="AG234" s="350"/>
      <c r="AH234" s="215"/>
    </row>
    <row r="235" spans="1:34" ht="63" customHeight="1" x14ac:dyDescent="0.25">
      <c r="A235" s="153" t="s">
        <v>1076</v>
      </c>
      <c r="B235" s="142"/>
      <c r="C235" s="135"/>
      <c r="D235" s="136"/>
      <c r="E235" s="143"/>
      <c r="F235" s="463"/>
      <c r="G235" s="145"/>
      <c r="H235" s="146"/>
      <c r="I235" s="151"/>
      <c r="J235" s="150"/>
      <c r="K235" s="134"/>
      <c r="L235" s="137"/>
      <c r="M235" s="138"/>
      <c r="N235" s="138"/>
      <c r="O235" s="149" t="str">
        <f t="shared" si="16"/>
        <v/>
      </c>
      <c r="P235" s="470" t="str">
        <f>IFERROR(IF(L235="avec arrêt",IF(MONTH(N235)='Liste AT'!$X$2,0,N235-EOMONTH('Stats AT BDD'!$X$2,0)),""),"")</f>
        <v/>
      </c>
      <c r="Q235" s="139"/>
      <c r="R235" s="140"/>
      <c r="S235" s="140"/>
      <c r="T235" s="141"/>
      <c r="U235" s="143"/>
      <c r="V235" s="137"/>
      <c r="W235" s="137"/>
      <c r="X235" s="214"/>
      <c r="Y235" s="147"/>
      <c r="Z235" s="144" t="str">
        <f t="shared" si="15"/>
        <v/>
      </c>
      <c r="AA235" s="138"/>
      <c r="AB235" s="148" t="str">
        <f t="shared" ca="1" si="17"/>
        <v/>
      </c>
      <c r="AC235" s="226"/>
      <c r="AD235" s="210"/>
      <c r="AE235" s="350"/>
      <c r="AF235" s="353"/>
      <c r="AG235" s="350"/>
      <c r="AH235" s="215"/>
    </row>
    <row r="236" spans="1:34" ht="63" customHeight="1" x14ac:dyDescent="0.25">
      <c r="A236" s="153" t="s">
        <v>1077</v>
      </c>
      <c r="B236" s="142"/>
      <c r="C236" s="135"/>
      <c r="D236" s="136"/>
      <c r="E236" s="143"/>
      <c r="F236" s="463"/>
      <c r="G236" s="145"/>
      <c r="H236" s="146"/>
      <c r="I236" s="151"/>
      <c r="J236" s="150"/>
      <c r="K236" s="134"/>
      <c r="L236" s="137"/>
      <c r="M236" s="138"/>
      <c r="N236" s="138"/>
      <c r="O236" s="149" t="str">
        <f t="shared" si="16"/>
        <v/>
      </c>
      <c r="P236" s="470" t="str">
        <f>IFERROR(IF(L236="avec arrêt",IF(MONTH(N236)='Liste AT'!$X$2,0,N236-EOMONTH('Stats AT BDD'!$X$2,0)),""),"")</f>
        <v/>
      </c>
      <c r="Q236" s="139"/>
      <c r="R236" s="140"/>
      <c r="S236" s="140"/>
      <c r="T236" s="141"/>
      <c r="U236" s="143"/>
      <c r="V236" s="137"/>
      <c r="W236" s="137"/>
      <c r="X236" s="141"/>
      <c r="Y236" s="147"/>
      <c r="Z236" s="144" t="str">
        <f t="shared" si="15"/>
        <v/>
      </c>
      <c r="AA236" s="138"/>
      <c r="AB236" s="148" t="str">
        <f t="shared" ca="1" si="17"/>
        <v/>
      </c>
      <c r="AC236" s="226"/>
      <c r="AD236" s="210"/>
      <c r="AE236" s="350"/>
      <c r="AF236" s="353"/>
      <c r="AG236" s="350"/>
      <c r="AH236" s="215"/>
    </row>
    <row r="237" spans="1:34" ht="63" customHeight="1" x14ac:dyDescent="0.25">
      <c r="A237" s="153" t="s">
        <v>1078</v>
      </c>
      <c r="B237" s="142"/>
      <c r="C237" s="135"/>
      <c r="D237" s="136"/>
      <c r="E237" s="143"/>
      <c r="F237" s="463"/>
      <c r="G237" s="145"/>
      <c r="H237" s="146"/>
      <c r="I237" s="151"/>
      <c r="J237" s="150"/>
      <c r="K237" s="134"/>
      <c r="L237" s="137"/>
      <c r="M237" s="138"/>
      <c r="N237" s="138"/>
      <c r="O237" s="149" t="str">
        <f t="shared" si="16"/>
        <v/>
      </c>
      <c r="P237" s="470" t="str">
        <f>IFERROR(IF(L237="avec arrêt",IF(MONTH(N237)='Liste AT'!$X$2,0,N237-EOMONTH('Stats AT BDD'!$X$2,0)),""),"")</f>
        <v/>
      </c>
      <c r="Q237" s="139"/>
      <c r="R237" s="140"/>
      <c r="S237" s="140"/>
      <c r="T237" s="141"/>
      <c r="U237" s="143"/>
      <c r="V237" s="137"/>
      <c r="W237" s="137"/>
      <c r="X237" s="141"/>
      <c r="Y237" s="147"/>
      <c r="Z237" s="144" t="str">
        <f t="shared" si="15"/>
        <v/>
      </c>
      <c r="AA237" s="138"/>
      <c r="AB237" s="148" t="str">
        <f t="shared" ca="1" si="17"/>
        <v/>
      </c>
      <c r="AC237" s="226"/>
      <c r="AD237" s="210"/>
      <c r="AE237" s="350"/>
      <c r="AF237" s="353"/>
      <c r="AG237" s="350"/>
      <c r="AH237" s="215"/>
    </row>
    <row r="238" spans="1:34" ht="63" customHeight="1" x14ac:dyDescent="0.25">
      <c r="A238" s="153" t="s">
        <v>1079</v>
      </c>
      <c r="B238" s="142"/>
      <c r="C238" s="135"/>
      <c r="D238" s="136"/>
      <c r="E238" s="143"/>
      <c r="F238" s="463"/>
      <c r="G238" s="145"/>
      <c r="H238" s="146"/>
      <c r="I238" s="151"/>
      <c r="J238" s="150"/>
      <c r="K238" s="134"/>
      <c r="L238" s="137"/>
      <c r="M238" s="138"/>
      <c r="N238" s="138"/>
      <c r="O238" s="149" t="str">
        <f t="shared" si="16"/>
        <v/>
      </c>
      <c r="P238" s="470" t="str">
        <f>IFERROR(IF(L238="avec arrêt",IF(MONTH(N238)='Liste AT'!$X$2,0,N238-EOMONTH('Stats AT BDD'!$X$2,0)),""),"")</f>
        <v/>
      </c>
      <c r="Q238" s="139"/>
      <c r="R238" s="140"/>
      <c r="S238" s="140"/>
      <c r="T238" s="141"/>
      <c r="U238" s="143"/>
      <c r="V238" s="137"/>
      <c r="W238" s="137"/>
      <c r="X238" s="141"/>
      <c r="Y238" s="147"/>
      <c r="Z238" s="144" t="str">
        <f t="shared" si="15"/>
        <v/>
      </c>
      <c r="AA238" s="138"/>
      <c r="AB238" s="148" t="str">
        <f t="shared" ca="1" si="17"/>
        <v/>
      </c>
      <c r="AC238" s="226"/>
      <c r="AD238" s="210"/>
      <c r="AE238" s="350"/>
      <c r="AF238" s="353"/>
      <c r="AG238" s="350"/>
      <c r="AH238" s="215"/>
    </row>
    <row r="239" spans="1:34" ht="63" customHeight="1" x14ac:dyDescent="0.25">
      <c r="A239" s="153" t="s">
        <v>1080</v>
      </c>
      <c r="B239" s="142"/>
      <c r="C239" s="135"/>
      <c r="D239" s="136"/>
      <c r="E239" s="143"/>
      <c r="F239" s="463"/>
      <c r="G239" s="145"/>
      <c r="H239" s="146"/>
      <c r="I239" s="151"/>
      <c r="J239" s="150"/>
      <c r="K239" s="134"/>
      <c r="L239" s="137"/>
      <c r="M239" s="138"/>
      <c r="N239" s="138"/>
      <c r="O239" s="149" t="str">
        <f t="shared" si="16"/>
        <v/>
      </c>
      <c r="P239" s="470" t="str">
        <f>IFERROR(IF(L239="avec arrêt",IF(MONTH(N239)='Liste AT'!$X$2,0,N239-EOMONTH('Stats AT BDD'!$X$2,0)),""),"")</f>
        <v/>
      </c>
      <c r="Q239" s="139"/>
      <c r="R239" s="140"/>
      <c r="S239" s="140"/>
      <c r="T239" s="141"/>
      <c r="U239" s="143"/>
      <c r="V239" s="137"/>
      <c r="W239" s="137"/>
      <c r="X239" s="141"/>
      <c r="Y239" s="147"/>
      <c r="Z239" s="144" t="str">
        <f t="shared" si="15"/>
        <v/>
      </c>
      <c r="AA239" s="138"/>
      <c r="AB239" s="148" t="str">
        <f t="shared" ca="1" si="17"/>
        <v/>
      </c>
      <c r="AC239" s="226"/>
      <c r="AD239" s="210"/>
      <c r="AE239" s="350"/>
      <c r="AF239" s="353"/>
      <c r="AG239" s="350"/>
      <c r="AH239" s="215"/>
    </row>
    <row r="240" spans="1:34" ht="63" customHeight="1" x14ac:dyDescent="0.25">
      <c r="A240" s="153" t="s">
        <v>1081</v>
      </c>
      <c r="B240" s="142"/>
      <c r="C240" s="135"/>
      <c r="D240" s="136"/>
      <c r="E240" s="143"/>
      <c r="F240" s="463"/>
      <c r="G240" s="145"/>
      <c r="H240" s="146"/>
      <c r="I240" s="151"/>
      <c r="J240" s="150"/>
      <c r="K240" s="134"/>
      <c r="L240" s="137"/>
      <c r="M240" s="138"/>
      <c r="N240" s="138"/>
      <c r="O240" s="149" t="str">
        <f t="shared" si="16"/>
        <v/>
      </c>
      <c r="P240" s="470" t="str">
        <f>IFERROR(IF(L240="avec arrêt",IF(MONTH(N240)='Liste AT'!$X$2,0,N240-EOMONTH('Stats AT BDD'!$X$2,0)),""),"")</f>
        <v/>
      </c>
      <c r="Q240" s="139"/>
      <c r="R240" s="140"/>
      <c r="S240" s="140"/>
      <c r="T240" s="141"/>
      <c r="U240" s="143"/>
      <c r="V240" s="137"/>
      <c r="W240" s="137"/>
      <c r="X240" s="141"/>
      <c r="Y240" s="147"/>
      <c r="Z240" s="144" t="str">
        <f t="shared" si="15"/>
        <v/>
      </c>
      <c r="AA240" s="138"/>
      <c r="AB240" s="148" t="str">
        <f t="shared" ca="1" si="17"/>
        <v/>
      </c>
      <c r="AC240" s="226"/>
      <c r="AD240" s="210"/>
      <c r="AE240" s="350"/>
      <c r="AF240" s="353"/>
      <c r="AG240" s="350"/>
      <c r="AH240" s="215"/>
    </row>
    <row r="241" spans="1:34" ht="63" customHeight="1" x14ac:dyDescent="0.25">
      <c r="A241" s="153" t="s">
        <v>1082</v>
      </c>
      <c r="B241" s="142"/>
      <c r="C241" s="135"/>
      <c r="D241" s="136"/>
      <c r="E241" s="143"/>
      <c r="F241" s="463"/>
      <c r="G241" s="145"/>
      <c r="H241" s="146"/>
      <c r="I241" s="151"/>
      <c r="J241" s="150"/>
      <c r="K241" s="134"/>
      <c r="L241" s="137"/>
      <c r="M241" s="138"/>
      <c r="N241" s="138"/>
      <c r="O241" s="149" t="str">
        <f t="shared" si="16"/>
        <v/>
      </c>
      <c r="P241" s="470" t="str">
        <f>IFERROR(IF(L241="avec arrêt",IF(MONTH(N241)='Liste AT'!$X$2,0,N241-EOMONTH('Stats AT BDD'!$X$2,0)),""),"")</f>
        <v/>
      </c>
      <c r="Q241" s="139"/>
      <c r="R241" s="140"/>
      <c r="S241" s="140"/>
      <c r="T241" s="141"/>
      <c r="U241" s="143"/>
      <c r="V241" s="137"/>
      <c r="W241" s="137"/>
      <c r="X241" s="214"/>
      <c r="Y241" s="147"/>
      <c r="Z241" s="144" t="str">
        <f t="shared" si="15"/>
        <v/>
      </c>
      <c r="AA241" s="138"/>
      <c r="AB241" s="148" t="str">
        <f t="shared" ca="1" si="17"/>
        <v/>
      </c>
      <c r="AC241" s="226"/>
      <c r="AD241" s="210"/>
      <c r="AE241" s="350"/>
      <c r="AF241" s="353"/>
      <c r="AG241" s="350"/>
      <c r="AH241" s="215"/>
    </row>
    <row r="242" spans="1:34" ht="63" customHeight="1" x14ac:dyDescent="0.25">
      <c r="A242" s="153" t="s">
        <v>1083</v>
      </c>
      <c r="B242" s="142"/>
      <c r="C242" s="135"/>
      <c r="D242" s="136"/>
      <c r="E242" s="143"/>
      <c r="F242" s="463"/>
      <c r="G242" s="145"/>
      <c r="H242" s="146"/>
      <c r="I242" s="151"/>
      <c r="J242" s="150"/>
      <c r="K242" s="134"/>
      <c r="L242" s="137"/>
      <c r="M242" s="138"/>
      <c r="N242" s="138"/>
      <c r="O242" s="149" t="str">
        <f t="shared" si="16"/>
        <v/>
      </c>
      <c r="P242" s="470" t="str">
        <f>IFERROR(IF(L242="avec arrêt",IF(MONTH(N242)='Liste AT'!$X$2,0,N242-EOMONTH('Stats AT BDD'!$X$2,0)),""),"")</f>
        <v/>
      </c>
      <c r="Q242" s="139"/>
      <c r="R242" s="140"/>
      <c r="S242" s="140"/>
      <c r="T242" s="141"/>
      <c r="U242" s="143"/>
      <c r="V242" s="137"/>
      <c r="W242" s="137"/>
      <c r="X242" s="141"/>
      <c r="Y242" s="147"/>
      <c r="Z242" s="144" t="str">
        <f t="shared" si="15"/>
        <v/>
      </c>
      <c r="AA242" s="138"/>
      <c r="AB242" s="148" t="str">
        <f t="shared" ca="1" si="17"/>
        <v/>
      </c>
      <c r="AC242" s="226"/>
      <c r="AD242" s="210"/>
      <c r="AE242" s="350"/>
      <c r="AF242" s="353"/>
      <c r="AG242" s="350"/>
      <c r="AH242" s="215"/>
    </row>
    <row r="243" spans="1:34" ht="63" customHeight="1" x14ac:dyDescent="0.25">
      <c r="A243" s="153" t="s">
        <v>1084</v>
      </c>
      <c r="B243" s="142"/>
      <c r="C243" s="135"/>
      <c r="D243" s="136"/>
      <c r="E243" s="143"/>
      <c r="F243" s="463"/>
      <c r="G243" s="145"/>
      <c r="H243" s="146"/>
      <c r="I243" s="151"/>
      <c r="J243" s="150"/>
      <c r="K243" s="134"/>
      <c r="L243" s="137"/>
      <c r="M243" s="138"/>
      <c r="N243" s="138"/>
      <c r="O243" s="149" t="str">
        <f t="shared" si="16"/>
        <v/>
      </c>
      <c r="P243" s="470" t="str">
        <f>IFERROR(IF(L243="avec arrêt",IF(MONTH(N243)='Liste AT'!$X$2,0,N243-EOMONTH('Stats AT BDD'!$X$2,0)),""),"")</f>
        <v/>
      </c>
      <c r="Q243" s="139"/>
      <c r="R243" s="140"/>
      <c r="S243" s="140"/>
      <c r="T243" s="141"/>
      <c r="U243" s="143"/>
      <c r="V243" s="137"/>
      <c r="W243" s="137"/>
      <c r="X243" s="214"/>
      <c r="Y243" s="220"/>
      <c r="Z243" s="144" t="str">
        <f t="shared" si="15"/>
        <v/>
      </c>
      <c r="AA243" s="138"/>
      <c r="AB243" s="148" t="str">
        <f t="shared" ca="1" si="17"/>
        <v/>
      </c>
      <c r="AC243" s="226"/>
      <c r="AD243" s="210"/>
      <c r="AE243" s="350"/>
      <c r="AF243" s="353"/>
      <c r="AG243" s="350"/>
      <c r="AH243" s="215"/>
    </row>
    <row r="244" spans="1:34" ht="63" customHeight="1" x14ac:dyDescent="0.25">
      <c r="A244" s="153" t="s">
        <v>1085</v>
      </c>
      <c r="B244" s="142"/>
      <c r="C244" s="135"/>
      <c r="D244" s="136"/>
      <c r="E244" s="143"/>
      <c r="F244" s="463"/>
      <c r="G244" s="145"/>
      <c r="H244" s="146"/>
      <c r="I244" s="151"/>
      <c r="J244" s="150"/>
      <c r="K244" s="134"/>
      <c r="L244" s="137"/>
      <c r="M244" s="138"/>
      <c r="N244" s="138"/>
      <c r="O244" s="149" t="str">
        <f t="shared" si="16"/>
        <v/>
      </c>
      <c r="P244" s="470" t="str">
        <f>IFERROR(IF(L244="avec arrêt",IF(MONTH(N244)='Liste AT'!$X$2,0,N244-EOMONTH('Stats AT BDD'!$X$2,0)),""),"")</f>
        <v/>
      </c>
      <c r="Q244" s="139"/>
      <c r="R244" s="140"/>
      <c r="S244" s="140"/>
      <c r="T244" s="141"/>
      <c r="U244" s="143"/>
      <c r="V244" s="137"/>
      <c r="W244" s="137"/>
      <c r="X244" s="141"/>
      <c r="Y244" s="147"/>
      <c r="Z244" s="144" t="str">
        <f t="shared" si="15"/>
        <v/>
      </c>
      <c r="AA244" s="138"/>
      <c r="AB244" s="148" t="str">
        <f t="shared" ca="1" si="17"/>
        <v/>
      </c>
      <c r="AC244" s="226"/>
      <c r="AD244" s="210"/>
      <c r="AE244" s="350"/>
      <c r="AF244" s="353"/>
      <c r="AG244" s="350"/>
      <c r="AH244" s="215"/>
    </row>
    <row r="245" spans="1:34" ht="63" customHeight="1" x14ac:dyDescent="0.25">
      <c r="A245" s="153" t="s">
        <v>1086</v>
      </c>
      <c r="B245" s="142"/>
      <c r="C245" s="135"/>
      <c r="D245" s="136"/>
      <c r="E245" s="143"/>
      <c r="F245" s="463"/>
      <c r="G245" s="145"/>
      <c r="H245" s="146"/>
      <c r="I245" s="151"/>
      <c r="J245" s="150"/>
      <c r="K245" s="134"/>
      <c r="L245" s="137"/>
      <c r="M245" s="138"/>
      <c r="N245" s="138"/>
      <c r="O245" s="149" t="str">
        <f t="shared" si="16"/>
        <v/>
      </c>
      <c r="P245" s="470" t="str">
        <f>IFERROR(IF(L245="avec arrêt",IF(MONTH(N245)='Liste AT'!$X$2,0,N245-EOMONTH('Stats AT BDD'!$X$2,0)),""),"")</f>
        <v/>
      </c>
      <c r="Q245" s="139"/>
      <c r="R245" s="140"/>
      <c r="S245" s="140"/>
      <c r="T245" s="141"/>
      <c r="U245" s="143"/>
      <c r="V245" s="137"/>
      <c r="W245" s="137"/>
      <c r="X245" s="141"/>
      <c r="Y245" s="147"/>
      <c r="Z245" s="144" t="str">
        <f t="shared" si="15"/>
        <v/>
      </c>
      <c r="AA245" s="138"/>
      <c r="AB245" s="148" t="str">
        <f t="shared" ca="1" si="17"/>
        <v/>
      </c>
      <c r="AC245" s="226"/>
      <c r="AD245" s="210"/>
      <c r="AE245" s="350"/>
      <c r="AF245" s="353"/>
      <c r="AG245" s="350"/>
      <c r="AH245" s="215"/>
    </row>
    <row r="246" spans="1:34" ht="63" customHeight="1" x14ac:dyDescent="0.25">
      <c r="A246" s="153" t="s">
        <v>1087</v>
      </c>
      <c r="B246" s="142"/>
      <c r="C246" s="135"/>
      <c r="D246" s="136"/>
      <c r="E246" s="143"/>
      <c r="F246" s="463"/>
      <c r="G246" s="145"/>
      <c r="H246" s="146"/>
      <c r="I246" s="151"/>
      <c r="J246" s="150"/>
      <c r="K246" s="134"/>
      <c r="L246" s="137"/>
      <c r="M246" s="138"/>
      <c r="N246" s="138"/>
      <c r="O246" s="149" t="str">
        <f t="shared" si="16"/>
        <v/>
      </c>
      <c r="P246" s="470" t="str">
        <f>IFERROR(IF(L246="avec arrêt",IF(MONTH(N246)='Liste AT'!$X$2,0,N246-EOMONTH('Stats AT BDD'!$X$2,0)),""),"")</f>
        <v/>
      </c>
      <c r="Q246" s="139"/>
      <c r="R246" s="140"/>
      <c r="S246" s="140"/>
      <c r="T246" s="141"/>
      <c r="U246" s="143"/>
      <c r="V246" s="137"/>
      <c r="W246" s="137"/>
      <c r="X246" s="141"/>
      <c r="Y246" s="147"/>
      <c r="Z246" s="144" t="str">
        <f t="shared" si="15"/>
        <v/>
      </c>
      <c r="AA246" s="138"/>
      <c r="AB246" s="148" t="str">
        <f t="shared" ca="1" si="17"/>
        <v/>
      </c>
      <c r="AC246" s="226"/>
      <c r="AD246" s="210"/>
      <c r="AE246" s="350"/>
      <c r="AF246" s="353"/>
      <c r="AG246" s="350"/>
      <c r="AH246" s="215"/>
    </row>
    <row r="247" spans="1:34" ht="63" customHeight="1" x14ac:dyDescent="0.25">
      <c r="A247" s="153" t="s">
        <v>1088</v>
      </c>
      <c r="B247" s="142"/>
      <c r="C247" s="135"/>
      <c r="D247" s="136"/>
      <c r="E247" s="143"/>
      <c r="F247" s="463"/>
      <c r="G247" s="145"/>
      <c r="H247" s="146"/>
      <c r="I247" s="151"/>
      <c r="J247" s="150"/>
      <c r="K247" s="134"/>
      <c r="L247" s="137"/>
      <c r="M247" s="138"/>
      <c r="N247" s="138"/>
      <c r="O247" s="149" t="str">
        <f t="shared" si="16"/>
        <v/>
      </c>
      <c r="P247" s="470" t="str">
        <f>IFERROR(IF(L247="avec arrêt",IF(MONTH(N247)='Liste AT'!$X$2,0,N247-EOMONTH('Stats AT BDD'!$X$2,0)),""),"")</f>
        <v/>
      </c>
      <c r="Q247" s="139"/>
      <c r="R247" s="140"/>
      <c r="S247" s="140"/>
      <c r="T247" s="141"/>
      <c r="U247" s="143"/>
      <c r="V247" s="137"/>
      <c r="W247" s="137"/>
      <c r="X247" s="141"/>
      <c r="Y247" s="147"/>
      <c r="Z247" s="144" t="str">
        <f t="shared" si="15"/>
        <v/>
      </c>
      <c r="AA247" s="138"/>
      <c r="AB247" s="148" t="str">
        <f t="shared" ca="1" si="17"/>
        <v/>
      </c>
      <c r="AC247" s="226"/>
      <c r="AD247" s="210"/>
      <c r="AE247" s="350"/>
      <c r="AF247" s="353"/>
      <c r="AG247" s="350"/>
      <c r="AH247" s="215"/>
    </row>
    <row r="248" spans="1:34" ht="63" customHeight="1" x14ac:dyDescent="0.25">
      <c r="A248" s="153" t="s">
        <v>1089</v>
      </c>
      <c r="B248" s="142"/>
      <c r="C248" s="135"/>
      <c r="D248" s="136"/>
      <c r="E248" s="143"/>
      <c r="F248" s="463"/>
      <c r="G248" s="145"/>
      <c r="H248" s="146"/>
      <c r="I248" s="151"/>
      <c r="J248" s="150"/>
      <c r="K248" s="134"/>
      <c r="L248" s="137"/>
      <c r="M248" s="138"/>
      <c r="N248" s="138"/>
      <c r="O248" s="149" t="str">
        <f t="shared" si="16"/>
        <v/>
      </c>
      <c r="P248" s="470" t="str">
        <f>IFERROR(IF(L248="avec arrêt",IF(MONTH(N248)='Liste AT'!$X$2,0,N248-EOMONTH('Stats AT BDD'!$X$2,0)),""),"")</f>
        <v/>
      </c>
      <c r="Q248" s="139"/>
      <c r="R248" s="140"/>
      <c r="S248" s="140"/>
      <c r="T248" s="141"/>
      <c r="U248" s="143"/>
      <c r="V248" s="137"/>
      <c r="W248" s="137"/>
      <c r="X248" s="141"/>
      <c r="Y248" s="147"/>
      <c r="Z248" s="144" t="str">
        <f t="shared" si="15"/>
        <v/>
      </c>
      <c r="AA248" s="138"/>
      <c r="AB248" s="148" t="str">
        <f t="shared" ca="1" si="17"/>
        <v/>
      </c>
      <c r="AC248" s="226"/>
      <c r="AD248" s="210"/>
      <c r="AE248" s="350"/>
      <c r="AF248" s="353"/>
      <c r="AG248" s="350"/>
      <c r="AH248" s="215"/>
    </row>
    <row r="249" spans="1:34" ht="63" customHeight="1" x14ac:dyDescent="0.25">
      <c r="A249" s="153" t="s">
        <v>1090</v>
      </c>
      <c r="B249" s="142"/>
      <c r="C249" s="135"/>
      <c r="D249" s="136"/>
      <c r="E249" s="143"/>
      <c r="F249" s="463"/>
      <c r="G249" s="145"/>
      <c r="H249" s="146"/>
      <c r="I249" s="151"/>
      <c r="J249" s="150"/>
      <c r="K249" s="134"/>
      <c r="L249" s="137"/>
      <c r="M249" s="138"/>
      <c r="N249" s="138"/>
      <c r="O249" s="149" t="str">
        <f t="shared" si="16"/>
        <v/>
      </c>
      <c r="P249" s="470" t="str">
        <f>IFERROR(IF(L249="avec arrêt",IF(MONTH(N249)='Liste AT'!$X$2,0,N249-EOMONTH('Stats AT BDD'!$X$2,0)),""),"")</f>
        <v/>
      </c>
      <c r="Q249" s="139"/>
      <c r="R249" s="140"/>
      <c r="S249" s="140"/>
      <c r="T249" s="141"/>
      <c r="U249" s="143"/>
      <c r="V249" s="137"/>
      <c r="W249" s="137"/>
      <c r="X249" s="141"/>
      <c r="Y249" s="147"/>
      <c r="Z249" s="144" t="str">
        <f t="shared" si="15"/>
        <v/>
      </c>
      <c r="AA249" s="138"/>
      <c r="AB249" s="148" t="str">
        <f t="shared" ca="1" si="17"/>
        <v/>
      </c>
      <c r="AC249" s="226"/>
      <c r="AD249" s="210"/>
      <c r="AE249" s="350"/>
      <c r="AF249" s="353"/>
      <c r="AG249" s="350"/>
      <c r="AH249" s="215"/>
    </row>
    <row r="250" spans="1:34" ht="63" customHeight="1" x14ac:dyDescent="0.25">
      <c r="A250" s="153" t="s">
        <v>1091</v>
      </c>
      <c r="B250" s="142"/>
      <c r="C250" s="135"/>
      <c r="D250" s="136"/>
      <c r="E250" s="143"/>
      <c r="F250" s="463"/>
      <c r="G250" s="145"/>
      <c r="H250" s="146"/>
      <c r="I250" s="151"/>
      <c r="J250" s="150"/>
      <c r="K250" s="134"/>
      <c r="L250" s="137"/>
      <c r="M250" s="138"/>
      <c r="N250" s="138"/>
      <c r="O250" s="149" t="str">
        <f t="shared" si="16"/>
        <v/>
      </c>
      <c r="P250" s="470" t="str">
        <f>IFERROR(IF(L250="avec arrêt",IF(MONTH(N250)='Liste AT'!$X$2,0,N250-EOMONTH('Stats AT BDD'!$X$2,0)),""),"")</f>
        <v/>
      </c>
      <c r="Q250" s="139"/>
      <c r="R250" s="140"/>
      <c r="S250" s="140"/>
      <c r="T250" s="141"/>
      <c r="U250" s="143"/>
      <c r="V250" s="137"/>
      <c r="W250" s="137"/>
      <c r="X250" s="141"/>
      <c r="Y250" s="147"/>
      <c r="Z250" s="144" t="str">
        <f t="shared" si="15"/>
        <v/>
      </c>
      <c r="AA250" s="138"/>
      <c r="AB250" s="148" t="str">
        <f t="shared" ca="1" si="17"/>
        <v/>
      </c>
      <c r="AC250" s="226"/>
      <c r="AD250" s="210"/>
      <c r="AE250" s="350"/>
      <c r="AF250" s="353"/>
      <c r="AG250" s="350"/>
      <c r="AH250" s="215"/>
    </row>
    <row r="251" spans="1:34" ht="63" customHeight="1" x14ac:dyDescent="0.25">
      <c r="A251" s="153" t="s">
        <v>1092</v>
      </c>
      <c r="B251" s="142"/>
      <c r="C251" s="135"/>
      <c r="D251" s="136"/>
      <c r="E251" s="143"/>
      <c r="F251" s="463"/>
      <c r="G251" s="145"/>
      <c r="H251" s="146"/>
      <c r="I251" s="151"/>
      <c r="J251" s="150"/>
      <c r="K251" s="134"/>
      <c r="L251" s="137"/>
      <c r="M251" s="138"/>
      <c r="N251" s="138"/>
      <c r="O251" s="149" t="str">
        <f t="shared" si="16"/>
        <v/>
      </c>
      <c r="P251" s="470" t="str">
        <f>IFERROR(IF(L251="avec arrêt",IF(MONTH(N251)='Liste AT'!$X$2,0,N251-EOMONTH('Stats AT BDD'!$X$2,0)),""),"")</f>
        <v/>
      </c>
      <c r="Q251" s="139"/>
      <c r="R251" s="140"/>
      <c r="S251" s="140"/>
      <c r="T251" s="141"/>
      <c r="U251" s="143"/>
      <c r="V251" s="137"/>
      <c r="W251" s="137"/>
      <c r="X251" s="141"/>
      <c r="Y251" s="147"/>
      <c r="Z251" s="144" t="str">
        <f t="shared" si="15"/>
        <v/>
      </c>
      <c r="AA251" s="138"/>
      <c r="AB251" s="148" t="str">
        <f t="shared" ca="1" si="17"/>
        <v/>
      </c>
      <c r="AC251" s="226"/>
      <c r="AD251" s="210"/>
      <c r="AE251" s="350"/>
      <c r="AF251" s="353"/>
      <c r="AG251" s="350"/>
      <c r="AH251" s="215"/>
    </row>
    <row r="252" spans="1:34" ht="63" customHeight="1" x14ac:dyDescent="0.25">
      <c r="A252" s="153" t="s">
        <v>1093</v>
      </c>
      <c r="B252" s="142"/>
      <c r="C252" s="135"/>
      <c r="D252" s="136"/>
      <c r="E252" s="143"/>
      <c r="F252" s="463"/>
      <c r="G252" s="145"/>
      <c r="H252" s="146"/>
      <c r="I252" s="151"/>
      <c r="J252" s="150"/>
      <c r="K252" s="134"/>
      <c r="L252" s="137"/>
      <c r="M252" s="138"/>
      <c r="N252" s="138"/>
      <c r="O252" s="149" t="str">
        <f t="shared" si="16"/>
        <v/>
      </c>
      <c r="P252" s="470" t="str">
        <f>IFERROR(IF(L252="avec arrêt",IF(MONTH(N252)='Liste AT'!$X$2,0,N252-EOMONTH('Stats AT BDD'!$X$2,0)),""),"")</f>
        <v/>
      </c>
      <c r="Q252" s="139"/>
      <c r="R252" s="140"/>
      <c r="S252" s="140"/>
      <c r="T252" s="141"/>
      <c r="U252" s="143"/>
      <c r="V252" s="137"/>
      <c r="W252" s="137"/>
      <c r="X252" s="141"/>
      <c r="Y252" s="147"/>
      <c r="Z252" s="144" t="str">
        <f t="shared" si="15"/>
        <v/>
      </c>
      <c r="AA252" s="138"/>
      <c r="AB252" s="148" t="str">
        <f t="shared" ca="1" si="17"/>
        <v/>
      </c>
      <c r="AC252" s="226"/>
      <c r="AD252" s="210"/>
      <c r="AE252" s="350"/>
      <c r="AF252" s="353"/>
      <c r="AG252" s="350"/>
      <c r="AH252" s="215"/>
    </row>
    <row r="253" spans="1:34" ht="63" customHeight="1" x14ac:dyDescent="0.25">
      <c r="A253" s="153" t="s">
        <v>1094</v>
      </c>
      <c r="B253" s="142"/>
      <c r="C253" s="135"/>
      <c r="D253" s="136"/>
      <c r="E253" s="143"/>
      <c r="F253" s="463"/>
      <c r="G253" s="145"/>
      <c r="H253" s="146"/>
      <c r="I253" s="151"/>
      <c r="J253" s="150"/>
      <c r="K253" s="134"/>
      <c r="L253" s="137"/>
      <c r="M253" s="138"/>
      <c r="N253" s="138"/>
      <c r="O253" s="149" t="str">
        <f t="shared" si="16"/>
        <v/>
      </c>
      <c r="P253" s="470" t="str">
        <f>IFERROR(IF(L253="avec arrêt",IF(MONTH(N253)='Liste AT'!$X$2,0,N253-EOMONTH('Stats AT BDD'!$X$2,0)),""),"")</f>
        <v/>
      </c>
      <c r="Q253" s="139"/>
      <c r="R253" s="140"/>
      <c r="S253" s="140"/>
      <c r="T253" s="141"/>
      <c r="U253" s="143"/>
      <c r="V253" s="137"/>
      <c r="W253" s="137"/>
      <c r="X253" s="141"/>
      <c r="Y253" s="147"/>
      <c r="Z253" s="144" t="str">
        <f t="shared" si="15"/>
        <v/>
      </c>
      <c r="AA253" s="138"/>
      <c r="AB253" s="148" t="str">
        <f t="shared" ca="1" si="17"/>
        <v/>
      </c>
      <c r="AC253" s="226"/>
      <c r="AD253" s="210"/>
      <c r="AE253" s="350"/>
      <c r="AF253" s="353"/>
      <c r="AG253" s="350"/>
      <c r="AH253" s="215"/>
    </row>
    <row r="254" spans="1:34" ht="63" customHeight="1" x14ac:dyDescent="0.25">
      <c r="A254" s="153" t="s">
        <v>1095</v>
      </c>
      <c r="B254" s="142"/>
      <c r="C254" s="135"/>
      <c r="D254" s="136"/>
      <c r="E254" s="143"/>
      <c r="F254" s="463"/>
      <c r="G254" s="145"/>
      <c r="H254" s="146"/>
      <c r="I254" s="151"/>
      <c r="J254" s="150"/>
      <c r="K254" s="134"/>
      <c r="L254" s="137"/>
      <c r="M254" s="138"/>
      <c r="N254" s="138"/>
      <c r="O254" s="149" t="str">
        <f t="shared" si="16"/>
        <v/>
      </c>
      <c r="P254" s="470" t="str">
        <f>IFERROR(IF(L254="avec arrêt",IF(MONTH(N254)='Liste AT'!$X$2,0,N254-EOMONTH('Stats AT BDD'!$X$2,0)),""),"")</f>
        <v/>
      </c>
      <c r="Q254" s="139"/>
      <c r="R254" s="140"/>
      <c r="S254" s="140"/>
      <c r="T254" s="141"/>
      <c r="U254" s="143"/>
      <c r="V254" s="137"/>
      <c r="W254" s="137"/>
      <c r="X254" s="141"/>
      <c r="Y254" s="147"/>
      <c r="Z254" s="144" t="str">
        <f t="shared" ref="Z254:Z285" si="18">IF(ISBLANK(I254),"",I254+7)</f>
        <v/>
      </c>
      <c r="AA254" s="138"/>
      <c r="AB254" s="148" t="str">
        <f t="shared" ca="1" si="17"/>
        <v/>
      </c>
      <c r="AC254" s="226"/>
      <c r="AD254" s="210"/>
      <c r="AE254" s="350"/>
      <c r="AF254" s="353"/>
      <c r="AG254" s="350"/>
      <c r="AH254" s="215"/>
    </row>
    <row r="255" spans="1:34" ht="63" customHeight="1" x14ac:dyDescent="0.25">
      <c r="A255" s="153" t="s">
        <v>1096</v>
      </c>
      <c r="B255" s="142"/>
      <c r="C255" s="135"/>
      <c r="D255" s="136"/>
      <c r="E255" s="143"/>
      <c r="F255" s="463"/>
      <c r="G255" s="145"/>
      <c r="H255" s="146"/>
      <c r="I255" s="151"/>
      <c r="J255" s="150"/>
      <c r="K255" s="134"/>
      <c r="L255" s="137"/>
      <c r="M255" s="138"/>
      <c r="N255" s="138"/>
      <c r="O255" s="149" t="str">
        <f t="shared" si="16"/>
        <v/>
      </c>
      <c r="P255" s="470" t="str">
        <f>IFERROR(IF(L255="avec arrêt",IF(MONTH(N255)='Liste AT'!$X$2,0,N255-EOMONTH('Stats AT BDD'!$X$2,0)),""),"")</f>
        <v/>
      </c>
      <c r="Q255" s="139"/>
      <c r="R255" s="140"/>
      <c r="S255" s="140"/>
      <c r="T255" s="141"/>
      <c r="U255" s="143"/>
      <c r="V255" s="137"/>
      <c r="W255" s="137"/>
      <c r="X255" s="141"/>
      <c r="Y255" s="147"/>
      <c r="Z255" s="144" t="str">
        <f t="shared" si="18"/>
        <v/>
      </c>
      <c r="AA255" s="138"/>
      <c r="AB255" s="148" t="str">
        <f t="shared" ca="1" si="17"/>
        <v/>
      </c>
      <c r="AC255" s="226"/>
      <c r="AD255" s="210"/>
      <c r="AE255" s="350"/>
      <c r="AF255" s="353"/>
      <c r="AG255" s="350"/>
      <c r="AH255" s="215"/>
    </row>
    <row r="256" spans="1:34" ht="63" customHeight="1" x14ac:dyDescent="0.25">
      <c r="A256" s="153" t="s">
        <v>1097</v>
      </c>
      <c r="B256" s="142"/>
      <c r="C256" s="135"/>
      <c r="D256" s="136"/>
      <c r="E256" s="143"/>
      <c r="F256" s="463"/>
      <c r="G256" s="145"/>
      <c r="H256" s="146"/>
      <c r="I256" s="151"/>
      <c r="J256" s="150"/>
      <c r="K256" s="134"/>
      <c r="L256" s="137"/>
      <c r="M256" s="138"/>
      <c r="N256" s="138"/>
      <c r="O256" s="149" t="str">
        <f t="shared" si="16"/>
        <v/>
      </c>
      <c r="P256" s="470" t="str">
        <f>IFERROR(IF(L256="avec arrêt",IF(MONTH(N256)='Liste AT'!$X$2,0,N256-EOMONTH('Stats AT BDD'!$X$2,0)),""),"")</f>
        <v/>
      </c>
      <c r="Q256" s="139"/>
      <c r="R256" s="140"/>
      <c r="S256" s="140"/>
      <c r="T256" s="141"/>
      <c r="U256" s="143"/>
      <c r="V256" s="137"/>
      <c r="W256" s="137"/>
      <c r="X256" s="141"/>
      <c r="Y256" s="147"/>
      <c r="Z256" s="144" t="str">
        <f t="shared" si="18"/>
        <v/>
      </c>
      <c r="AA256" s="138"/>
      <c r="AB256" s="148" t="str">
        <f t="shared" ca="1" si="17"/>
        <v/>
      </c>
      <c r="AC256" s="226"/>
      <c r="AD256" s="210"/>
      <c r="AE256" s="350"/>
      <c r="AF256" s="353"/>
      <c r="AG256" s="350"/>
      <c r="AH256" s="215"/>
    </row>
    <row r="257" spans="1:34" ht="63" customHeight="1" x14ac:dyDescent="0.25">
      <c r="A257" s="153" t="s">
        <v>1098</v>
      </c>
      <c r="B257" s="142"/>
      <c r="C257" s="135"/>
      <c r="D257" s="136"/>
      <c r="E257" s="143"/>
      <c r="F257" s="463"/>
      <c r="G257" s="145"/>
      <c r="H257" s="146"/>
      <c r="I257" s="151"/>
      <c r="J257" s="150"/>
      <c r="K257" s="134"/>
      <c r="L257" s="137"/>
      <c r="M257" s="138"/>
      <c r="N257" s="138"/>
      <c r="O257" s="149" t="str">
        <f t="shared" si="16"/>
        <v/>
      </c>
      <c r="P257" s="470" t="str">
        <f>IFERROR(IF(L257="avec arrêt",IF(MONTH(N257)='Liste AT'!$X$2,0,N257-EOMONTH('Stats AT BDD'!$X$2,0)),""),"")</f>
        <v/>
      </c>
      <c r="Q257" s="139"/>
      <c r="R257" s="140"/>
      <c r="S257" s="140"/>
      <c r="T257" s="141"/>
      <c r="U257" s="143"/>
      <c r="V257" s="137"/>
      <c r="W257" s="137"/>
      <c r="X257" s="141"/>
      <c r="Y257" s="147"/>
      <c r="Z257" s="144" t="str">
        <f t="shared" si="18"/>
        <v/>
      </c>
      <c r="AA257" s="138"/>
      <c r="AB257" s="148" t="str">
        <f t="shared" ca="1" si="17"/>
        <v/>
      </c>
      <c r="AC257" s="226"/>
      <c r="AD257" s="210"/>
      <c r="AE257" s="350"/>
      <c r="AF257" s="353"/>
      <c r="AG257" s="350"/>
      <c r="AH257" s="215"/>
    </row>
    <row r="258" spans="1:34" ht="63" customHeight="1" x14ac:dyDescent="0.25">
      <c r="A258" s="153" t="s">
        <v>1099</v>
      </c>
      <c r="B258" s="142"/>
      <c r="C258" s="135"/>
      <c r="D258" s="136"/>
      <c r="E258" s="143"/>
      <c r="F258" s="463"/>
      <c r="G258" s="145"/>
      <c r="H258" s="146"/>
      <c r="I258" s="151"/>
      <c r="J258" s="150"/>
      <c r="K258" s="134"/>
      <c r="L258" s="137"/>
      <c r="M258" s="138"/>
      <c r="N258" s="138"/>
      <c r="O258" s="149" t="str">
        <f t="shared" si="16"/>
        <v/>
      </c>
      <c r="P258" s="470" t="str">
        <f>IFERROR(IF(L258="avec arrêt",IF(MONTH(N258)='Liste AT'!$X$2,0,N258-EOMONTH('Stats AT BDD'!$X$2,0)),""),"")</f>
        <v/>
      </c>
      <c r="Q258" s="139"/>
      <c r="R258" s="140"/>
      <c r="S258" s="140"/>
      <c r="T258" s="141"/>
      <c r="U258" s="143"/>
      <c r="V258" s="137"/>
      <c r="W258" s="137"/>
      <c r="X258" s="141"/>
      <c r="Y258" s="147"/>
      <c r="Z258" s="144" t="str">
        <f t="shared" si="18"/>
        <v/>
      </c>
      <c r="AA258" s="138"/>
      <c r="AB258" s="148" t="str">
        <f t="shared" ca="1" si="17"/>
        <v/>
      </c>
      <c r="AC258" s="226"/>
      <c r="AD258" s="210"/>
      <c r="AE258" s="350"/>
      <c r="AF258" s="353"/>
      <c r="AG258" s="350"/>
      <c r="AH258" s="215"/>
    </row>
    <row r="259" spans="1:34" ht="63" customHeight="1" x14ac:dyDescent="0.25">
      <c r="A259" s="153" t="s">
        <v>1100</v>
      </c>
      <c r="B259" s="142"/>
      <c r="C259" s="135"/>
      <c r="D259" s="136"/>
      <c r="E259" s="143"/>
      <c r="F259" s="463"/>
      <c r="G259" s="145"/>
      <c r="H259" s="146"/>
      <c r="I259" s="151"/>
      <c r="J259" s="150"/>
      <c r="K259" s="134"/>
      <c r="L259" s="137"/>
      <c r="M259" s="138"/>
      <c r="N259" s="138"/>
      <c r="O259" s="149" t="str">
        <f t="shared" si="16"/>
        <v/>
      </c>
      <c r="P259" s="470" t="str">
        <f>IFERROR(IF(L259="avec arrêt",IF(MONTH(N259)='Liste AT'!$X$2,0,N259-EOMONTH('Stats AT BDD'!$X$2,0)),""),"")</f>
        <v/>
      </c>
      <c r="Q259" s="139"/>
      <c r="R259" s="140"/>
      <c r="S259" s="140"/>
      <c r="T259" s="141"/>
      <c r="U259" s="143"/>
      <c r="V259" s="137"/>
      <c r="W259" s="137"/>
      <c r="X259" s="141"/>
      <c r="Y259" s="147"/>
      <c r="Z259" s="144" t="str">
        <f t="shared" si="18"/>
        <v/>
      </c>
      <c r="AA259" s="138"/>
      <c r="AB259" s="148" t="str">
        <f t="shared" ca="1" si="17"/>
        <v/>
      </c>
      <c r="AC259" s="226"/>
      <c r="AD259" s="210"/>
      <c r="AE259" s="350"/>
      <c r="AF259" s="353"/>
      <c r="AG259" s="350"/>
      <c r="AH259" s="215"/>
    </row>
    <row r="260" spans="1:34" ht="63" customHeight="1" x14ac:dyDescent="0.25">
      <c r="A260" s="153" t="s">
        <v>1101</v>
      </c>
      <c r="B260" s="142"/>
      <c r="C260" s="135"/>
      <c r="D260" s="136"/>
      <c r="E260" s="143"/>
      <c r="F260" s="463"/>
      <c r="G260" s="145"/>
      <c r="H260" s="146"/>
      <c r="I260" s="151"/>
      <c r="J260" s="150"/>
      <c r="K260" s="134"/>
      <c r="L260" s="137"/>
      <c r="M260" s="138"/>
      <c r="N260" s="138"/>
      <c r="O260" s="149" t="str">
        <f t="shared" si="16"/>
        <v/>
      </c>
      <c r="P260" s="470" t="str">
        <f>IFERROR(IF(L260="avec arrêt",IF(MONTH(N260)='Liste AT'!$X$2,0,N260-EOMONTH('Stats AT BDD'!$X$2,0)),""),"")</f>
        <v/>
      </c>
      <c r="Q260" s="139"/>
      <c r="R260" s="140"/>
      <c r="S260" s="140"/>
      <c r="T260" s="141"/>
      <c r="U260" s="143"/>
      <c r="V260" s="137"/>
      <c r="W260" s="137"/>
      <c r="X260" s="141"/>
      <c r="Y260" s="147"/>
      <c r="Z260" s="144" t="str">
        <f t="shared" si="18"/>
        <v/>
      </c>
      <c r="AA260" s="138"/>
      <c r="AB260" s="148" t="str">
        <f t="shared" ca="1" si="17"/>
        <v/>
      </c>
      <c r="AC260" s="226"/>
      <c r="AD260" s="210"/>
      <c r="AE260" s="350"/>
      <c r="AF260" s="353"/>
      <c r="AG260" s="350"/>
      <c r="AH260" s="215"/>
    </row>
    <row r="261" spans="1:34" ht="63" customHeight="1" x14ac:dyDescent="0.25">
      <c r="A261" s="153" t="s">
        <v>1102</v>
      </c>
      <c r="B261" s="142"/>
      <c r="C261" s="135"/>
      <c r="D261" s="136"/>
      <c r="E261" s="143"/>
      <c r="F261" s="463"/>
      <c r="G261" s="145"/>
      <c r="H261" s="146"/>
      <c r="I261" s="151"/>
      <c r="J261" s="150"/>
      <c r="K261" s="134"/>
      <c r="L261" s="137"/>
      <c r="M261" s="138"/>
      <c r="N261" s="138"/>
      <c r="O261" s="149" t="str">
        <f t="shared" si="16"/>
        <v/>
      </c>
      <c r="P261" s="470" t="str">
        <f>IFERROR(IF(L261="avec arrêt",IF(MONTH(N261)='Liste AT'!$X$2,0,N261-EOMONTH('Stats AT BDD'!$X$2,0)),""),"")</f>
        <v/>
      </c>
      <c r="Q261" s="139"/>
      <c r="R261" s="140"/>
      <c r="S261" s="140"/>
      <c r="T261" s="141"/>
      <c r="U261" s="143"/>
      <c r="V261" s="137"/>
      <c r="W261" s="137"/>
      <c r="X261" s="141"/>
      <c r="Y261" s="147"/>
      <c r="Z261" s="144" t="str">
        <f t="shared" si="18"/>
        <v/>
      </c>
      <c r="AA261" s="138"/>
      <c r="AB261" s="148" t="str">
        <f t="shared" ca="1" si="17"/>
        <v/>
      </c>
      <c r="AC261" s="226"/>
      <c r="AD261" s="210"/>
      <c r="AE261" s="350"/>
      <c r="AF261" s="353"/>
      <c r="AG261" s="350"/>
      <c r="AH261" s="215"/>
    </row>
    <row r="262" spans="1:34" ht="63" customHeight="1" x14ac:dyDescent="0.25">
      <c r="A262" s="153" t="s">
        <v>1103</v>
      </c>
      <c r="B262" s="142"/>
      <c r="C262" s="135"/>
      <c r="D262" s="136"/>
      <c r="E262" s="143"/>
      <c r="F262" s="463"/>
      <c r="G262" s="145"/>
      <c r="H262" s="146"/>
      <c r="I262" s="151"/>
      <c r="J262" s="150"/>
      <c r="K262" s="134"/>
      <c r="L262" s="137"/>
      <c r="M262" s="138"/>
      <c r="N262" s="138"/>
      <c r="O262" s="149" t="str">
        <f t="shared" si="16"/>
        <v/>
      </c>
      <c r="P262" s="470" t="str">
        <f>IFERROR(IF(L262="avec arrêt",IF(MONTH(N262)='Liste AT'!$X$2,0,N262-EOMONTH('Stats AT BDD'!$X$2,0)),""),"")</f>
        <v/>
      </c>
      <c r="Q262" s="139"/>
      <c r="R262" s="140"/>
      <c r="S262" s="140"/>
      <c r="T262" s="141"/>
      <c r="U262" s="143"/>
      <c r="V262" s="137"/>
      <c r="W262" s="137"/>
      <c r="X262" s="141"/>
      <c r="Y262" s="147"/>
      <c r="Z262" s="144" t="str">
        <f t="shared" si="18"/>
        <v/>
      </c>
      <c r="AA262" s="138"/>
      <c r="AB262" s="148" t="str">
        <f t="shared" ca="1" si="17"/>
        <v/>
      </c>
      <c r="AC262" s="226"/>
      <c r="AD262" s="210"/>
      <c r="AE262" s="350"/>
      <c r="AF262" s="353"/>
      <c r="AG262" s="350"/>
      <c r="AH262" s="215"/>
    </row>
    <row r="263" spans="1:34" ht="63" customHeight="1" x14ac:dyDescent="0.25">
      <c r="A263" s="153" t="s">
        <v>1104</v>
      </c>
      <c r="B263" s="142"/>
      <c r="C263" s="135"/>
      <c r="D263" s="136"/>
      <c r="E263" s="143"/>
      <c r="F263" s="463"/>
      <c r="G263" s="145"/>
      <c r="H263" s="146"/>
      <c r="I263" s="151"/>
      <c r="J263" s="150"/>
      <c r="K263" s="134"/>
      <c r="L263" s="137"/>
      <c r="M263" s="138"/>
      <c r="N263" s="138"/>
      <c r="O263" s="149" t="str">
        <f t="shared" ref="O263:O297" si="19">IF(L263="avec arrêt",(N263-M263)+1,"")</f>
        <v/>
      </c>
      <c r="P263" s="470" t="str">
        <f>IFERROR(IF(L263="avec arrêt",IF(MONTH(N263)='Liste AT'!$X$2,0,N263-EOMONTH('Stats AT BDD'!$X$2,0)),""),"")</f>
        <v/>
      </c>
      <c r="Q263" s="139"/>
      <c r="R263" s="140"/>
      <c r="S263" s="140"/>
      <c r="T263" s="141"/>
      <c r="U263" s="143"/>
      <c r="V263" s="137"/>
      <c r="W263" s="137"/>
      <c r="X263" s="141"/>
      <c r="Y263" s="147"/>
      <c r="Z263" s="144" t="str">
        <f t="shared" si="18"/>
        <v/>
      </c>
      <c r="AA263" s="138"/>
      <c r="AB263" s="148" t="str">
        <f t="shared" ca="1" si="17"/>
        <v/>
      </c>
      <c r="AC263" s="226"/>
      <c r="AD263" s="210"/>
      <c r="AE263" s="350"/>
      <c r="AF263" s="353"/>
      <c r="AG263" s="350"/>
      <c r="AH263" s="215"/>
    </row>
    <row r="264" spans="1:34" ht="63" customHeight="1" x14ac:dyDescent="0.25">
      <c r="A264" s="153" t="s">
        <v>1105</v>
      </c>
      <c r="B264" s="142"/>
      <c r="C264" s="135"/>
      <c r="D264" s="136"/>
      <c r="E264" s="143"/>
      <c r="F264" s="463"/>
      <c r="G264" s="145"/>
      <c r="H264" s="146"/>
      <c r="I264" s="151"/>
      <c r="J264" s="150"/>
      <c r="K264" s="134"/>
      <c r="L264" s="137"/>
      <c r="M264" s="138"/>
      <c r="N264" s="138"/>
      <c r="O264" s="149" t="str">
        <f t="shared" si="19"/>
        <v/>
      </c>
      <c r="P264" s="470" t="str">
        <f>IFERROR(IF(L264="avec arrêt",IF(MONTH(N264)='Liste AT'!$X$2,0,N264-EOMONTH('Stats AT BDD'!$X$2,0)),""),"")</f>
        <v/>
      </c>
      <c r="Q264" s="139"/>
      <c r="R264" s="140"/>
      <c r="S264" s="140"/>
      <c r="T264" s="141"/>
      <c r="U264" s="143"/>
      <c r="V264" s="137"/>
      <c r="W264" s="137"/>
      <c r="X264" s="141"/>
      <c r="Y264" s="147"/>
      <c r="Z264" s="144" t="str">
        <f t="shared" si="18"/>
        <v/>
      </c>
      <c r="AA264" s="138"/>
      <c r="AB264" s="148" t="str">
        <f t="shared" ca="1" si="17"/>
        <v/>
      </c>
      <c r="AC264" s="226"/>
      <c r="AD264" s="210"/>
      <c r="AE264" s="350"/>
      <c r="AF264" s="353"/>
      <c r="AG264" s="350"/>
      <c r="AH264" s="215"/>
    </row>
    <row r="265" spans="1:34" ht="63" customHeight="1" x14ac:dyDescent="0.25">
      <c r="A265" s="153" t="s">
        <v>1106</v>
      </c>
      <c r="B265" s="142"/>
      <c r="C265" s="135"/>
      <c r="D265" s="136"/>
      <c r="E265" s="143"/>
      <c r="F265" s="463"/>
      <c r="G265" s="145"/>
      <c r="H265" s="146"/>
      <c r="I265" s="151"/>
      <c r="J265" s="150"/>
      <c r="K265" s="134"/>
      <c r="L265" s="137"/>
      <c r="M265" s="138"/>
      <c r="N265" s="138"/>
      <c r="O265" s="149" t="str">
        <f t="shared" si="19"/>
        <v/>
      </c>
      <c r="P265" s="470" t="str">
        <f>IFERROR(IF(L265="avec arrêt",IF(MONTH(N265)='Liste AT'!$X$2,0,N265-EOMONTH('Stats AT BDD'!$X$2,0)),""),"")</f>
        <v/>
      </c>
      <c r="Q265" s="139"/>
      <c r="R265" s="140"/>
      <c r="S265" s="140"/>
      <c r="T265" s="141"/>
      <c r="U265" s="143"/>
      <c r="V265" s="137"/>
      <c r="W265" s="137"/>
      <c r="X265" s="141"/>
      <c r="Y265" s="147"/>
      <c r="Z265" s="144" t="str">
        <f t="shared" si="18"/>
        <v/>
      </c>
      <c r="AA265" s="138"/>
      <c r="AB265" s="148" t="str">
        <f t="shared" ca="1" si="17"/>
        <v/>
      </c>
      <c r="AC265" s="226"/>
      <c r="AD265" s="210"/>
      <c r="AE265" s="350"/>
      <c r="AF265" s="353"/>
      <c r="AG265" s="350"/>
      <c r="AH265" s="215"/>
    </row>
    <row r="266" spans="1:34" ht="63" customHeight="1" x14ac:dyDescent="0.25">
      <c r="A266" s="153" t="s">
        <v>1107</v>
      </c>
      <c r="B266" s="142"/>
      <c r="C266" s="135"/>
      <c r="D266" s="136"/>
      <c r="E266" s="143"/>
      <c r="F266" s="463"/>
      <c r="G266" s="145"/>
      <c r="H266" s="146"/>
      <c r="I266" s="151"/>
      <c r="J266" s="150"/>
      <c r="K266" s="134"/>
      <c r="L266" s="137"/>
      <c r="M266" s="138"/>
      <c r="N266" s="138"/>
      <c r="O266" s="149" t="str">
        <f t="shared" si="19"/>
        <v/>
      </c>
      <c r="P266" s="470" t="str">
        <f>IFERROR(IF(L266="avec arrêt",IF(MONTH(N266)='Liste AT'!$X$2,0,N266-EOMONTH('Stats AT BDD'!$X$2,0)),""),"")</f>
        <v/>
      </c>
      <c r="Q266" s="139"/>
      <c r="R266" s="140"/>
      <c r="S266" s="140"/>
      <c r="T266" s="141"/>
      <c r="U266" s="143"/>
      <c r="V266" s="137"/>
      <c r="W266" s="137"/>
      <c r="X266" s="141"/>
      <c r="Y266" s="147"/>
      <c r="Z266" s="144" t="str">
        <f t="shared" si="18"/>
        <v/>
      </c>
      <c r="AA266" s="138"/>
      <c r="AB266" s="148" t="str">
        <f t="shared" ca="1" si="17"/>
        <v/>
      </c>
      <c r="AC266" s="226"/>
      <c r="AD266" s="210"/>
      <c r="AE266" s="350"/>
      <c r="AF266" s="353"/>
      <c r="AG266" s="350"/>
      <c r="AH266" s="215"/>
    </row>
    <row r="267" spans="1:34" ht="63" customHeight="1" x14ac:dyDescent="0.25">
      <c r="A267" s="153" t="s">
        <v>1108</v>
      </c>
      <c r="B267" s="142"/>
      <c r="C267" s="135"/>
      <c r="D267" s="136"/>
      <c r="E267" s="143"/>
      <c r="F267" s="463"/>
      <c r="G267" s="145"/>
      <c r="H267" s="146"/>
      <c r="I267" s="151"/>
      <c r="J267" s="150"/>
      <c r="K267" s="134"/>
      <c r="L267" s="137"/>
      <c r="M267" s="138"/>
      <c r="N267" s="138"/>
      <c r="O267" s="149" t="str">
        <f t="shared" si="19"/>
        <v/>
      </c>
      <c r="P267" s="470" t="str">
        <f>IFERROR(IF(L267="avec arrêt",IF(MONTH(N267)='Liste AT'!$X$2,0,N267-EOMONTH('Stats AT BDD'!$X$2,0)),""),"")</f>
        <v/>
      </c>
      <c r="Q267" s="139"/>
      <c r="R267" s="140"/>
      <c r="S267" s="140"/>
      <c r="T267" s="141"/>
      <c r="U267" s="143"/>
      <c r="V267" s="137"/>
      <c r="W267" s="137"/>
      <c r="X267" s="141"/>
      <c r="Y267" s="147"/>
      <c r="Z267" s="144" t="str">
        <f t="shared" si="18"/>
        <v/>
      </c>
      <c r="AA267" s="138"/>
      <c r="AB267" s="148" t="str">
        <f t="shared" ca="1" si="17"/>
        <v/>
      </c>
      <c r="AC267" s="226"/>
      <c r="AD267" s="210"/>
      <c r="AE267" s="350"/>
      <c r="AF267" s="353"/>
      <c r="AG267" s="350"/>
      <c r="AH267" s="215"/>
    </row>
    <row r="268" spans="1:34" ht="63" customHeight="1" x14ac:dyDescent="0.25">
      <c r="A268" s="153" t="s">
        <v>1109</v>
      </c>
      <c r="B268" s="142"/>
      <c r="C268" s="135"/>
      <c r="D268" s="136"/>
      <c r="E268" s="143"/>
      <c r="F268" s="463"/>
      <c r="G268" s="145"/>
      <c r="H268" s="146"/>
      <c r="I268" s="151"/>
      <c r="J268" s="150"/>
      <c r="K268" s="134"/>
      <c r="L268" s="137"/>
      <c r="M268" s="138"/>
      <c r="N268" s="138"/>
      <c r="O268" s="149" t="str">
        <f t="shared" si="19"/>
        <v/>
      </c>
      <c r="P268" s="470" t="str">
        <f>IFERROR(IF(L268="avec arrêt",IF(MONTH(N268)='Liste AT'!$X$2,0,N268-EOMONTH('Stats AT BDD'!$X$2,0)),""),"")</f>
        <v/>
      </c>
      <c r="Q268" s="139"/>
      <c r="R268" s="140"/>
      <c r="S268" s="140"/>
      <c r="T268" s="141"/>
      <c r="U268" s="143"/>
      <c r="V268" s="137"/>
      <c r="W268" s="137"/>
      <c r="X268" s="141"/>
      <c r="Y268" s="147"/>
      <c r="Z268" s="144" t="str">
        <f t="shared" si="18"/>
        <v/>
      </c>
      <c r="AA268" s="138"/>
      <c r="AB268" s="148" t="str">
        <f t="shared" ca="1" si="17"/>
        <v/>
      </c>
      <c r="AC268" s="226"/>
      <c r="AD268" s="210"/>
      <c r="AE268" s="350"/>
      <c r="AF268" s="353"/>
      <c r="AG268" s="350"/>
      <c r="AH268" s="215"/>
    </row>
    <row r="269" spans="1:34" ht="63" customHeight="1" x14ac:dyDescent="0.25">
      <c r="A269" s="153" t="s">
        <v>1110</v>
      </c>
      <c r="B269" s="142"/>
      <c r="C269" s="135"/>
      <c r="D269" s="136"/>
      <c r="E269" s="143"/>
      <c r="F269" s="463"/>
      <c r="G269" s="145"/>
      <c r="H269" s="146"/>
      <c r="I269" s="151"/>
      <c r="J269" s="150"/>
      <c r="K269" s="134"/>
      <c r="L269" s="137"/>
      <c r="M269" s="138"/>
      <c r="N269" s="138"/>
      <c r="O269" s="149" t="str">
        <f t="shared" si="19"/>
        <v/>
      </c>
      <c r="P269" s="470" t="str">
        <f>IFERROR(IF(L269="avec arrêt",IF(MONTH(N269)='Liste AT'!$X$2,0,N269-EOMONTH('Stats AT BDD'!$X$2,0)),""),"")</f>
        <v/>
      </c>
      <c r="Q269" s="139"/>
      <c r="R269" s="140"/>
      <c r="S269" s="140"/>
      <c r="T269" s="141"/>
      <c r="U269" s="143"/>
      <c r="V269" s="137"/>
      <c r="W269" s="137"/>
      <c r="X269" s="141"/>
      <c r="Y269" s="147"/>
      <c r="Z269" s="144" t="str">
        <f t="shared" si="18"/>
        <v/>
      </c>
      <c r="AA269" s="138"/>
      <c r="AB269" s="148" t="str">
        <f t="shared" ca="1" si="17"/>
        <v/>
      </c>
      <c r="AC269" s="226"/>
      <c r="AD269" s="210"/>
      <c r="AE269" s="350"/>
      <c r="AF269" s="353"/>
      <c r="AG269" s="350"/>
      <c r="AH269" s="215"/>
    </row>
    <row r="270" spans="1:34" ht="63" customHeight="1" x14ac:dyDescent="0.25">
      <c r="A270" s="153" t="s">
        <v>1111</v>
      </c>
      <c r="B270" s="142"/>
      <c r="C270" s="135"/>
      <c r="D270" s="136"/>
      <c r="E270" s="143"/>
      <c r="F270" s="463"/>
      <c r="G270" s="145"/>
      <c r="H270" s="146"/>
      <c r="I270" s="151"/>
      <c r="J270" s="150"/>
      <c r="K270" s="134"/>
      <c r="L270" s="137"/>
      <c r="M270" s="138"/>
      <c r="N270" s="138"/>
      <c r="O270" s="149" t="str">
        <f t="shared" si="19"/>
        <v/>
      </c>
      <c r="P270" s="470" t="str">
        <f>IFERROR(IF(L270="avec arrêt",IF(MONTH(N270)='Liste AT'!$X$2,0,N270-EOMONTH('Stats AT BDD'!$X$2,0)),""),"")</f>
        <v/>
      </c>
      <c r="Q270" s="139"/>
      <c r="R270" s="140"/>
      <c r="S270" s="140"/>
      <c r="T270" s="141"/>
      <c r="U270" s="143"/>
      <c r="V270" s="137"/>
      <c r="W270" s="137"/>
      <c r="X270" s="141"/>
      <c r="Y270" s="147"/>
      <c r="Z270" s="144" t="str">
        <f t="shared" si="18"/>
        <v/>
      </c>
      <c r="AA270" s="138"/>
      <c r="AB270" s="148" t="str">
        <f t="shared" ca="1" si="17"/>
        <v/>
      </c>
      <c r="AC270" s="226"/>
      <c r="AD270" s="210"/>
      <c r="AE270" s="350"/>
      <c r="AF270" s="353"/>
      <c r="AG270" s="350"/>
      <c r="AH270" s="215"/>
    </row>
    <row r="271" spans="1:34" ht="63" customHeight="1" x14ac:dyDescent="0.25">
      <c r="A271" s="153" t="s">
        <v>1112</v>
      </c>
      <c r="B271" s="142"/>
      <c r="C271" s="135"/>
      <c r="D271" s="136"/>
      <c r="E271" s="143"/>
      <c r="F271" s="463"/>
      <c r="G271" s="145"/>
      <c r="H271" s="146"/>
      <c r="I271" s="151"/>
      <c r="J271" s="150"/>
      <c r="K271" s="134"/>
      <c r="L271" s="137"/>
      <c r="M271" s="138"/>
      <c r="N271" s="138"/>
      <c r="O271" s="149" t="str">
        <f t="shared" si="19"/>
        <v/>
      </c>
      <c r="P271" s="470" t="str">
        <f>IFERROR(IF(L271="avec arrêt",IF(MONTH(N271)='Liste AT'!$X$2,0,N271-EOMONTH('Stats AT BDD'!$X$2,0)),""),"")</f>
        <v/>
      </c>
      <c r="Q271" s="139"/>
      <c r="R271" s="140"/>
      <c r="S271" s="140"/>
      <c r="T271" s="141"/>
      <c r="U271" s="143"/>
      <c r="V271" s="137"/>
      <c r="W271" s="137"/>
      <c r="X271" s="141"/>
      <c r="Y271" s="147"/>
      <c r="Z271" s="144" t="str">
        <f t="shared" si="18"/>
        <v/>
      </c>
      <c r="AA271" s="138"/>
      <c r="AB271" s="148" t="str">
        <f t="shared" ca="1" si="17"/>
        <v/>
      </c>
      <c r="AC271" s="226"/>
      <c r="AD271" s="210"/>
      <c r="AE271" s="350"/>
      <c r="AF271" s="353"/>
      <c r="AG271" s="350"/>
      <c r="AH271" s="215"/>
    </row>
    <row r="272" spans="1:34" ht="63" customHeight="1" x14ac:dyDescent="0.25">
      <c r="A272" s="153" t="s">
        <v>1113</v>
      </c>
      <c r="B272" s="142"/>
      <c r="C272" s="135"/>
      <c r="D272" s="136"/>
      <c r="E272" s="143"/>
      <c r="F272" s="463"/>
      <c r="G272" s="145"/>
      <c r="H272" s="146"/>
      <c r="I272" s="151"/>
      <c r="J272" s="150"/>
      <c r="K272" s="134"/>
      <c r="L272" s="137"/>
      <c r="M272" s="138"/>
      <c r="N272" s="138"/>
      <c r="O272" s="149" t="str">
        <f t="shared" si="19"/>
        <v/>
      </c>
      <c r="P272" s="470" t="str">
        <f>IFERROR(IF(L272="avec arrêt",IF(MONTH(N272)='Liste AT'!$X$2,0,N272-EOMONTH('Stats AT BDD'!$X$2,0)),""),"")</f>
        <v/>
      </c>
      <c r="Q272" s="139"/>
      <c r="R272" s="140"/>
      <c r="S272" s="140"/>
      <c r="T272" s="141"/>
      <c r="U272" s="143"/>
      <c r="V272" s="137"/>
      <c r="W272" s="137"/>
      <c r="X272" s="141"/>
      <c r="Y272" s="147"/>
      <c r="Z272" s="144" t="str">
        <f t="shared" si="18"/>
        <v/>
      </c>
      <c r="AA272" s="138"/>
      <c r="AB272" s="148" t="str">
        <f t="shared" ca="1" si="17"/>
        <v/>
      </c>
      <c r="AC272" s="226"/>
      <c r="AD272" s="210"/>
      <c r="AE272" s="350"/>
      <c r="AF272" s="353"/>
      <c r="AG272" s="350"/>
      <c r="AH272" s="215"/>
    </row>
    <row r="273" spans="1:34" ht="63" customHeight="1" x14ac:dyDescent="0.25">
      <c r="A273" s="153" t="s">
        <v>1114</v>
      </c>
      <c r="B273" s="142"/>
      <c r="C273" s="135"/>
      <c r="D273" s="136"/>
      <c r="E273" s="143"/>
      <c r="F273" s="463"/>
      <c r="G273" s="145"/>
      <c r="H273" s="146"/>
      <c r="I273" s="151"/>
      <c r="J273" s="150"/>
      <c r="K273" s="134"/>
      <c r="L273" s="137"/>
      <c r="M273" s="138"/>
      <c r="N273" s="138"/>
      <c r="O273" s="149" t="str">
        <f t="shared" si="19"/>
        <v/>
      </c>
      <c r="P273" s="470" t="str">
        <f>IFERROR(IF(L273="avec arrêt",IF(MONTH(N273)='Liste AT'!$X$2,0,N273-EOMONTH('Stats AT BDD'!$X$2,0)),""),"")</f>
        <v/>
      </c>
      <c r="Q273" s="139"/>
      <c r="R273" s="140"/>
      <c r="S273" s="140"/>
      <c r="T273" s="141"/>
      <c r="U273" s="143"/>
      <c r="V273" s="137"/>
      <c r="W273" s="137"/>
      <c r="X273" s="141"/>
      <c r="Y273" s="147"/>
      <c r="Z273" s="144" t="str">
        <f t="shared" si="18"/>
        <v/>
      </c>
      <c r="AA273" s="138"/>
      <c r="AB273" s="148" t="str">
        <f t="shared" ca="1" si="17"/>
        <v/>
      </c>
      <c r="AC273" s="226"/>
      <c r="AD273" s="210"/>
      <c r="AE273" s="350"/>
      <c r="AF273" s="353"/>
      <c r="AG273" s="350"/>
      <c r="AH273" s="215"/>
    </row>
    <row r="274" spans="1:34" ht="63" customHeight="1" x14ac:dyDescent="0.25">
      <c r="A274" s="153" t="s">
        <v>1115</v>
      </c>
      <c r="B274" s="142"/>
      <c r="C274" s="135"/>
      <c r="D274" s="136"/>
      <c r="E274" s="143"/>
      <c r="F274" s="463"/>
      <c r="G274" s="145"/>
      <c r="H274" s="146"/>
      <c r="I274" s="151"/>
      <c r="J274" s="150"/>
      <c r="K274" s="134"/>
      <c r="L274" s="137"/>
      <c r="M274" s="138"/>
      <c r="N274" s="138"/>
      <c r="O274" s="149" t="str">
        <f t="shared" si="19"/>
        <v/>
      </c>
      <c r="P274" s="470" t="str">
        <f>IFERROR(IF(L274="avec arrêt",IF(MONTH(N274)='Liste AT'!$X$2,0,N274-EOMONTH('Stats AT BDD'!$X$2,0)),""),"")</f>
        <v/>
      </c>
      <c r="Q274" s="139"/>
      <c r="R274" s="140"/>
      <c r="S274" s="140"/>
      <c r="T274" s="141"/>
      <c r="U274" s="143"/>
      <c r="V274" s="137"/>
      <c r="W274" s="137"/>
      <c r="X274" s="141"/>
      <c r="Y274" s="147"/>
      <c r="Z274" s="144" t="str">
        <f t="shared" si="18"/>
        <v/>
      </c>
      <c r="AA274" s="138"/>
      <c r="AB274" s="148" t="str">
        <f t="shared" ca="1" si="17"/>
        <v/>
      </c>
      <c r="AC274" s="226"/>
      <c r="AD274" s="210"/>
      <c r="AE274" s="350"/>
      <c r="AF274" s="353"/>
      <c r="AG274" s="350"/>
      <c r="AH274" s="215"/>
    </row>
    <row r="275" spans="1:34" ht="63" customHeight="1" x14ac:dyDescent="0.25">
      <c r="A275" s="153" t="s">
        <v>1116</v>
      </c>
      <c r="B275" s="142"/>
      <c r="C275" s="135"/>
      <c r="D275" s="136"/>
      <c r="E275" s="143"/>
      <c r="F275" s="463"/>
      <c r="G275" s="145"/>
      <c r="H275" s="146"/>
      <c r="I275" s="151"/>
      <c r="J275" s="150"/>
      <c r="K275" s="134"/>
      <c r="L275" s="137"/>
      <c r="M275" s="138"/>
      <c r="N275" s="138"/>
      <c r="O275" s="149" t="str">
        <f t="shared" si="19"/>
        <v/>
      </c>
      <c r="P275" s="470" t="str">
        <f>IFERROR(IF(L275="avec arrêt",IF(MONTH(N275)='Liste AT'!$X$2,0,N275-EOMONTH('Stats AT BDD'!$X$2,0)),""),"")</f>
        <v/>
      </c>
      <c r="Q275" s="139"/>
      <c r="R275" s="140"/>
      <c r="S275" s="140"/>
      <c r="T275" s="141"/>
      <c r="U275" s="143"/>
      <c r="V275" s="137"/>
      <c r="W275" s="137"/>
      <c r="X275" s="141"/>
      <c r="Y275" s="147"/>
      <c r="Z275" s="144" t="str">
        <f t="shared" si="18"/>
        <v/>
      </c>
      <c r="AA275" s="138"/>
      <c r="AB275" s="148" t="str">
        <f t="shared" ref="AB275:AB297" ca="1" si="20">IF(ISBLANK(AA275),IF(Z275&lt;TODAY(),"non",""),IF(AA275&gt;Z275,"non","oui"))</f>
        <v/>
      </c>
      <c r="AC275" s="226"/>
      <c r="AD275" s="210"/>
      <c r="AE275" s="350"/>
      <c r="AF275" s="353"/>
      <c r="AG275" s="350"/>
      <c r="AH275" s="215"/>
    </row>
    <row r="276" spans="1:34" ht="63" customHeight="1" x14ac:dyDescent="0.25">
      <c r="A276" s="153" t="s">
        <v>1117</v>
      </c>
      <c r="B276" s="142"/>
      <c r="C276" s="135"/>
      <c r="D276" s="136"/>
      <c r="E276" s="143"/>
      <c r="F276" s="463"/>
      <c r="G276" s="145"/>
      <c r="H276" s="146"/>
      <c r="I276" s="151"/>
      <c r="J276" s="150"/>
      <c r="K276" s="134"/>
      <c r="L276" s="137"/>
      <c r="M276" s="138"/>
      <c r="N276" s="138"/>
      <c r="O276" s="149" t="str">
        <f t="shared" si="19"/>
        <v/>
      </c>
      <c r="P276" s="470" t="str">
        <f>IFERROR(IF(L276="avec arrêt",IF(MONTH(N276)='Liste AT'!$X$2,0,N276-EOMONTH('Stats AT BDD'!$X$2,0)),""),"")</f>
        <v/>
      </c>
      <c r="Q276" s="139"/>
      <c r="R276" s="140"/>
      <c r="S276" s="140"/>
      <c r="T276" s="141"/>
      <c r="U276" s="143"/>
      <c r="V276" s="137"/>
      <c r="W276" s="137"/>
      <c r="X276" s="141"/>
      <c r="Y276" s="147"/>
      <c r="Z276" s="144" t="str">
        <f t="shared" si="18"/>
        <v/>
      </c>
      <c r="AA276" s="138"/>
      <c r="AB276" s="148" t="str">
        <f t="shared" ca="1" si="20"/>
        <v/>
      </c>
      <c r="AC276" s="226"/>
      <c r="AD276" s="210"/>
      <c r="AE276" s="350"/>
      <c r="AF276" s="353"/>
      <c r="AG276" s="350"/>
      <c r="AH276" s="215"/>
    </row>
    <row r="277" spans="1:34" ht="63" customHeight="1" x14ac:dyDescent="0.25">
      <c r="A277" s="153" t="s">
        <v>1118</v>
      </c>
      <c r="B277" s="142"/>
      <c r="C277" s="135"/>
      <c r="D277" s="136"/>
      <c r="E277" s="143"/>
      <c r="F277" s="463"/>
      <c r="G277" s="145"/>
      <c r="H277" s="146"/>
      <c r="I277" s="151"/>
      <c r="J277" s="150"/>
      <c r="K277" s="134"/>
      <c r="L277" s="137"/>
      <c r="M277" s="138"/>
      <c r="N277" s="138"/>
      <c r="O277" s="149" t="str">
        <f t="shared" si="19"/>
        <v/>
      </c>
      <c r="P277" s="470" t="str">
        <f>IFERROR(IF(L277="avec arrêt",IF(MONTH(N277)='Liste AT'!$X$2,0,N277-EOMONTH('Stats AT BDD'!$X$2,0)),""),"")</f>
        <v/>
      </c>
      <c r="Q277" s="139"/>
      <c r="R277" s="140"/>
      <c r="S277" s="140"/>
      <c r="T277" s="141"/>
      <c r="U277" s="143"/>
      <c r="V277" s="137"/>
      <c r="W277" s="137"/>
      <c r="X277" s="141"/>
      <c r="Y277" s="147"/>
      <c r="Z277" s="144" t="str">
        <f t="shared" si="18"/>
        <v/>
      </c>
      <c r="AA277" s="138"/>
      <c r="AB277" s="148" t="str">
        <f t="shared" ca="1" si="20"/>
        <v/>
      </c>
      <c r="AC277" s="226"/>
      <c r="AD277" s="210"/>
      <c r="AE277" s="350"/>
      <c r="AF277" s="353"/>
      <c r="AG277" s="350"/>
      <c r="AH277" s="215"/>
    </row>
    <row r="278" spans="1:34" ht="63" customHeight="1" x14ac:dyDescent="0.25">
      <c r="A278" s="153" t="s">
        <v>1119</v>
      </c>
      <c r="B278" s="142"/>
      <c r="C278" s="135"/>
      <c r="D278" s="136"/>
      <c r="E278" s="143"/>
      <c r="F278" s="463"/>
      <c r="G278" s="145"/>
      <c r="H278" s="146"/>
      <c r="I278" s="151"/>
      <c r="J278" s="150"/>
      <c r="K278" s="134"/>
      <c r="L278" s="137"/>
      <c r="M278" s="138"/>
      <c r="N278" s="138"/>
      <c r="O278" s="149" t="str">
        <f t="shared" si="19"/>
        <v/>
      </c>
      <c r="P278" s="470" t="str">
        <f>IFERROR(IF(L278="avec arrêt",IF(MONTH(N278)='Liste AT'!$X$2,0,N278-EOMONTH('Stats AT BDD'!$X$2,0)),""),"")</f>
        <v/>
      </c>
      <c r="Q278" s="139"/>
      <c r="R278" s="140"/>
      <c r="S278" s="140"/>
      <c r="T278" s="141"/>
      <c r="U278" s="143"/>
      <c r="V278" s="137"/>
      <c r="W278" s="137"/>
      <c r="X278" s="141"/>
      <c r="Y278" s="147"/>
      <c r="Z278" s="144" t="str">
        <f t="shared" si="18"/>
        <v/>
      </c>
      <c r="AA278" s="138"/>
      <c r="AB278" s="148" t="str">
        <f t="shared" ca="1" si="20"/>
        <v/>
      </c>
      <c r="AC278" s="226"/>
      <c r="AD278" s="210"/>
      <c r="AE278" s="350"/>
      <c r="AF278" s="353"/>
      <c r="AG278" s="350"/>
      <c r="AH278" s="215"/>
    </row>
    <row r="279" spans="1:34" ht="63" customHeight="1" x14ac:dyDescent="0.25">
      <c r="A279" s="153" t="s">
        <v>1120</v>
      </c>
      <c r="B279" s="142"/>
      <c r="C279" s="135"/>
      <c r="D279" s="136"/>
      <c r="E279" s="143"/>
      <c r="F279" s="463"/>
      <c r="G279" s="145"/>
      <c r="H279" s="146"/>
      <c r="I279" s="151"/>
      <c r="J279" s="150"/>
      <c r="K279" s="134"/>
      <c r="L279" s="137"/>
      <c r="M279" s="138"/>
      <c r="N279" s="138"/>
      <c r="O279" s="149" t="str">
        <f t="shared" si="19"/>
        <v/>
      </c>
      <c r="P279" s="470" t="str">
        <f>IFERROR(IF(L279="avec arrêt",IF(MONTH(N279)='Liste AT'!$X$2,0,N279-EOMONTH('Stats AT BDD'!$X$2,0)),""),"")</f>
        <v/>
      </c>
      <c r="Q279" s="139"/>
      <c r="R279" s="140"/>
      <c r="S279" s="140"/>
      <c r="T279" s="141"/>
      <c r="U279" s="143"/>
      <c r="V279" s="137"/>
      <c r="W279" s="137"/>
      <c r="X279" s="141"/>
      <c r="Y279" s="147"/>
      <c r="Z279" s="144" t="str">
        <f t="shared" si="18"/>
        <v/>
      </c>
      <c r="AA279" s="138"/>
      <c r="AB279" s="148" t="str">
        <f t="shared" ca="1" si="20"/>
        <v/>
      </c>
      <c r="AC279" s="226"/>
      <c r="AD279" s="210"/>
      <c r="AE279" s="350"/>
      <c r="AF279" s="353"/>
      <c r="AG279" s="350"/>
      <c r="AH279" s="215"/>
    </row>
    <row r="280" spans="1:34" ht="63" customHeight="1" x14ac:dyDescent="0.25">
      <c r="A280" s="153" t="s">
        <v>1121</v>
      </c>
      <c r="B280" s="142"/>
      <c r="C280" s="135"/>
      <c r="D280" s="136"/>
      <c r="E280" s="143"/>
      <c r="F280" s="463"/>
      <c r="G280" s="145"/>
      <c r="H280" s="146"/>
      <c r="I280" s="151"/>
      <c r="J280" s="150"/>
      <c r="K280" s="134"/>
      <c r="L280" s="137"/>
      <c r="M280" s="138"/>
      <c r="N280" s="138"/>
      <c r="O280" s="149" t="str">
        <f t="shared" si="19"/>
        <v/>
      </c>
      <c r="P280" s="470" t="str">
        <f>IFERROR(IF(L280="avec arrêt",IF(MONTH(N280)='Liste AT'!$X$2,0,N280-EOMONTH('Stats AT BDD'!$X$2,0)),""),"")</f>
        <v/>
      </c>
      <c r="Q280" s="139"/>
      <c r="R280" s="140"/>
      <c r="S280" s="140"/>
      <c r="T280" s="141"/>
      <c r="U280" s="143"/>
      <c r="V280" s="137"/>
      <c r="W280" s="137"/>
      <c r="X280" s="141"/>
      <c r="Y280" s="147"/>
      <c r="Z280" s="144" t="str">
        <f t="shared" si="18"/>
        <v/>
      </c>
      <c r="AA280" s="138"/>
      <c r="AB280" s="148" t="str">
        <f t="shared" ca="1" si="20"/>
        <v/>
      </c>
      <c r="AC280" s="226"/>
      <c r="AD280" s="210"/>
      <c r="AE280" s="350"/>
      <c r="AF280" s="353"/>
      <c r="AG280" s="350"/>
      <c r="AH280" s="215"/>
    </row>
    <row r="281" spans="1:34" ht="63" customHeight="1" x14ac:dyDescent="0.25">
      <c r="A281" s="153" t="s">
        <v>1122</v>
      </c>
      <c r="B281" s="142"/>
      <c r="C281" s="135"/>
      <c r="D281" s="136"/>
      <c r="E281" s="143"/>
      <c r="F281" s="463"/>
      <c r="G281" s="145"/>
      <c r="H281" s="146"/>
      <c r="I281" s="151"/>
      <c r="J281" s="150"/>
      <c r="K281" s="134"/>
      <c r="L281" s="137"/>
      <c r="M281" s="138"/>
      <c r="N281" s="138"/>
      <c r="O281" s="149" t="str">
        <f t="shared" si="19"/>
        <v/>
      </c>
      <c r="P281" s="470" t="str">
        <f>IFERROR(IF(L281="avec arrêt",IF(MONTH(N281)='Liste AT'!$X$2,0,N281-EOMONTH('Stats AT BDD'!$X$2,0)),""),"")</f>
        <v/>
      </c>
      <c r="Q281" s="139"/>
      <c r="R281" s="140"/>
      <c r="S281" s="140"/>
      <c r="T281" s="141"/>
      <c r="U281" s="143"/>
      <c r="V281" s="137"/>
      <c r="W281" s="137"/>
      <c r="X281" s="141"/>
      <c r="Y281" s="147"/>
      <c r="Z281" s="144" t="str">
        <f t="shared" si="18"/>
        <v/>
      </c>
      <c r="AA281" s="138"/>
      <c r="AB281" s="148" t="str">
        <f t="shared" ca="1" si="20"/>
        <v/>
      </c>
      <c r="AC281" s="226"/>
      <c r="AD281" s="210"/>
      <c r="AE281" s="350"/>
      <c r="AF281" s="353"/>
      <c r="AG281" s="350"/>
      <c r="AH281" s="215"/>
    </row>
    <row r="282" spans="1:34" ht="63" customHeight="1" x14ac:dyDescent="0.25">
      <c r="A282" s="153" t="s">
        <v>1123</v>
      </c>
      <c r="B282" s="142"/>
      <c r="C282" s="135"/>
      <c r="D282" s="136"/>
      <c r="E282" s="143"/>
      <c r="F282" s="463"/>
      <c r="G282" s="145"/>
      <c r="H282" s="146"/>
      <c r="I282" s="151"/>
      <c r="J282" s="150"/>
      <c r="K282" s="134"/>
      <c r="L282" s="137"/>
      <c r="M282" s="138"/>
      <c r="N282" s="138"/>
      <c r="O282" s="149" t="str">
        <f t="shared" si="19"/>
        <v/>
      </c>
      <c r="P282" s="470" t="str">
        <f>IFERROR(IF(L282="avec arrêt",IF(MONTH(N282)='Liste AT'!$X$2,0,N282-EOMONTH('Stats AT BDD'!$X$2,0)),""),"")</f>
        <v/>
      </c>
      <c r="Q282" s="139"/>
      <c r="R282" s="140"/>
      <c r="S282" s="140"/>
      <c r="T282" s="141"/>
      <c r="U282" s="143"/>
      <c r="V282" s="137"/>
      <c r="W282" s="137"/>
      <c r="X282" s="141"/>
      <c r="Y282" s="147"/>
      <c r="Z282" s="144" t="str">
        <f t="shared" si="18"/>
        <v/>
      </c>
      <c r="AA282" s="138"/>
      <c r="AB282" s="148" t="str">
        <f t="shared" ca="1" si="20"/>
        <v/>
      </c>
      <c r="AC282" s="226"/>
      <c r="AD282" s="210"/>
      <c r="AE282" s="350"/>
      <c r="AF282" s="353"/>
      <c r="AG282" s="350"/>
      <c r="AH282" s="215"/>
    </row>
    <row r="283" spans="1:34" ht="63" customHeight="1" x14ac:dyDescent="0.25">
      <c r="A283" s="153" t="s">
        <v>1124</v>
      </c>
      <c r="B283" s="142"/>
      <c r="C283" s="135"/>
      <c r="D283" s="136"/>
      <c r="E283" s="143"/>
      <c r="F283" s="463"/>
      <c r="G283" s="145"/>
      <c r="H283" s="146"/>
      <c r="I283" s="151"/>
      <c r="J283" s="150"/>
      <c r="K283" s="134"/>
      <c r="L283" s="137"/>
      <c r="M283" s="138"/>
      <c r="N283" s="138"/>
      <c r="O283" s="149" t="str">
        <f t="shared" si="19"/>
        <v/>
      </c>
      <c r="P283" s="470" t="str">
        <f>IFERROR(IF(L283="avec arrêt",IF(MONTH(N283)='Liste AT'!$X$2,0,N283-EOMONTH('Stats AT BDD'!$X$2,0)),""),"")</f>
        <v/>
      </c>
      <c r="Q283" s="139"/>
      <c r="R283" s="140"/>
      <c r="S283" s="140"/>
      <c r="T283" s="141"/>
      <c r="U283" s="143"/>
      <c r="V283" s="137"/>
      <c r="W283" s="137"/>
      <c r="X283" s="141"/>
      <c r="Y283" s="147"/>
      <c r="Z283" s="144" t="str">
        <f t="shared" si="18"/>
        <v/>
      </c>
      <c r="AA283" s="138"/>
      <c r="AB283" s="148" t="str">
        <f t="shared" ca="1" si="20"/>
        <v/>
      </c>
      <c r="AC283" s="226"/>
      <c r="AD283" s="210"/>
      <c r="AE283" s="350"/>
      <c r="AF283" s="353"/>
      <c r="AG283" s="350"/>
      <c r="AH283" s="215"/>
    </row>
    <row r="284" spans="1:34" ht="63" customHeight="1" x14ac:dyDescent="0.25">
      <c r="A284" s="153" t="s">
        <v>1125</v>
      </c>
      <c r="B284" s="142"/>
      <c r="C284" s="135"/>
      <c r="D284" s="136"/>
      <c r="E284" s="143"/>
      <c r="F284" s="463"/>
      <c r="G284" s="145"/>
      <c r="H284" s="146"/>
      <c r="I284" s="151"/>
      <c r="J284" s="150"/>
      <c r="K284" s="134"/>
      <c r="L284" s="137"/>
      <c r="M284" s="138"/>
      <c r="N284" s="138"/>
      <c r="O284" s="149" t="str">
        <f t="shared" si="19"/>
        <v/>
      </c>
      <c r="P284" s="470" t="str">
        <f>IFERROR(IF(L284="avec arrêt",IF(MONTH(N284)='Liste AT'!$X$2,0,N284-EOMONTH('Stats AT BDD'!$X$2,0)),""),"")</f>
        <v/>
      </c>
      <c r="Q284" s="139"/>
      <c r="R284" s="140"/>
      <c r="S284" s="140"/>
      <c r="T284" s="141"/>
      <c r="U284" s="143"/>
      <c r="V284" s="137"/>
      <c r="W284" s="137"/>
      <c r="X284" s="141"/>
      <c r="Y284" s="147"/>
      <c r="Z284" s="144" t="str">
        <f t="shared" si="18"/>
        <v/>
      </c>
      <c r="AA284" s="138"/>
      <c r="AB284" s="148" t="str">
        <f t="shared" ca="1" si="20"/>
        <v/>
      </c>
      <c r="AC284" s="226"/>
      <c r="AD284" s="210"/>
      <c r="AE284" s="350"/>
      <c r="AF284" s="353"/>
      <c r="AG284" s="350"/>
      <c r="AH284" s="215"/>
    </row>
    <row r="285" spans="1:34" ht="63" customHeight="1" x14ac:dyDescent="0.25">
      <c r="A285" s="153" t="s">
        <v>1126</v>
      </c>
      <c r="B285" s="142"/>
      <c r="C285" s="135"/>
      <c r="D285" s="136"/>
      <c r="E285" s="143"/>
      <c r="F285" s="463"/>
      <c r="G285" s="145"/>
      <c r="H285" s="146"/>
      <c r="I285" s="151"/>
      <c r="J285" s="150"/>
      <c r="K285" s="134"/>
      <c r="L285" s="137"/>
      <c r="M285" s="138"/>
      <c r="N285" s="138"/>
      <c r="O285" s="149" t="str">
        <f t="shared" si="19"/>
        <v/>
      </c>
      <c r="P285" s="470" t="str">
        <f>IFERROR(IF(L285="avec arrêt",IF(MONTH(N285)='Liste AT'!$X$2,0,N285-EOMONTH('Stats AT BDD'!$X$2,0)),""),"")</f>
        <v/>
      </c>
      <c r="Q285" s="139"/>
      <c r="R285" s="140"/>
      <c r="S285" s="140"/>
      <c r="T285" s="141"/>
      <c r="U285" s="143"/>
      <c r="V285" s="137"/>
      <c r="W285" s="137"/>
      <c r="X285" s="141"/>
      <c r="Y285" s="147"/>
      <c r="Z285" s="144" t="str">
        <f t="shared" si="18"/>
        <v/>
      </c>
      <c r="AA285" s="138"/>
      <c r="AB285" s="148" t="str">
        <f t="shared" ca="1" si="20"/>
        <v/>
      </c>
      <c r="AC285" s="226"/>
      <c r="AD285" s="210"/>
      <c r="AE285" s="350"/>
      <c r="AF285" s="353"/>
      <c r="AG285" s="350"/>
      <c r="AH285" s="215"/>
    </row>
    <row r="286" spans="1:34" ht="63" customHeight="1" x14ac:dyDescent="0.25">
      <c r="A286" s="153" t="s">
        <v>1127</v>
      </c>
      <c r="B286" s="142"/>
      <c r="C286" s="135"/>
      <c r="D286" s="136"/>
      <c r="E286" s="143"/>
      <c r="F286" s="463"/>
      <c r="G286" s="145"/>
      <c r="H286" s="146"/>
      <c r="I286" s="151"/>
      <c r="J286" s="150"/>
      <c r="K286" s="134"/>
      <c r="L286" s="137"/>
      <c r="M286" s="138"/>
      <c r="N286" s="138"/>
      <c r="O286" s="149" t="str">
        <f t="shared" si="19"/>
        <v/>
      </c>
      <c r="P286" s="470" t="str">
        <f>IFERROR(IF(L286="avec arrêt",IF(MONTH(N286)='Liste AT'!$X$2,0,N286-EOMONTH('Stats AT BDD'!$X$2,0)),""),"")</f>
        <v/>
      </c>
      <c r="Q286" s="139"/>
      <c r="R286" s="140"/>
      <c r="S286" s="140"/>
      <c r="T286" s="141"/>
      <c r="U286" s="143"/>
      <c r="V286" s="137"/>
      <c r="W286" s="137"/>
      <c r="X286" s="141"/>
      <c r="Y286" s="147"/>
      <c r="Z286" s="144" t="str">
        <f t="shared" ref="Z286:Z297" si="21">IF(ISBLANK(I286),"",I286+7)</f>
        <v/>
      </c>
      <c r="AA286" s="138"/>
      <c r="AB286" s="148" t="str">
        <f t="shared" ca="1" si="20"/>
        <v/>
      </c>
      <c r="AC286" s="226"/>
      <c r="AD286" s="210"/>
      <c r="AE286" s="350"/>
      <c r="AF286" s="353"/>
      <c r="AG286" s="350"/>
      <c r="AH286" s="215"/>
    </row>
    <row r="287" spans="1:34" ht="63" customHeight="1" x14ac:dyDescent="0.25">
      <c r="A287" s="153" t="s">
        <v>1128</v>
      </c>
      <c r="B287" s="142"/>
      <c r="C287" s="135"/>
      <c r="D287" s="136"/>
      <c r="E287" s="143"/>
      <c r="F287" s="463"/>
      <c r="G287" s="145"/>
      <c r="H287" s="146"/>
      <c r="I287" s="151"/>
      <c r="J287" s="150"/>
      <c r="K287" s="134"/>
      <c r="L287" s="137"/>
      <c r="M287" s="138"/>
      <c r="N287" s="138"/>
      <c r="O287" s="149" t="str">
        <f t="shared" si="19"/>
        <v/>
      </c>
      <c r="P287" s="470" t="str">
        <f>IFERROR(IF(L287="avec arrêt",IF(MONTH(N287)='Liste AT'!$X$2,0,N287-EOMONTH('Stats AT BDD'!$X$2,0)),""),"")</f>
        <v/>
      </c>
      <c r="Q287" s="139"/>
      <c r="R287" s="140"/>
      <c r="S287" s="140"/>
      <c r="T287" s="141"/>
      <c r="U287" s="143"/>
      <c r="V287" s="137"/>
      <c r="W287" s="137"/>
      <c r="X287" s="141"/>
      <c r="Y287" s="147"/>
      <c r="Z287" s="144" t="str">
        <f t="shared" si="21"/>
        <v/>
      </c>
      <c r="AA287" s="138"/>
      <c r="AB287" s="148" t="str">
        <f t="shared" ca="1" si="20"/>
        <v/>
      </c>
      <c r="AC287" s="226"/>
      <c r="AD287" s="210"/>
      <c r="AE287" s="350"/>
      <c r="AF287" s="353"/>
      <c r="AG287" s="350"/>
      <c r="AH287" s="215"/>
    </row>
    <row r="288" spans="1:34" ht="51" customHeight="1" x14ac:dyDescent="0.25">
      <c r="A288" s="153" t="s">
        <v>1129</v>
      </c>
      <c r="B288" s="208"/>
      <c r="C288" s="135"/>
      <c r="D288" s="136"/>
      <c r="E288" s="143"/>
      <c r="F288" s="463"/>
      <c r="G288" s="145"/>
      <c r="H288" s="146"/>
      <c r="I288" s="151"/>
      <c r="J288" s="150"/>
      <c r="K288" s="134"/>
      <c r="L288" s="137"/>
      <c r="M288" s="138"/>
      <c r="N288" s="138"/>
      <c r="O288" s="149" t="str">
        <f t="shared" si="19"/>
        <v/>
      </c>
      <c r="P288" s="470" t="str">
        <f>IFERROR(IF(L288="avec arrêt",IF(MONTH(N288)='Liste AT'!$X$2,0,N288-EOMONTH('Stats AT BDD'!$X$2,0)),""),"")</f>
        <v/>
      </c>
      <c r="Q288" s="139"/>
      <c r="R288" s="140"/>
      <c r="S288" s="140"/>
      <c r="T288" s="141"/>
      <c r="U288" s="143"/>
      <c r="V288" s="137"/>
      <c r="W288" s="137"/>
      <c r="X288" s="141"/>
      <c r="Y288" s="147"/>
      <c r="Z288" s="144" t="str">
        <f t="shared" si="21"/>
        <v/>
      </c>
      <c r="AA288" s="138"/>
      <c r="AB288" s="148" t="str">
        <f t="shared" ca="1" si="20"/>
        <v/>
      </c>
      <c r="AC288" s="226"/>
      <c r="AD288" s="210"/>
      <c r="AE288" s="350"/>
      <c r="AF288" s="353"/>
      <c r="AG288" s="350"/>
      <c r="AH288" s="215"/>
    </row>
    <row r="289" spans="1:34" ht="51" customHeight="1" x14ac:dyDescent="0.25">
      <c r="A289" s="153" t="s">
        <v>1130</v>
      </c>
      <c r="B289" s="142"/>
      <c r="C289" s="135"/>
      <c r="D289" s="136"/>
      <c r="E289" s="143"/>
      <c r="F289" s="463"/>
      <c r="G289" s="145"/>
      <c r="H289" s="146"/>
      <c r="I289" s="151"/>
      <c r="J289" s="150"/>
      <c r="K289" s="134"/>
      <c r="L289" s="137"/>
      <c r="M289" s="138"/>
      <c r="N289" s="138"/>
      <c r="O289" s="149" t="str">
        <f t="shared" si="19"/>
        <v/>
      </c>
      <c r="P289" s="470" t="str">
        <f>IFERROR(IF(L289="avec arrêt",IF(MONTH(N289)='Liste AT'!$X$2,0,N289-EOMONTH('Stats AT BDD'!$X$2,0)),""),"")</f>
        <v/>
      </c>
      <c r="Q289" s="139"/>
      <c r="R289" s="140"/>
      <c r="S289" s="140"/>
      <c r="T289" s="141"/>
      <c r="U289" s="143"/>
      <c r="V289" s="137"/>
      <c r="W289" s="137"/>
      <c r="X289" s="141"/>
      <c r="Y289" s="147"/>
      <c r="Z289" s="144" t="str">
        <f t="shared" si="21"/>
        <v/>
      </c>
      <c r="AA289" s="138"/>
      <c r="AB289" s="148" t="str">
        <f t="shared" ca="1" si="20"/>
        <v/>
      </c>
      <c r="AC289" s="226"/>
      <c r="AD289" s="210"/>
      <c r="AE289" s="350"/>
      <c r="AF289" s="353"/>
      <c r="AG289" s="350"/>
      <c r="AH289" s="215"/>
    </row>
    <row r="290" spans="1:34" ht="67.5" customHeight="1" x14ac:dyDescent="0.25">
      <c r="A290" s="153" t="s">
        <v>1131</v>
      </c>
      <c r="B290" s="142"/>
      <c r="C290" s="135"/>
      <c r="D290" s="136"/>
      <c r="E290" s="143"/>
      <c r="F290" s="463"/>
      <c r="G290" s="145"/>
      <c r="H290" s="146"/>
      <c r="I290" s="151"/>
      <c r="J290" s="150"/>
      <c r="K290" s="134"/>
      <c r="L290" s="137"/>
      <c r="M290" s="138"/>
      <c r="N290" s="138"/>
      <c r="O290" s="149" t="str">
        <f t="shared" si="19"/>
        <v/>
      </c>
      <c r="P290" s="470" t="str">
        <f>IFERROR(IF(L290="avec arrêt",IF(MONTH(N290)='Liste AT'!$X$2,0,N290-EOMONTH('Stats AT BDD'!$X$2,0)),""),"")</f>
        <v/>
      </c>
      <c r="Q290" s="139"/>
      <c r="R290" s="140"/>
      <c r="S290" s="140"/>
      <c r="T290" s="141"/>
      <c r="U290" s="143"/>
      <c r="V290" s="137"/>
      <c r="W290" s="137"/>
      <c r="X290" s="141"/>
      <c r="Y290" s="147"/>
      <c r="Z290" s="144" t="str">
        <f t="shared" si="21"/>
        <v/>
      </c>
      <c r="AA290" s="138"/>
      <c r="AB290" s="148" t="str">
        <f t="shared" ca="1" si="20"/>
        <v/>
      </c>
      <c r="AC290" s="226"/>
      <c r="AD290" s="210"/>
      <c r="AE290" s="350"/>
      <c r="AF290" s="353"/>
      <c r="AG290" s="350"/>
      <c r="AH290" s="215"/>
    </row>
    <row r="291" spans="1:34" ht="66" customHeight="1" x14ac:dyDescent="0.25">
      <c r="A291" s="153" t="s">
        <v>1132</v>
      </c>
      <c r="B291" s="142"/>
      <c r="C291" s="135"/>
      <c r="D291" s="136"/>
      <c r="E291" s="143"/>
      <c r="F291" s="463"/>
      <c r="G291" s="145"/>
      <c r="H291" s="146"/>
      <c r="I291" s="151"/>
      <c r="J291" s="150"/>
      <c r="K291" s="134"/>
      <c r="L291" s="137"/>
      <c r="M291" s="138"/>
      <c r="N291" s="138"/>
      <c r="O291" s="149" t="str">
        <f t="shared" si="19"/>
        <v/>
      </c>
      <c r="P291" s="470" t="str">
        <f>IFERROR(IF(L291="avec arrêt",IF(MONTH(N291)='Liste AT'!$X$2,0,N291-EOMONTH('Stats AT BDD'!$X$2,0)),""),"")</f>
        <v/>
      </c>
      <c r="Q291" s="139"/>
      <c r="R291" s="140"/>
      <c r="S291" s="140"/>
      <c r="T291" s="141"/>
      <c r="U291" s="143"/>
      <c r="V291" s="137"/>
      <c r="W291" s="137"/>
      <c r="X291" s="141"/>
      <c r="Y291" s="147"/>
      <c r="Z291" s="144" t="str">
        <f t="shared" si="21"/>
        <v/>
      </c>
      <c r="AA291" s="138"/>
      <c r="AB291" s="148" t="str">
        <f t="shared" ca="1" si="20"/>
        <v/>
      </c>
      <c r="AC291" s="226"/>
      <c r="AD291" s="210"/>
      <c r="AE291" s="350"/>
      <c r="AF291" s="353"/>
      <c r="AG291" s="350"/>
      <c r="AH291" s="215"/>
    </row>
    <row r="292" spans="1:34" ht="66" customHeight="1" x14ac:dyDescent="0.25">
      <c r="A292" s="153" t="s">
        <v>1133</v>
      </c>
      <c r="B292" s="142"/>
      <c r="C292" s="135"/>
      <c r="D292" s="136"/>
      <c r="E292" s="143"/>
      <c r="F292" s="463"/>
      <c r="G292" s="145"/>
      <c r="H292" s="146"/>
      <c r="I292" s="151"/>
      <c r="J292" s="150"/>
      <c r="K292" s="134"/>
      <c r="L292" s="137"/>
      <c r="M292" s="138"/>
      <c r="N292" s="138"/>
      <c r="O292" s="149" t="str">
        <f t="shared" si="19"/>
        <v/>
      </c>
      <c r="P292" s="470" t="str">
        <f>IFERROR(IF(L292="avec arrêt",IF(MONTH(N292)='Liste AT'!$X$2,0,N292-EOMONTH('Stats AT BDD'!$X$2,0)),""),"")</f>
        <v/>
      </c>
      <c r="Q292" s="139"/>
      <c r="R292" s="140"/>
      <c r="S292" s="140"/>
      <c r="T292" s="141"/>
      <c r="U292" s="143"/>
      <c r="V292" s="137"/>
      <c r="W292" s="137"/>
      <c r="X292" s="141"/>
      <c r="Y292" s="147"/>
      <c r="Z292" s="144" t="str">
        <f t="shared" si="21"/>
        <v/>
      </c>
      <c r="AA292" s="138"/>
      <c r="AB292" s="148" t="str">
        <f t="shared" ca="1" si="20"/>
        <v/>
      </c>
      <c r="AC292" s="226"/>
      <c r="AD292" s="210"/>
      <c r="AE292" s="350"/>
      <c r="AF292" s="353"/>
      <c r="AG292" s="350"/>
      <c r="AH292" s="215"/>
    </row>
    <row r="293" spans="1:34" ht="75" customHeight="1" x14ac:dyDescent="0.25">
      <c r="A293" s="153" t="s">
        <v>1134</v>
      </c>
      <c r="B293" s="142"/>
      <c r="C293" s="135"/>
      <c r="D293" s="136"/>
      <c r="E293" s="143"/>
      <c r="F293" s="463"/>
      <c r="G293" s="145"/>
      <c r="H293" s="146"/>
      <c r="I293" s="151"/>
      <c r="J293" s="150"/>
      <c r="K293" s="134"/>
      <c r="L293" s="137"/>
      <c r="M293" s="138"/>
      <c r="N293" s="138"/>
      <c r="O293" s="149" t="str">
        <f t="shared" si="19"/>
        <v/>
      </c>
      <c r="P293" s="470" t="str">
        <f>IFERROR(IF(L293="avec arrêt",IF(MONTH(N293)='Liste AT'!$X$2,0,N293-EOMONTH('Stats AT BDD'!$X$2,0)),""),"")</f>
        <v/>
      </c>
      <c r="Q293" s="139"/>
      <c r="R293" s="140"/>
      <c r="S293" s="140"/>
      <c r="T293" s="141"/>
      <c r="U293" s="143"/>
      <c r="V293" s="137"/>
      <c r="W293" s="137"/>
      <c r="X293" s="141"/>
      <c r="Y293" s="147"/>
      <c r="Z293" s="144" t="str">
        <f t="shared" si="21"/>
        <v/>
      </c>
      <c r="AA293" s="138"/>
      <c r="AB293" s="148" t="str">
        <f t="shared" ca="1" si="20"/>
        <v/>
      </c>
      <c r="AC293" s="226"/>
      <c r="AD293" s="210"/>
      <c r="AE293" s="350"/>
      <c r="AF293" s="353"/>
      <c r="AG293" s="350"/>
      <c r="AH293" s="215"/>
    </row>
    <row r="294" spans="1:34" ht="75" customHeight="1" x14ac:dyDescent="0.25">
      <c r="A294" s="153" t="s">
        <v>1135</v>
      </c>
      <c r="B294" s="142"/>
      <c r="C294" s="135"/>
      <c r="D294" s="136"/>
      <c r="E294" s="143"/>
      <c r="F294" s="463"/>
      <c r="G294" s="145"/>
      <c r="H294" s="146"/>
      <c r="I294" s="151"/>
      <c r="J294" s="150"/>
      <c r="K294" s="134"/>
      <c r="L294" s="137"/>
      <c r="M294" s="138"/>
      <c r="N294" s="138"/>
      <c r="O294" s="149" t="str">
        <f t="shared" si="19"/>
        <v/>
      </c>
      <c r="P294" s="470" t="str">
        <f>IFERROR(IF(L294="avec arrêt",IF(MONTH(N294)='Liste AT'!$X$2,0,N294-EOMONTH('Stats AT BDD'!$X$2,0)),""),"")</f>
        <v/>
      </c>
      <c r="Q294" s="139"/>
      <c r="R294" s="140"/>
      <c r="S294" s="140"/>
      <c r="T294" s="141"/>
      <c r="U294" s="143"/>
      <c r="V294" s="137"/>
      <c r="W294" s="137"/>
      <c r="X294" s="141"/>
      <c r="Y294" s="147"/>
      <c r="Z294" s="144" t="str">
        <f t="shared" si="21"/>
        <v/>
      </c>
      <c r="AA294" s="138"/>
      <c r="AB294" s="148" t="str">
        <f t="shared" ca="1" si="20"/>
        <v/>
      </c>
      <c r="AC294" s="226"/>
      <c r="AD294" s="210"/>
      <c r="AE294" s="350"/>
      <c r="AF294" s="353"/>
      <c r="AG294" s="350"/>
      <c r="AH294" s="215"/>
    </row>
    <row r="295" spans="1:34" ht="75" customHeight="1" x14ac:dyDescent="0.25">
      <c r="A295" s="153" t="s">
        <v>1136</v>
      </c>
      <c r="B295" s="142"/>
      <c r="C295" s="135"/>
      <c r="D295" s="136"/>
      <c r="E295" s="143"/>
      <c r="F295" s="463"/>
      <c r="G295" s="145"/>
      <c r="H295" s="146"/>
      <c r="I295" s="151"/>
      <c r="J295" s="150"/>
      <c r="K295" s="134"/>
      <c r="L295" s="137"/>
      <c r="M295" s="138"/>
      <c r="N295" s="138"/>
      <c r="O295" s="149" t="str">
        <f t="shared" si="19"/>
        <v/>
      </c>
      <c r="P295" s="470" t="str">
        <f>IFERROR(IF(L295="avec arrêt",IF(MONTH(N295)='Liste AT'!$X$2,0,N295-EOMONTH('Stats AT BDD'!$X$2,0)),""),"")</f>
        <v/>
      </c>
      <c r="Q295" s="139"/>
      <c r="R295" s="140"/>
      <c r="S295" s="140"/>
      <c r="T295" s="141"/>
      <c r="U295" s="143"/>
      <c r="V295" s="137"/>
      <c r="W295" s="137"/>
      <c r="X295" s="141"/>
      <c r="Y295" s="147"/>
      <c r="Z295" s="144" t="str">
        <f t="shared" si="21"/>
        <v/>
      </c>
      <c r="AA295" s="138"/>
      <c r="AB295" s="148" t="str">
        <f t="shared" ca="1" si="20"/>
        <v/>
      </c>
      <c r="AC295" s="226"/>
      <c r="AD295" s="210"/>
      <c r="AE295" s="350"/>
      <c r="AF295" s="353"/>
      <c r="AG295" s="350"/>
      <c r="AH295" s="215"/>
    </row>
    <row r="296" spans="1:34" ht="75" customHeight="1" x14ac:dyDescent="0.25">
      <c r="A296" s="153" t="s">
        <v>1137</v>
      </c>
      <c r="B296" s="142"/>
      <c r="C296" s="135"/>
      <c r="D296" s="136"/>
      <c r="E296" s="143"/>
      <c r="F296" s="463"/>
      <c r="G296" s="145"/>
      <c r="H296" s="146"/>
      <c r="I296" s="151"/>
      <c r="J296" s="150"/>
      <c r="K296" s="134"/>
      <c r="L296" s="137"/>
      <c r="M296" s="138"/>
      <c r="N296" s="138"/>
      <c r="O296" s="149" t="str">
        <f t="shared" si="19"/>
        <v/>
      </c>
      <c r="P296" s="470" t="str">
        <f>IFERROR(IF(L296="avec arrêt",IF(MONTH(N296)='Liste AT'!$X$2,0,N296-EOMONTH('Stats AT BDD'!$X$2,0)),""),"")</f>
        <v/>
      </c>
      <c r="Q296" s="139"/>
      <c r="R296" s="140"/>
      <c r="S296" s="140"/>
      <c r="T296" s="141"/>
      <c r="U296" s="143"/>
      <c r="V296" s="137"/>
      <c r="W296" s="137"/>
      <c r="X296" s="141"/>
      <c r="Y296" s="147"/>
      <c r="Z296" s="144" t="str">
        <f t="shared" si="21"/>
        <v/>
      </c>
      <c r="AA296" s="138"/>
      <c r="AB296" s="148" t="str">
        <f t="shared" ca="1" si="20"/>
        <v/>
      </c>
      <c r="AC296" s="226"/>
      <c r="AD296" s="210"/>
      <c r="AE296" s="350"/>
      <c r="AF296" s="353"/>
      <c r="AG296" s="350"/>
      <c r="AH296" s="215"/>
    </row>
    <row r="297" spans="1:34" ht="71.25" customHeight="1" x14ac:dyDescent="0.25">
      <c r="A297" s="153" t="s">
        <v>1138</v>
      </c>
      <c r="B297" s="142"/>
      <c r="C297" s="135"/>
      <c r="D297" s="136"/>
      <c r="E297" s="143"/>
      <c r="F297" s="463"/>
      <c r="G297" s="145"/>
      <c r="H297" s="146"/>
      <c r="I297" s="151"/>
      <c r="J297" s="150"/>
      <c r="K297" s="134"/>
      <c r="L297" s="137"/>
      <c r="M297" s="138"/>
      <c r="N297" s="138"/>
      <c r="O297" s="149" t="str">
        <f t="shared" si="19"/>
        <v/>
      </c>
      <c r="P297" s="470" t="str">
        <f>IFERROR(IF(L297="avec arrêt",IF(MONTH(N297)='Liste AT'!$X$2,0,N297-EOMONTH('Stats AT BDD'!$X$2,0)),""),"")</f>
        <v/>
      </c>
      <c r="Q297" s="139"/>
      <c r="R297" s="140"/>
      <c r="S297" s="140"/>
      <c r="T297" s="141"/>
      <c r="U297" s="143"/>
      <c r="V297" s="137"/>
      <c r="W297" s="137"/>
      <c r="X297" s="141"/>
      <c r="Y297" s="147"/>
      <c r="Z297" s="144" t="str">
        <f t="shared" si="21"/>
        <v/>
      </c>
      <c r="AA297" s="138"/>
      <c r="AB297" s="148" t="str">
        <f t="shared" ca="1" si="20"/>
        <v/>
      </c>
      <c r="AC297" s="226"/>
      <c r="AD297" s="210"/>
      <c r="AE297" s="350"/>
      <c r="AF297" s="353"/>
      <c r="AG297" s="350"/>
      <c r="AH297" s="215"/>
    </row>
  </sheetData>
  <autoFilter ref="A6:AH297">
    <sortState ref="A7:AN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P5"/>
    <mergeCell ref="Q5:T5"/>
    <mergeCell ref="U5:X5"/>
  </mergeCells>
  <phoneticPr fontId="8" type="noConversion"/>
  <conditionalFormatting sqref="L7:L297">
    <cfRule type="cellIs" dxfId="48" priority="59" stopIfTrue="1" operator="equal">
      <formula>"avec arrêt"</formula>
    </cfRule>
  </conditionalFormatting>
  <conditionalFormatting sqref="M7:M297">
    <cfRule type="expression" dxfId="47" priority="77" stopIfTrue="1">
      <formula>L7="avec arrêt"</formula>
    </cfRule>
    <cfRule type="expression" dxfId="46" priority="78" stopIfTrue="1">
      <formula>L7="décès"</formula>
    </cfRule>
  </conditionalFormatting>
  <conditionalFormatting sqref="N7:N297">
    <cfRule type="expression" dxfId="45" priority="79" stopIfTrue="1">
      <formula>L7="avec arrêt"</formula>
    </cfRule>
    <cfRule type="expression" dxfId="44" priority="80" stopIfTrue="1">
      <formula>L7="décès"</formula>
    </cfRule>
  </conditionalFormatting>
  <conditionalFormatting sqref="O7:O297">
    <cfRule type="cellIs" dxfId="43" priority="81" stopIfTrue="1" operator="notEqual">
      <formula>""</formula>
    </cfRule>
    <cfRule type="expression" dxfId="42" priority="82" stopIfTrue="1">
      <formula>L7="sans arrêt"</formula>
    </cfRule>
    <cfRule type="expression" dxfId="41" priority="83" stopIfTrue="1">
      <formula>L7="décès"</formula>
    </cfRule>
  </conditionalFormatting>
  <conditionalFormatting sqref="O7:O297">
    <cfRule type="cellIs" dxfId="40" priority="53" operator="equal">
      <formula>0</formula>
    </cfRule>
  </conditionalFormatting>
  <conditionalFormatting sqref="M7:M297">
    <cfRule type="expression" dxfId="39" priority="43">
      <formula>L7="sans arrêt"</formula>
    </cfRule>
  </conditionalFormatting>
  <conditionalFormatting sqref="N7:N297">
    <cfRule type="expression" dxfId="38" priority="41">
      <formula>L7="sans arrêt"</formula>
    </cfRule>
    <cfRule type="expression" dxfId="37" priority="42">
      <formula>M7="sans arrêt"</formula>
    </cfRule>
  </conditionalFormatting>
  <conditionalFormatting sqref="AG7:AH64 AB7:AD64">
    <cfRule type="containsText" dxfId="36" priority="51" operator="containsText" text="non">
      <formula>NOT(ISERROR(SEARCH("non",AB7)))</formula>
    </cfRule>
    <cfRule type="containsText" dxfId="35" priority="52" operator="containsText" text="oui">
      <formula>NOT(ISERROR(SEARCH("oui",AB7)))</formula>
    </cfRule>
    <cfRule type="containsBlanks" dxfId="34" priority="84">
      <formula>LEN(TRIM(AB7))=0</formula>
    </cfRule>
  </conditionalFormatting>
  <conditionalFormatting sqref="P7:P297">
    <cfRule type="cellIs" dxfId="33" priority="2" stopIfTrue="1" operator="notEqual">
      <formula>""</formula>
    </cfRule>
    <cfRule type="expression" dxfId="32" priority="3" stopIfTrue="1">
      <formula>M7="sans arrêt"</formula>
    </cfRule>
    <cfRule type="expression" dxfId="31" priority="4" stopIfTrue="1">
      <formula>M7="décès"</formula>
    </cfRule>
  </conditionalFormatting>
  <conditionalFormatting sqref="P7:P297">
    <cfRule type="cellIs" dxfId="30" priority="1" operator="equal">
      <formula>0</formula>
    </cfRule>
  </conditionalFormatting>
  <dataValidations count="13">
    <dataValidation type="list" allowBlank="1" showInputMessage="1" showErrorMessage="1" sqref="G72:H297 AE74:AE297 AF72:AG297 U7:U297 AD72:AD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F7:F143">
      <formula1>UO</formula1>
    </dataValidation>
    <dataValidation type="list" allowBlank="1" showInputMessage="1" showErrorMessage="1" sqref="AG66:AG71">
      <formula1>$G$2:$G$4</formula1>
    </dataValidation>
    <dataValidation type="list" allowBlank="1" showInputMessage="1" showErrorMessage="1" sqref="AF7:AF71">
      <formula1>$G$2:$G$4</formula1>
    </dataValidation>
    <dataValidation type="list" allowBlank="1" showInputMessage="1" showErrorMessage="1" sqref="AH7:AH75">
      <formula1>$G$2:$G$4</formula1>
    </dataValidation>
    <dataValidation type="list" allowBlank="1" showInputMessage="1" showErrorMessage="1" sqref="G7:H71">
      <formula1>$G$2:$G$4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9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déroulantes'!$A$3:$A$33</xm:f>
          </x14:formula1>
          <xm:sqref>E72:E154 F144:F154</xm:sqref>
        </x14:dataValidation>
        <x14:dataValidation type="list" allowBlank="1" showInputMessage="1" showErrorMessage="1">
          <x14:formula1>
            <xm:f>'Listes déroulantes'!$A$3:$A$40</xm:f>
          </x14:formula1>
          <xm:sqref>E155:F297</xm:sqref>
        </x14:dataValidation>
        <x14:dataValidation type="list" allowBlank="1" showInputMessage="1" showErrorMessage="1">
          <x14:formula1>
            <xm:f>'Listes déroulantes'!$A$3:$A$44</xm:f>
          </x14:formula1>
          <xm:sqref>E7 E9:E71</xm:sqref>
        </x14:dataValidation>
        <x14:dataValidation type="list" allowBlank="1" showInputMessage="1" showErrorMessage="1">
          <x14:formula1>
            <xm:f>'Listes déroulantes'!$A$2:$A$23</xm:f>
          </x14:formula1>
          <xm:sqref>E8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Z53"/>
  <sheetViews>
    <sheetView zoomScale="85" zoomScaleNormal="85" workbookViewId="0">
      <pane ySplit="1" topLeftCell="A37" activePane="bottomLeft" state="frozen"/>
      <selection pane="bottomLeft" activeCell="M1" sqref="M1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3" width="16.85546875" style="227" customWidth="1"/>
  </cols>
  <sheetData>
    <row r="1" spans="1:26" s="92" customFormat="1" ht="33.75" customHeight="1" thickBot="1" x14ac:dyDescent="0.3">
      <c r="A1" s="131" t="s">
        <v>546</v>
      </c>
      <c r="B1" s="132" t="s">
        <v>16</v>
      </c>
      <c r="C1" s="540" t="s">
        <v>547</v>
      </c>
      <c r="D1" s="541"/>
      <c r="E1" s="133" t="s">
        <v>548</v>
      </c>
      <c r="F1" s="95" t="s">
        <v>570</v>
      </c>
      <c r="G1" s="96" t="s">
        <v>571</v>
      </c>
      <c r="H1" s="94" t="s">
        <v>593</v>
      </c>
      <c r="I1" s="94" t="s">
        <v>549</v>
      </c>
      <c r="J1" s="98" t="s">
        <v>550</v>
      </c>
      <c r="K1" s="97" t="s">
        <v>551</v>
      </c>
      <c r="L1" s="97" t="s">
        <v>662</v>
      </c>
      <c r="M1" s="97" t="s">
        <v>663</v>
      </c>
    </row>
    <row r="2" spans="1:26" ht="26.25" customHeight="1" x14ac:dyDescent="0.25">
      <c r="A2" s="361" t="s">
        <v>721</v>
      </c>
      <c r="B2" s="456" t="s">
        <v>1147</v>
      </c>
      <c r="C2" s="234">
        <v>587097</v>
      </c>
      <c r="D2" s="422">
        <v>620962791</v>
      </c>
      <c r="E2" s="426" t="s">
        <v>719</v>
      </c>
      <c r="F2" s="427"/>
      <c r="G2" s="428"/>
      <c r="H2" s="428"/>
      <c r="I2" s="429"/>
      <c r="J2" s="430"/>
      <c r="K2" s="430"/>
      <c r="L2" s="431"/>
      <c r="M2" s="431"/>
    </row>
    <row r="3" spans="1:26" ht="26.25" customHeight="1" x14ac:dyDescent="0.25">
      <c r="A3" s="231" t="s">
        <v>690</v>
      </c>
      <c r="B3" s="420" t="s">
        <v>1150</v>
      </c>
      <c r="C3" s="228"/>
      <c r="D3" s="423"/>
      <c r="E3" s="432" t="s">
        <v>719</v>
      </c>
      <c r="F3" s="433"/>
      <c r="G3" s="434"/>
      <c r="H3" s="428"/>
      <c r="I3" s="429"/>
      <c r="J3" s="430"/>
      <c r="K3" s="430"/>
      <c r="L3" s="430"/>
      <c r="M3" s="431"/>
    </row>
    <row r="4" spans="1:26" ht="26.25" customHeight="1" x14ac:dyDescent="0.25">
      <c r="A4" s="231" t="s">
        <v>689</v>
      </c>
      <c r="B4" s="420" t="s">
        <v>1150</v>
      </c>
      <c r="C4" s="228"/>
      <c r="D4" s="423"/>
      <c r="E4" s="432" t="s">
        <v>719</v>
      </c>
      <c r="F4" s="433"/>
      <c r="G4" s="434"/>
      <c r="H4" s="428"/>
      <c r="I4" s="429"/>
      <c r="J4" s="430"/>
      <c r="K4" s="430"/>
      <c r="L4" s="435"/>
      <c r="M4" s="431"/>
      <c r="Z4" t="s">
        <v>594</v>
      </c>
    </row>
    <row r="5" spans="1:26" ht="26.25" customHeight="1" x14ac:dyDescent="0.25">
      <c r="A5" s="231" t="s">
        <v>605</v>
      </c>
      <c r="B5" s="457" t="s">
        <v>1150</v>
      </c>
      <c r="C5" s="228">
        <v>587022</v>
      </c>
      <c r="D5" s="423">
        <v>603745203</v>
      </c>
      <c r="E5" s="436" t="s">
        <v>838</v>
      </c>
      <c r="F5" s="253"/>
      <c r="G5" s="253"/>
      <c r="H5" s="233"/>
      <c r="I5" s="233"/>
      <c r="J5" s="437"/>
      <c r="K5" s="431"/>
      <c r="L5" s="431"/>
      <c r="M5" s="431"/>
    </row>
    <row r="6" spans="1:26" ht="26.25" customHeight="1" x14ac:dyDescent="0.25">
      <c r="A6" s="458" t="s">
        <v>676</v>
      </c>
      <c r="B6" s="420" t="s">
        <v>1150</v>
      </c>
      <c r="C6" s="228" t="s">
        <v>656</v>
      </c>
      <c r="D6" s="423" t="s">
        <v>655</v>
      </c>
      <c r="E6" s="438" t="s">
        <v>543</v>
      </c>
      <c r="F6" s="439"/>
      <c r="G6" s="431"/>
      <c r="H6" s="437"/>
      <c r="I6" s="431"/>
      <c r="J6" s="440"/>
      <c r="K6" s="431"/>
      <c r="L6" s="431"/>
      <c r="M6" s="431"/>
    </row>
    <row r="7" spans="1:26" s="227" customFormat="1" ht="26.25" customHeight="1" x14ac:dyDescent="0.25">
      <c r="A7" s="458" t="s">
        <v>676</v>
      </c>
      <c r="B7" s="420" t="s">
        <v>1150</v>
      </c>
      <c r="C7" s="228" t="s">
        <v>656</v>
      </c>
      <c r="D7" s="423" t="s">
        <v>655</v>
      </c>
      <c r="E7" s="432" t="s">
        <v>544</v>
      </c>
      <c r="F7" s="439"/>
      <c r="G7" s="431"/>
      <c r="H7" s="437"/>
      <c r="I7" s="431"/>
      <c r="J7" s="440"/>
      <c r="K7" s="431"/>
      <c r="L7" s="431"/>
      <c r="M7" s="431"/>
    </row>
    <row r="8" spans="1:26" ht="26.25" customHeight="1" x14ac:dyDescent="0.25">
      <c r="A8" s="232" t="s">
        <v>605</v>
      </c>
      <c r="B8" s="420" t="s">
        <v>1150</v>
      </c>
      <c r="C8" s="228">
        <v>586852</v>
      </c>
      <c r="D8" s="423" t="s">
        <v>604</v>
      </c>
      <c r="E8" s="441" t="s">
        <v>1174</v>
      </c>
      <c r="F8" s="439"/>
      <c r="G8" s="431"/>
      <c r="H8" s="431"/>
      <c r="I8" s="431"/>
      <c r="J8" s="437"/>
      <c r="K8" s="431"/>
      <c r="L8" s="431"/>
      <c r="M8" s="431"/>
    </row>
    <row r="9" spans="1:26" ht="26.25" customHeight="1" x14ac:dyDescent="0.25">
      <c r="A9" s="458" t="s">
        <v>676</v>
      </c>
      <c r="B9" s="420" t="s">
        <v>1150</v>
      </c>
      <c r="C9" s="228">
        <v>588611</v>
      </c>
      <c r="D9" s="423">
        <v>622896285</v>
      </c>
      <c r="E9" s="438" t="s">
        <v>565</v>
      </c>
      <c r="F9" s="439"/>
      <c r="G9" s="439"/>
      <c r="H9" s="439"/>
      <c r="I9" s="439"/>
      <c r="J9" s="437"/>
      <c r="K9" s="431"/>
      <c r="L9" s="431"/>
      <c r="M9" s="431"/>
    </row>
    <row r="10" spans="1:26" ht="26.25" customHeight="1" x14ac:dyDescent="0.25">
      <c r="A10" s="458" t="s">
        <v>676</v>
      </c>
      <c r="B10" s="420" t="s">
        <v>1150</v>
      </c>
      <c r="C10" s="228">
        <v>588611</v>
      </c>
      <c r="D10" s="423">
        <v>622896285</v>
      </c>
      <c r="E10" s="432" t="s">
        <v>564</v>
      </c>
      <c r="F10" s="439"/>
      <c r="G10" s="431"/>
      <c r="H10" s="431"/>
      <c r="I10" s="431"/>
      <c r="J10" s="437"/>
      <c r="K10" s="431"/>
      <c r="L10" s="431"/>
      <c r="M10" s="431"/>
    </row>
    <row r="11" spans="1:26" s="227" customFormat="1" ht="26.25" customHeight="1" x14ac:dyDescent="0.25">
      <c r="A11" s="458" t="s">
        <v>831</v>
      </c>
      <c r="B11" s="420" t="s">
        <v>1150</v>
      </c>
      <c r="C11" s="228"/>
      <c r="D11" s="423"/>
      <c r="E11" s="432" t="s">
        <v>839</v>
      </c>
      <c r="F11" s="439"/>
      <c r="G11" s="431"/>
      <c r="H11" s="431"/>
      <c r="I11" s="431"/>
      <c r="J11" s="437"/>
      <c r="K11" s="431"/>
      <c r="L11" s="431"/>
      <c r="M11" s="431"/>
    </row>
    <row r="12" spans="1:26" s="152" customFormat="1" ht="26.25" customHeight="1" x14ac:dyDescent="0.25">
      <c r="A12" s="232" t="s">
        <v>264</v>
      </c>
      <c r="B12" s="420" t="s">
        <v>1150</v>
      </c>
      <c r="C12" s="228">
        <v>586873</v>
      </c>
      <c r="D12" s="423" t="s">
        <v>596</v>
      </c>
      <c r="E12" s="441" t="s">
        <v>730</v>
      </c>
      <c r="F12" s="253"/>
      <c r="G12" s="233"/>
      <c r="H12" s="233"/>
      <c r="I12" s="233"/>
      <c r="J12" s="437"/>
      <c r="K12" s="431"/>
      <c r="L12" s="431"/>
      <c r="M12" s="431"/>
    </row>
    <row r="13" spans="1:26" ht="26.25" customHeight="1" x14ac:dyDescent="0.25">
      <c r="A13" s="232" t="s">
        <v>595</v>
      </c>
      <c r="B13" s="420" t="s">
        <v>1150</v>
      </c>
      <c r="C13" s="228">
        <v>586873</v>
      </c>
      <c r="D13" s="423" t="s">
        <v>596</v>
      </c>
      <c r="E13" s="441" t="s">
        <v>783</v>
      </c>
      <c r="F13" s="253"/>
      <c r="G13" s="233"/>
      <c r="H13" s="233"/>
      <c r="I13" s="233"/>
      <c r="J13" s="437"/>
      <c r="K13" s="431"/>
      <c r="L13" s="431"/>
      <c r="M13" s="431"/>
    </row>
    <row r="14" spans="1:26" ht="26.25" customHeight="1" x14ac:dyDescent="0.25">
      <c r="A14" s="455" t="s">
        <v>1</v>
      </c>
      <c r="B14" s="420" t="s">
        <v>1150</v>
      </c>
      <c r="C14" s="228">
        <v>586852</v>
      </c>
      <c r="D14" s="423">
        <v>623540627</v>
      </c>
      <c r="E14" s="438" t="s">
        <v>592</v>
      </c>
      <c r="F14" s="439"/>
      <c r="G14" s="431"/>
      <c r="H14" s="431"/>
      <c r="I14" s="431"/>
      <c r="J14" s="437"/>
      <c r="K14" s="431"/>
      <c r="L14" s="431"/>
      <c r="M14" s="431"/>
    </row>
    <row r="15" spans="1:26" ht="26.25" customHeight="1" x14ac:dyDescent="0.25">
      <c r="A15" s="455" t="s">
        <v>722</v>
      </c>
      <c r="B15" s="420" t="s">
        <v>1150</v>
      </c>
      <c r="C15" s="228">
        <v>586501</v>
      </c>
      <c r="D15" s="424" t="s">
        <v>606</v>
      </c>
      <c r="E15" s="438" t="s">
        <v>542</v>
      </c>
      <c r="F15" s="439"/>
      <c r="G15" s="431"/>
      <c r="H15" s="431"/>
      <c r="I15" s="431"/>
      <c r="J15" s="437"/>
      <c r="K15" s="431"/>
      <c r="L15" s="431"/>
      <c r="M15" s="431"/>
    </row>
    <row r="16" spans="1:26" ht="26.25" customHeight="1" x14ac:dyDescent="0.25">
      <c r="A16" s="458" t="s">
        <v>608</v>
      </c>
      <c r="B16" s="420" t="s">
        <v>1150</v>
      </c>
      <c r="C16" s="228">
        <v>585540</v>
      </c>
      <c r="D16" s="423">
        <v>611391969</v>
      </c>
      <c r="E16" s="442" t="s">
        <v>618</v>
      </c>
      <c r="F16" s="439"/>
      <c r="G16" s="431"/>
      <c r="H16" s="431"/>
      <c r="I16" s="431"/>
      <c r="J16" s="437"/>
      <c r="K16" s="431"/>
      <c r="L16" s="431"/>
      <c r="M16" s="431"/>
    </row>
    <row r="17" spans="1:13" s="227" customFormat="1" ht="26.25" customHeight="1" x14ac:dyDescent="0.25">
      <c r="A17" s="458" t="s">
        <v>608</v>
      </c>
      <c r="B17" s="420" t="s">
        <v>1150</v>
      </c>
      <c r="C17" s="228">
        <v>585540</v>
      </c>
      <c r="D17" s="423">
        <v>611391969</v>
      </c>
      <c r="E17" s="442" t="s">
        <v>619</v>
      </c>
      <c r="F17" s="439"/>
      <c r="G17" s="431"/>
      <c r="H17" s="431"/>
      <c r="I17" s="431"/>
      <c r="J17" s="437"/>
      <c r="K17" s="431"/>
      <c r="L17" s="431"/>
      <c r="M17" s="431"/>
    </row>
    <row r="18" spans="1:13" ht="26.25" customHeight="1" x14ac:dyDescent="0.25">
      <c r="A18" s="459" t="s">
        <v>722</v>
      </c>
      <c r="B18" s="420" t="s">
        <v>1150</v>
      </c>
      <c r="C18" s="228">
        <v>587401</v>
      </c>
      <c r="D18" s="423">
        <v>489247401</v>
      </c>
      <c r="E18" s="438" t="s">
        <v>563</v>
      </c>
      <c r="F18" s="439"/>
      <c r="G18" s="431"/>
      <c r="H18" s="431"/>
      <c r="I18" s="431"/>
      <c r="J18" s="437"/>
      <c r="K18" s="431"/>
      <c r="L18" s="431"/>
      <c r="M18" s="431"/>
    </row>
    <row r="19" spans="1:13" ht="26.25" customHeight="1" x14ac:dyDescent="0.25">
      <c r="A19" s="459" t="s">
        <v>722</v>
      </c>
      <c r="B19" s="420" t="s">
        <v>1150</v>
      </c>
      <c r="C19" s="228">
        <v>587401</v>
      </c>
      <c r="D19" s="423">
        <v>489247401</v>
      </c>
      <c r="E19" s="438" t="s">
        <v>562</v>
      </c>
      <c r="F19" s="439"/>
      <c r="G19" s="431"/>
      <c r="H19" s="431"/>
      <c r="I19" s="431"/>
      <c r="J19" s="437"/>
      <c r="K19" s="431"/>
      <c r="L19" s="431"/>
      <c r="M19" s="431"/>
    </row>
    <row r="20" spans="1:13" ht="26.25" customHeight="1" x14ac:dyDescent="0.25">
      <c r="A20" s="460" t="s">
        <v>784</v>
      </c>
      <c r="B20" s="420" t="s">
        <v>1150</v>
      </c>
      <c r="C20" s="228">
        <v>587401</v>
      </c>
      <c r="D20" s="423">
        <v>489247401</v>
      </c>
      <c r="E20" s="438" t="s">
        <v>561</v>
      </c>
      <c r="F20" s="439"/>
      <c r="G20" s="431"/>
      <c r="H20" s="431"/>
      <c r="I20" s="431"/>
      <c r="J20" s="437"/>
      <c r="K20" s="431"/>
      <c r="L20" s="431"/>
      <c r="M20" s="431"/>
    </row>
    <row r="21" spans="1:13" ht="26.25" customHeight="1" x14ac:dyDescent="0.25">
      <c r="A21" s="458" t="s">
        <v>722</v>
      </c>
      <c r="B21" s="420" t="s">
        <v>1150</v>
      </c>
      <c r="C21" s="228">
        <v>587401</v>
      </c>
      <c r="D21" s="423">
        <v>489247401</v>
      </c>
      <c r="E21" s="438" t="s">
        <v>567</v>
      </c>
      <c r="F21" s="439"/>
      <c r="G21" s="431"/>
      <c r="H21" s="431"/>
      <c r="I21" s="431"/>
      <c r="J21" s="437"/>
      <c r="K21" s="431"/>
      <c r="L21" s="431"/>
      <c r="M21" s="431"/>
    </row>
    <row r="22" spans="1:13" ht="26.25" customHeight="1" x14ac:dyDescent="0.25">
      <c r="A22" s="460" t="s">
        <v>722</v>
      </c>
      <c r="B22" s="420" t="s">
        <v>1150</v>
      </c>
      <c r="C22" s="228">
        <v>587401</v>
      </c>
      <c r="D22" s="423">
        <v>489247401</v>
      </c>
      <c r="E22" s="438" t="s">
        <v>720</v>
      </c>
      <c r="F22" s="439"/>
      <c r="G22" s="431"/>
      <c r="H22" s="431"/>
      <c r="I22" s="431"/>
      <c r="J22" s="437"/>
      <c r="K22" s="431"/>
      <c r="L22" s="431"/>
      <c r="M22" s="431"/>
    </row>
    <row r="23" spans="1:13" ht="26.25" customHeight="1" x14ac:dyDescent="0.25">
      <c r="A23" s="460" t="s">
        <v>784</v>
      </c>
      <c r="B23" s="420" t="s">
        <v>1150</v>
      </c>
      <c r="C23" s="228">
        <v>588611</v>
      </c>
      <c r="D23" s="423">
        <v>622896285</v>
      </c>
      <c r="E23" s="438" t="s">
        <v>566</v>
      </c>
      <c r="F23" s="439"/>
      <c r="G23" s="431"/>
      <c r="H23" s="431"/>
      <c r="I23" s="431"/>
      <c r="J23" s="437"/>
      <c r="K23" s="431"/>
      <c r="L23" s="431"/>
      <c r="M23" s="431"/>
    </row>
    <row r="24" spans="1:13" s="227" customFormat="1" ht="26.25" customHeight="1" x14ac:dyDescent="0.25">
      <c r="A24" s="460" t="str">
        <f t="shared" ref="A24:D24" si="0">A23</f>
        <v>MORETTI</v>
      </c>
      <c r="B24" s="420" t="str">
        <f t="shared" si="0"/>
        <v>Relation client</v>
      </c>
      <c r="C24" s="228">
        <f t="shared" si="0"/>
        <v>588611</v>
      </c>
      <c r="D24" s="423">
        <f t="shared" si="0"/>
        <v>622896285</v>
      </c>
      <c r="E24" s="438" t="s">
        <v>840</v>
      </c>
      <c r="F24" s="439"/>
      <c r="G24" s="431"/>
      <c r="H24" s="431"/>
      <c r="I24" s="431"/>
      <c r="J24" s="437"/>
      <c r="K24" s="431"/>
      <c r="L24" s="431"/>
      <c r="M24" s="431"/>
    </row>
    <row r="25" spans="1:13" ht="26.25" customHeight="1" x14ac:dyDescent="0.25">
      <c r="A25" s="252" t="s">
        <v>785</v>
      </c>
      <c r="B25" s="420" t="s">
        <v>1150</v>
      </c>
      <c r="C25" s="228">
        <v>586701</v>
      </c>
      <c r="D25" s="423">
        <v>601000761</v>
      </c>
      <c r="E25" s="443" t="s">
        <v>558</v>
      </c>
      <c r="F25" s="439"/>
      <c r="G25" s="431"/>
      <c r="H25" s="431"/>
      <c r="I25" s="431"/>
      <c r="J25" s="437"/>
      <c r="K25" s="431"/>
      <c r="L25" s="431"/>
      <c r="M25" s="431"/>
    </row>
    <row r="26" spans="1:13" ht="27" customHeight="1" x14ac:dyDescent="0.25">
      <c r="A26" s="252" t="s">
        <v>785</v>
      </c>
      <c r="B26" s="420" t="s">
        <v>1150</v>
      </c>
      <c r="C26" s="235">
        <v>586701</v>
      </c>
      <c r="D26" s="425">
        <v>601000761</v>
      </c>
      <c r="E26" s="444" t="s">
        <v>559</v>
      </c>
      <c r="F26" s="439"/>
      <c r="G26" s="431"/>
      <c r="H26" s="445"/>
      <c r="I26" s="445"/>
      <c r="J26" s="446"/>
      <c r="K26" s="445"/>
      <c r="L26" s="445"/>
      <c r="M26" s="445"/>
    </row>
    <row r="27" spans="1:13" ht="27" customHeight="1" x14ac:dyDescent="0.25">
      <c r="A27" s="252" t="s">
        <v>785</v>
      </c>
      <c r="B27" s="420" t="s">
        <v>1150</v>
      </c>
      <c r="C27" s="228">
        <v>586701</v>
      </c>
      <c r="D27" s="423">
        <v>601000761</v>
      </c>
      <c r="E27" s="438" t="s">
        <v>569</v>
      </c>
      <c r="F27" s="439"/>
      <c r="G27" s="431"/>
      <c r="H27" s="431"/>
      <c r="I27" s="431"/>
      <c r="J27" s="437"/>
      <c r="K27" s="431"/>
      <c r="L27" s="430"/>
      <c r="M27" s="430"/>
    </row>
    <row r="28" spans="1:13" ht="27" customHeight="1" x14ac:dyDescent="0.25">
      <c r="A28" s="232" t="s">
        <v>785</v>
      </c>
      <c r="B28" s="420" t="s">
        <v>1150</v>
      </c>
      <c r="C28" s="228">
        <v>586701</v>
      </c>
      <c r="D28" s="423">
        <v>601000761</v>
      </c>
      <c r="E28" s="438" t="s">
        <v>560</v>
      </c>
      <c r="F28" s="439"/>
      <c r="G28" s="431"/>
      <c r="H28" s="431"/>
      <c r="I28" s="431"/>
      <c r="J28" s="437"/>
      <c r="K28" s="431"/>
      <c r="L28" s="430"/>
      <c r="M28" s="430"/>
    </row>
    <row r="29" spans="1:13" ht="27" customHeight="1" x14ac:dyDescent="0.25">
      <c r="A29" s="232" t="s">
        <v>785</v>
      </c>
      <c r="B29" s="420" t="s">
        <v>1150</v>
      </c>
      <c r="C29" s="235">
        <v>586701</v>
      </c>
      <c r="D29" s="425">
        <v>601000761</v>
      </c>
      <c r="E29" s="447" t="s">
        <v>568</v>
      </c>
      <c r="F29" s="439"/>
      <c r="G29" s="431"/>
      <c r="H29" s="445"/>
      <c r="I29" s="445"/>
      <c r="J29" s="446"/>
      <c r="K29" s="445"/>
      <c r="L29" s="448"/>
      <c r="M29" s="448"/>
    </row>
    <row r="30" spans="1:13" s="227" customFormat="1" ht="27" customHeight="1" x14ac:dyDescent="0.25">
      <c r="A30" s="232" t="s">
        <v>785</v>
      </c>
      <c r="B30" s="420" t="s">
        <v>1150</v>
      </c>
      <c r="C30" s="449">
        <v>586701</v>
      </c>
      <c r="D30" s="448" t="s">
        <v>597</v>
      </c>
      <c r="E30" s="450" t="s">
        <v>598</v>
      </c>
      <c r="F30" s="439"/>
      <c r="G30" s="451"/>
      <c r="H30" s="448"/>
      <c r="I30" s="448"/>
      <c r="J30" s="448"/>
      <c r="K30" s="448"/>
      <c r="L30" s="448"/>
      <c r="M30" s="448"/>
    </row>
    <row r="31" spans="1:13" s="227" customFormat="1" ht="27" customHeight="1" x14ac:dyDescent="0.25">
      <c r="A31" s="229" t="s">
        <v>264</v>
      </c>
      <c r="B31" s="420" t="s">
        <v>1150</v>
      </c>
      <c r="C31" s="235">
        <v>587468</v>
      </c>
      <c r="D31" s="425">
        <v>634411097</v>
      </c>
      <c r="E31" s="450" t="s">
        <v>731</v>
      </c>
      <c r="F31" s="439"/>
      <c r="G31" s="451"/>
      <c r="H31" s="452"/>
      <c r="I31" s="448"/>
      <c r="J31" s="448"/>
      <c r="K31" s="448"/>
      <c r="L31" s="448"/>
      <c r="M31" s="448"/>
    </row>
    <row r="32" spans="1:13" s="227" customFormat="1" ht="27" customHeight="1" x14ac:dyDescent="0.25">
      <c r="A32" s="229" t="s">
        <v>264</v>
      </c>
      <c r="B32" s="420" t="s">
        <v>1150</v>
      </c>
      <c r="C32" s="235">
        <v>587468</v>
      </c>
      <c r="D32" s="425">
        <v>634411097</v>
      </c>
      <c r="E32" s="450" t="s">
        <v>732</v>
      </c>
      <c r="F32" s="439"/>
      <c r="G32" s="451"/>
      <c r="H32" s="452"/>
      <c r="I32" s="448"/>
      <c r="J32" s="448"/>
      <c r="K32" s="448"/>
      <c r="L32" s="448"/>
      <c r="M32" s="448"/>
    </row>
    <row r="33" spans="1:13" s="227" customFormat="1" ht="27" customHeight="1" x14ac:dyDescent="0.25">
      <c r="A33" s="229" t="s">
        <v>264</v>
      </c>
      <c r="B33" s="420" t="s">
        <v>1150</v>
      </c>
      <c r="C33" s="235">
        <v>587468</v>
      </c>
      <c r="D33" s="425">
        <v>634411097</v>
      </c>
      <c r="E33" s="450" t="s">
        <v>733</v>
      </c>
      <c r="F33" s="439"/>
      <c r="G33" s="451"/>
      <c r="H33" s="448"/>
      <c r="I33" s="448"/>
      <c r="J33" s="448"/>
      <c r="K33" s="448"/>
      <c r="L33" s="448"/>
      <c r="M33" s="448"/>
    </row>
    <row r="34" spans="1:13" s="227" customFormat="1" ht="27" customHeight="1" x14ac:dyDescent="0.25">
      <c r="A34" s="461" t="s">
        <v>1</v>
      </c>
      <c r="B34" s="420" t="s">
        <v>1150</v>
      </c>
      <c r="C34" s="235">
        <v>587468</v>
      </c>
      <c r="D34" s="425">
        <v>634411097</v>
      </c>
      <c r="E34" s="450" t="s">
        <v>734</v>
      </c>
      <c r="F34" s="439"/>
      <c r="G34" s="451"/>
      <c r="H34" s="448"/>
      <c r="I34" s="448"/>
      <c r="J34" s="448"/>
      <c r="K34" s="448"/>
      <c r="L34" s="448"/>
      <c r="M34" s="448"/>
    </row>
    <row r="35" spans="1:13" ht="27" customHeight="1" x14ac:dyDescent="0.25">
      <c r="A35" s="455" t="s">
        <v>1</v>
      </c>
      <c r="B35" s="420" t="s">
        <v>1150</v>
      </c>
      <c r="C35" s="228">
        <v>587468</v>
      </c>
      <c r="D35" s="423">
        <v>634411097</v>
      </c>
      <c r="E35" s="432" t="s">
        <v>735</v>
      </c>
      <c r="F35" s="439"/>
      <c r="G35" s="428"/>
      <c r="H35" s="430"/>
      <c r="I35" s="430"/>
      <c r="J35" s="430"/>
      <c r="K35" s="430"/>
      <c r="L35" s="430"/>
      <c r="M35" s="430"/>
    </row>
    <row r="36" spans="1:13" s="227" customFormat="1" ht="27" customHeight="1" x14ac:dyDescent="0.25">
      <c r="A36" s="455" t="s">
        <v>264</v>
      </c>
      <c r="B36" s="420" t="s">
        <v>1150</v>
      </c>
      <c r="C36" s="228">
        <v>587468</v>
      </c>
      <c r="D36" s="423">
        <v>634411097</v>
      </c>
      <c r="E36" s="432" t="s">
        <v>736</v>
      </c>
      <c r="F36" s="439"/>
      <c r="G36" s="453"/>
      <c r="H36" s="429"/>
      <c r="I36" s="430"/>
      <c r="J36" s="430"/>
      <c r="K36" s="430"/>
      <c r="L36" s="430"/>
      <c r="M36" s="430"/>
    </row>
    <row r="37" spans="1:13" s="227" customFormat="1" ht="27" customHeight="1" x14ac:dyDescent="0.25">
      <c r="A37" s="232" t="s">
        <v>722</v>
      </c>
      <c r="B37" s="420" t="s">
        <v>1150</v>
      </c>
      <c r="C37" s="228">
        <v>587468</v>
      </c>
      <c r="D37" s="423">
        <v>634411097</v>
      </c>
      <c r="E37" s="432" t="s">
        <v>737</v>
      </c>
      <c r="F37" s="439"/>
      <c r="G37" s="453"/>
      <c r="H37" s="430"/>
      <c r="I37" s="430"/>
      <c r="J37" s="430"/>
      <c r="K37" s="430"/>
      <c r="L37" s="430"/>
      <c r="M37" s="430"/>
    </row>
    <row r="38" spans="1:13" ht="27" customHeight="1" x14ac:dyDescent="0.25">
      <c r="A38" s="455" t="s">
        <v>782</v>
      </c>
      <c r="B38" s="420" t="s">
        <v>1150</v>
      </c>
      <c r="C38" s="454">
        <v>587120</v>
      </c>
      <c r="D38" s="454" t="s">
        <v>747</v>
      </c>
      <c r="E38" s="438" t="s">
        <v>745</v>
      </c>
      <c r="F38" s="439"/>
      <c r="G38" s="429"/>
      <c r="H38" s="430"/>
      <c r="I38" s="429"/>
      <c r="J38" s="430"/>
      <c r="K38" s="430"/>
      <c r="L38" s="430"/>
      <c r="M38" s="430"/>
    </row>
    <row r="39" spans="1:13" ht="27" customHeight="1" x14ac:dyDescent="0.25">
      <c r="A39" s="455" t="s">
        <v>688</v>
      </c>
      <c r="B39" s="420" t="s">
        <v>1150</v>
      </c>
      <c r="C39" s="454">
        <v>587304</v>
      </c>
      <c r="D39" s="454" t="s">
        <v>746</v>
      </c>
      <c r="E39" s="438" t="s">
        <v>745</v>
      </c>
      <c r="F39" s="433"/>
      <c r="G39" s="433"/>
      <c r="H39" s="429"/>
      <c r="I39" s="430"/>
      <c r="J39" s="430"/>
      <c r="K39" s="430"/>
      <c r="L39" s="430"/>
      <c r="M39" s="430"/>
    </row>
    <row r="40" spans="1:13" ht="27" customHeight="1" x14ac:dyDescent="0.25">
      <c r="A40" s="455" t="s">
        <v>684</v>
      </c>
      <c r="B40" s="420" t="s">
        <v>1150</v>
      </c>
      <c r="C40" s="454">
        <v>587121</v>
      </c>
      <c r="D40" s="454" t="s">
        <v>748</v>
      </c>
      <c r="E40" s="438" t="s">
        <v>745</v>
      </c>
      <c r="F40" s="433"/>
      <c r="G40" s="433"/>
      <c r="H40" s="429"/>
      <c r="I40" s="430"/>
      <c r="J40" s="430"/>
      <c r="K40" s="430"/>
      <c r="L40" s="430"/>
      <c r="M40" s="430"/>
    </row>
    <row r="41" spans="1:13" ht="27" customHeight="1" x14ac:dyDescent="0.25">
      <c r="A41" s="455" t="s">
        <v>711</v>
      </c>
      <c r="B41" s="420" t="s">
        <v>1150</v>
      </c>
      <c r="C41" s="430"/>
      <c r="D41" s="454" t="s">
        <v>749</v>
      </c>
      <c r="E41" s="438" t="s">
        <v>745</v>
      </c>
      <c r="F41" s="433"/>
      <c r="G41" s="433"/>
      <c r="H41" s="429"/>
      <c r="I41" s="430"/>
      <c r="J41" s="430"/>
      <c r="K41" s="430"/>
      <c r="L41" s="430"/>
      <c r="M41" s="430"/>
    </row>
    <row r="42" spans="1:13" ht="27" customHeight="1" x14ac:dyDescent="0.25">
      <c r="A42" s="455" t="s">
        <v>687</v>
      </c>
      <c r="B42" s="420" t="s">
        <v>1150</v>
      </c>
      <c r="C42" s="454">
        <v>587032</v>
      </c>
      <c r="D42" s="454" t="s">
        <v>750</v>
      </c>
      <c r="E42" s="438" t="s">
        <v>745</v>
      </c>
      <c r="F42" s="433"/>
      <c r="G42" s="433"/>
      <c r="H42" s="429"/>
      <c r="I42" s="430"/>
      <c r="J42" s="430"/>
      <c r="K42" s="430"/>
      <c r="L42" s="430"/>
      <c r="M42" s="430"/>
    </row>
    <row r="43" spans="1:13" ht="27" customHeight="1" x14ac:dyDescent="0.25">
      <c r="A43" s="455" t="s">
        <v>686</v>
      </c>
      <c r="B43" s="420" t="s">
        <v>1150</v>
      </c>
      <c r="C43" s="430"/>
      <c r="D43" s="430"/>
      <c r="E43" s="438" t="s">
        <v>745</v>
      </c>
      <c r="F43" s="433"/>
      <c r="G43" s="433"/>
      <c r="H43" s="429"/>
      <c r="I43" s="430"/>
      <c r="J43" s="430"/>
      <c r="K43" s="430"/>
      <c r="L43" s="430"/>
      <c r="M43" s="430"/>
    </row>
    <row r="44" spans="1:13" ht="27" customHeight="1" x14ac:dyDescent="0.25">
      <c r="A44" s="455" t="s">
        <v>744</v>
      </c>
      <c r="B44" s="420" t="s">
        <v>1150</v>
      </c>
      <c r="C44" s="454">
        <v>587121</v>
      </c>
      <c r="D44" s="454" t="s">
        <v>751</v>
      </c>
      <c r="E44" s="438" t="s">
        <v>745</v>
      </c>
      <c r="F44" s="433"/>
      <c r="G44" s="433"/>
      <c r="H44" s="429"/>
      <c r="I44" s="430"/>
      <c r="J44" s="430"/>
      <c r="K44" s="430"/>
      <c r="L44" s="430"/>
      <c r="M44" s="430"/>
    </row>
    <row r="45" spans="1:13" ht="27" customHeight="1" x14ac:dyDescent="0.25">
      <c r="A45" s="103"/>
      <c r="B45" s="420"/>
      <c r="C45" s="230"/>
      <c r="D45" s="230"/>
      <c r="E45" s="255"/>
      <c r="F45" s="254"/>
      <c r="G45" s="230"/>
      <c r="H45" s="230"/>
      <c r="I45" s="230"/>
      <c r="J45" s="230"/>
      <c r="K45" s="230"/>
      <c r="L45" s="230"/>
      <c r="M45" s="230"/>
    </row>
    <row r="46" spans="1:13" ht="27" customHeight="1" x14ac:dyDescent="0.25">
      <c r="A46" s="103"/>
      <c r="B46" s="420"/>
      <c r="C46" s="230"/>
      <c r="D46" s="230"/>
      <c r="E46" s="255"/>
      <c r="F46" s="254"/>
      <c r="G46" s="230"/>
      <c r="H46" s="230"/>
      <c r="I46" s="230"/>
      <c r="J46" s="230"/>
      <c r="K46" s="230"/>
      <c r="L46" s="230"/>
      <c r="M46" s="230"/>
    </row>
    <row r="47" spans="1:13" ht="27" customHeight="1" x14ac:dyDescent="0.25">
      <c r="A47" s="103"/>
      <c r="B47" s="420"/>
      <c r="C47" s="230"/>
      <c r="D47" s="230"/>
      <c r="E47" s="255"/>
      <c r="F47" s="254"/>
      <c r="G47" s="230"/>
      <c r="H47" s="230"/>
      <c r="I47" s="230"/>
      <c r="J47" s="230"/>
      <c r="K47" s="230"/>
      <c r="L47" s="230"/>
      <c r="M47" s="230"/>
    </row>
    <row r="48" spans="1:13" ht="27" customHeight="1" x14ac:dyDescent="0.25">
      <c r="A48" s="103"/>
      <c r="B48" s="420"/>
      <c r="C48" s="230"/>
      <c r="D48" s="230"/>
      <c r="E48" s="255"/>
      <c r="F48" s="254"/>
      <c r="G48" s="230"/>
      <c r="H48" s="230"/>
      <c r="I48" s="230"/>
      <c r="J48" s="230"/>
      <c r="K48" s="230"/>
      <c r="L48" s="230"/>
      <c r="M48" s="230"/>
    </row>
    <row r="49" spans="1:13" ht="27" customHeight="1" x14ac:dyDescent="0.25">
      <c r="A49" s="103"/>
      <c r="B49" s="420"/>
      <c r="C49" s="230"/>
      <c r="D49" s="230"/>
      <c r="E49" s="255"/>
      <c r="F49" s="254"/>
      <c r="G49" s="230"/>
      <c r="H49" s="230"/>
      <c r="I49" s="230"/>
      <c r="J49" s="230"/>
      <c r="K49" s="230"/>
      <c r="L49" s="230"/>
      <c r="M49" s="230"/>
    </row>
    <row r="50" spans="1:13" ht="27" customHeight="1" x14ac:dyDescent="0.25">
      <c r="A50" s="103"/>
      <c r="B50" s="420"/>
      <c r="C50" s="230"/>
      <c r="D50" s="230"/>
      <c r="E50" s="255"/>
      <c r="F50" s="254"/>
      <c r="G50" s="230"/>
      <c r="H50" s="230"/>
      <c r="I50" s="230"/>
      <c r="J50" s="230"/>
      <c r="K50" s="230"/>
      <c r="L50" s="230"/>
      <c r="M50" s="230"/>
    </row>
    <row r="51" spans="1:13" ht="27" customHeight="1" x14ac:dyDescent="0.25">
      <c r="A51" s="103"/>
      <c r="B51" s="420"/>
      <c r="C51" s="230"/>
      <c r="D51" s="230"/>
      <c r="E51" s="255"/>
      <c r="F51" s="254"/>
      <c r="G51" s="230"/>
      <c r="H51" s="230"/>
      <c r="I51" s="230"/>
      <c r="J51" s="230"/>
      <c r="K51" s="230"/>
      <c r="L51" s="230"/>
      <c r="M51" s="230"/>
    </row>
    <row r="52" spans="1:13" ht="27" customHeight="1" x14ac:dyDescent="0.25">
      <c r="A52" s="103"/>
      <c r="B52" s="420"/>
      <c r="C52" s="230"/>
      <c r="D52" s="230"/>
      <c r="E52" s="255"/>
      <c r="F52" s="254"/>
      <c r="G52" s="230"/>
      <c r="H52" s="230"/>
      <c r="I52" s="230"/>
      <c r="J52" s="230"/>
      <c r="K52" s="230"/>
      <c r="L52" s="230"/>
      <c r="M52" s="230"/>
    </row>
    <row r="53" spans="1:13" ht="27" customHeight="1" thickBot="1" x14ac:dyDescent="0.3">
      <c r="A53" s="256"/>
      <c r="B53" s="420"/>
      <c r="C53" s="257"/>
      <c r="D53" s="257"/>
      <c r="E53" s="258"/>
      <c r="F53" s="254"/>
      <c r="G53" s="230"/>
      <c r="H53" s="230"/>
      <c r="I53" s="230"/>
      <c r="J53" s="230"/>
      <c r="K53" s="230"/>
      <c r="L53" s="230"/>
      <c r="M53" s="230"/>
    </row>
  </sheetData>
  <autoFilter ref="A1:K44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53">
    <cfRule type="cellIs" dxfId="28" priority="17" stopIfTrue="1" operator="equal">
      <formula>"TER OUEST"</formula>
    </cfRule>
    <cfRule type="cellIs" dxfId="27" priority="18" stopIfTrue="1" operator="equal">
      <formula>"TER EST"</formula>
    </cfRule>
    <cfRule type="cellIs" dxfId="26" priority="19" stopIfTrue="1" operator="equal">
      <formula>"Siège"</formula>
    </cfRule>
  </conditionalFormatting>
  <dataValidations count="1">
    <dataValidation type="list" allowBlank="1" showInputMessage="1" showErrorMessage="1" sqref="B2:B53">
      <formula1>UO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F10" sqref="F10"/>
    </sheetView>
  </sheetViews>
  <sheetFormatPr baseColWidth="10" defaultRowHeight="26.1" customHeight="1" x14ac:dyDescent="0.25"/>
  <cols>
    <col min="1" max="1" width="5.7109375" style="65" customWidth="1"/>
    <col min="2" max="2" width="5.7109375" style="68" customWidth="1"/>
    <col min="3" max="3" width="41.28515625" style="63" customWidth="1"/>
    <col min="4" max="15" width="8" style="65" customWidth="1"/>
    <col min="16" max="16" width="23.140625" style="371" customWidth="1"/>
    <col min="17" max="17" width="18.28515625" style="63" customWidth="1"/>
    <col min="18" max="18" width="18" style="63" customWidth="1"/>
    <col min="19" max="19" width="23.7109375" style="63" customWidth="1"/>
    <col min="20" max="16384" width="11.42578125" style="63"/>
  </cols>
  <sheetData>
    <row r="1" spans="1:20" ht="9" customHeight="1" x14ac:dyDescent="0.25">
      <c r="E1" s="84"/>
      <c r="F1" s="85"/>
      <c r="G1" s="85"/>
      <c r="H1" s="85"/>
      <c r="I1" s="86"/>
      <c r="J1" s="84"/>
    </row>
    <row r="2" spans="1:20" ht="42" customHeight="1" thickBot="1" x14ac:dyDescent="0.3">
      <c r="A2" s="553" t="s">
        <v>278</v>
      </c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79" t="s">
        <v>290</v>
      </c>
    </row>
    <row r="3" spans="1:20" ht="45" customHeight="1" thickBot="1" x14ac:dyDescent="0.3">
      <c r="C3" s="111" t="s">
        <v>739</v>
      </c>
      <c r="M3" s="69"/>
    </row>
    <row r="4" spans="1:20" ht="39" customHeight="1" x14ac:dyDescent="0.25">
      <c r="A4" s="64">
        <v>1</v>
      </c>
      <c r="B4" s="551" t="s">
        <v>789</v>
      </c>
      <c r="C4" s="552"/>
      <c r="D4" s="64" t="s">
        <v>279</v>
      </c>
      <c r="E4" s="64" t="s">
        <v>280</v>
      </c>
      <c r="F4" s="64" t="s">
        <v>281</v>
      </c>
      <c r="G4" s="64" t="s">
        <v>282</v>
      </c>
      <c r="H4" s="64" t="s">
        <v>281</v>
      </c>
      <c r="I4" s="64" t="s">
        <v>279</v>
      </c>
      <c r="J4" s="64" t="s">
        <v>279</v>
      </c>
      <c r="K4" s="64" t="s">
        <v>282</v>
      </c>
      <c r="L4" s="64" t="s">
        <v>283</v>
      </c>
      <c r="M4" s="64" t="s">
        <v>284</v>
      </c>
      <c r="N4" s="64" t="s">
        <v>285</v>
      </c>
      <c r="O4" s="64" t="s">
        <v>286</v>
      </c>
      <c r="P4" s="372"/>
      <c r="Q4" s="108" t="s">
        <v>573</v>
      </c>
      <c r="R4" s="109" t="s">
        <v>574</v>
      </c>
      <c r="S4" s="110" t="s">
        <v>545</v>
      </c>
    </row>
    <row r="5" spans="1:20" ht="99" customHeight="1" x14ac:dyDescent="0.25">
      <c r="B5" s="66" t="s">
        <v>287</v>
      </c>
      <c r="C5" s="362" t="s">
        <v>793</v>
      </c>
      <c r="D5" s="557" t="s">
        <v>825</v>
      </c>
      <c r="E5" s="558"/>
      <c r="F5" s="558"/>
      <c r="G5" s="558"/>
      <c r="H5" s="558"/>
      <c r="I5" s="558"/>
      <c r="J5" s="558"/>
      <c r="K5" s="559"/>
      <c r="L5" s="303"/>
      <c r="M5" s="303"/>
      <c r="N5" s="303"/>
      <c r="O5" s="303"/>
      <c r="P5" s="370" t="s">
        <v>276</v>
      </c>
      <c r="Q5" s="156" t="s">
        <v>823</v>
      </c>
      <c r="R5" s="156" t="s">
        <v>794</v>
      </c>
      <c r="S5" s="156" t="s">
        <v>824</v>
      </c>
    </row>
    <row r="6" spans="1:20" ht="117.75" customHeight="1" x14ac:dyDescent="0.25">
      <c r="B6" s="66" t="s">
        <v>288</v>
      </c>
      <c r="C6" s="296" t="s">
        <v>795</v>
      </c>
      <c r="D6" s="302"/>
      <c r="E6" s="302"/>
      <c r="F6" s="302"/>
      <c r="G6" s="302"/>
      <c r="H6" s="303"/>
      <c r="I6" s="303"/>
      <c r="J6" s="303"/>
      <c r="K6" s="303"/>
      <c r="L6" s="303"/>
      <c r="M6" s="304"/>
      <c r="N6" s="303"/>
      <c r="O6" s="303"/>
      <c r="P6" s="370" t="s">
        <v>275</v>
      </c>
      <c r="Q6" s="156"/>
      <c r="R6" s="156"/>
      <c r="S6" s="156"/>
    </row>
    <row r="7" spans="1:20" ht="57" customHeight="1" thickBot="1" x14ac:dyDescent="0.25">
      <c r="A7" s="69"/>
      <c r="B7" s="82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373"/>
      <c r="Q7" s="106"/>
      <c r="R7" s="106"/>
      <c r="S7" s="106"/>
    </row>
    <row r="8" spans="1:20" ht="42" customHeight="1" x14ac:dyDescent="0.25">
      <c r="A8" s="64">
        <v>2</v>
      </c>
      <c r="B8" s="551" t="s">
        <v>790</v>
      </c>
      <c r="C8" s="552"/>
      <c r="D8" s="64" t="s">
        <v>279</v>
      </c>
      <c r="E8" s="64" t="s">
        <v>280</v>
      </c>
      <c r="F8" s="64" t="s">
        <v>281</v>
      </c>
      <c r="G8" s="64" t="s">
        <v>282</v>
      </c>
      <c r="H8" s="64" t="s">
        <v>281</v>
      </c>
      <c r="I8" s="64" t="s">
        <v>279</v>
      </c>
      <c r="J8" s="64" t="s">
        <v>279</v>
      </c>
      <c r="K8" s="64" t="s">
        <v>282</v>
      </c>
      <c r="L8" s="64" t="s">
        <v>283</v>
      </c>
      <c r="M8" s="64" t="s">
        <v>284</v>
      </c>
      <c r="N8" s="64" t="s">
        <v>285</v>
      </c>
      <c r="O8" s="64" t="s">
        <v>286</v>
      </c>
      <c r="P8" s="372"/>
      <c r="Q8" s="104" t="s">
        <v>573</v>
      </c>
      <c r="R8" s="105" t="s">
        <v>574</v>
      </c>
      <c r="S8" s="110" t="s">
        <v>545</v>
      </c>
    </row>
    <row r="9" spans="1:20" ht="87.75" customHeight="1" x14ac:dyDescent="0.25">
      <c r="B9" s="66" t="s">
        <v>287</v>
      </c>
      <c r="C9" s="154" t="s">
        <v>796</v>
      </c>
      <c r="D9" s="563" t="s">
        <v>836</v>
      </c>
      <c r="E9" s="564"/>
      <c r="F9" s="564"/>
      <c r="G9" s="564"/>
      <c r="H9" s="564"/>
      <c r="I9" s="564"/>
      <c r="J9" s="564"/>
      <c r="K9" s="564"/>
      <c r="L9" s="547"/>
      <c r="M9" s="548"/>
      <c r="N9" s="305"/>
      <c r="O9" s="305"/>
      <c r="P9" s="370">
        <v>0.8</v>
      </c>
      <c r="Q9" s="157" t="s">
        <v>797</v>
      </c>
      <c r="R9" s="157" t="s">
        <v>741</v>
      </c>
      <c r="S9" s="157"/>
    </row>
    <row r="10" spans="1:20" ht="104.25" customHeight="1" x14ac:dyDescent="0.25">
      <c r="B10" s="66" t="s">
        <v>288</v>
      </c>
      <c r="C10" s="154" t="s">
        <v>798</v>
      </c>
      <c r="D10" s="363"/>
      <c r="E10" s="364"/>
      <c r="F10" s="364"/>
      <c r="G10" s="364"/>
      <c r="H10" s="306"/>
      <c r="I10" s="306"/>
      <c r="J10" s="306"/>
      <c r="K10" s="306"/>
      <c r="L10" s="306"/>
      <c r="M10" s="307"/>
      <c r="N10" s="307"/>
      <c r="O10" s="313"/>
      <c r="P10" s="370">
        <v>0.2</v>
      </c>
      <c r="Q10" s="157" t="s">
        <v>800</v>
      </c>
      <c r="R10" s="299" t="s">
        <v>743</v>
      </c>
      <c r="S10" s="157"/>
    </row>
    <row r="11" spans="1:20" ht="84" customHeight="1" x14ac:dyDescent="0.25">
      <c r="B11" s="66" t="s">
        <v>289</v>
      </c>
      <c r="C11" s="154" t="s">
        <v>799</v>
      </c>
      <c r="D11" s="560" t="s">
        <v>837</v>
      </c>
      <c r="E11" s="561"/>
      <c r="F11" s="561"/>
      <c r="G11" s="561"/>
      <c r="H11" s="561"/>
      <c r="I11" s="561"/>
      <c r="J11" s="561"/>
      <c r="K11" s="562"/>
      <c r="L11" s="306"/>
      <c r="M11" s="313"/>
      <c r="N11" s="313"/>
      <c r="O11" s="313"/>
      <c r="P11" s="370" t="s">
        <v>276</v>
      </c>
      <c r="Q11" s="157"/>
      <c r="R11" s="299"/>
      <c r="S11" s="157"/>
    </row>
    <row r="12" spans="1:20" ht="63.75" customHeight="1" x14ac:dyDescent="0.25">
      <c r="B12" s="365" t="s">
        <v>4</v>
      </c>
      <c r="C12" s="154" t="s">
        <v>801</v>
      </c>
      <c r="D12" s="566" t="s">
        <v>842</v>
      </c>
      <c r="E12" s="567"/>
      <c r="F12" s="567"/>
      <c r="G12" s="567"/>
      <c r="H12" s="567"/>
      <c r="I12" s="567"/>
      <c r="J12" s="567"/>
      <c r="K12" s="567"/>
      <c r="L12" s="567"/>
      <c r="M12" s="567"/>
      <c r="N12" s="568"/>
      <c r="O12" s="313"/>
      <c r="P12" s="370">
        <v>0.8</v>
      </c>
      <c r="Q12" s="157"/>
      <c r="R12" s="299" t="s">
        <v>743</v>
      </c>
      <c r="S12" s="157"/>
    </row>
    <row r="13" spans="1:20" ht="84.75" customHeight="1" x14ac:dyDescent="0.25">
      <c r="B13" s="365" t="s">
        <v>5</v>
      </c>
      <c r="C13" s="154" t="s">
        <v>802</v>
      </c>
      <c r="D13" s="313"/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3"/>
      <c r="P13" s="370" t="s">
        <v>275</v>
      </c>
      <c r="Q13" s="157"/>
      <c r="R13" s="299"/>
      <c r="S13" s="157"/>
    </row>
    <row r="14" spans="1:20" ht="102" customHeight="1" x14ac:dyDescent="0.25">
      <c r="B14" s="366" t="s">
        <v>803</v>
      </c>
      <c r="C14" s="154" t="s">
        <v>805</v>
      </c>
      <c r="D14" s="554" t="s">
        <v>827</v>
      </c>
      <c r="E14" s="555"/>
      <c r="F14" s="555"/>
      <c r="G14" s="556"/>
      <c r="H14" s="306"/>
      <c r="I14" s="306"/>
      <c r="J14" s="306"/>
      <c r="K14" s="306"/>
      <c r="L14" s="306"/>
      <c r="M14" s="307"/>
      <c r="N14" s="307"/>
      <c r="O14" s="313"/>
      <c r="P14" s="370">
        <v>0.5</v>
      </c>
      <c r="Q14" s="157" t="s">
        <v>809</v>
      </c>
      <c r="R14" s="299" t="s">
        <v>808</v>
      </c>
      <c r="S14" s="157" t="s">
        <v>841</v>
      </c>
    </row>
    <row r="15" spans="1:20" ht="90" customHeight="1" x14ac:dyDescent="0.25">
      <c r="B15" s="366" t="s">
        <v>804</v>
      </c>
      <c r="C15" s="154" t="s">
        <v>806</v>
      </c>
      <c r="D15" s="560" t="s">
        <v>846</v>
      </c>
      <c r="E15" s="561"/>
      <c r="F15" s="561"/>
      <c r="G15" s="561"/>
      <c r="H15" s="561"/>
      <c r="I15" s="561"/>
      <c r="J15" s="561"/>
      <c r="K15" s="561"/>
      <c r="L15" s="569"/>
      <c r="M15" s="570"/>
      <c r="N15" s="379"/>
      <c r="O15" s="313"/>
      <c r="P15" s="370">
        <v>0.8</v>
      </c>
      <c r="Q15" s="157" t="s">
        <v>807</v>
      </c>
      <c r="R15" s="157" t="s">
        <v>740</v>
      </c>
      <c r="S15" s="157"/>
    </row>
    <row r="16" spans="1:20" ht="81" customHeight="1" thickBot="1" x14ac:dyDescent="0.3">
      <c r="B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374"/>
      <c r="T16" s="87"/>
    </row>
    <row r="17" spans="1:19" ht="51.75" customHeight="1" x14ac:dyDescent="0.25">
      <c r="A17" s="64">
        <v>3</v>
      </c>
      <c r="B17" s="551" t="s">
        <v>791</v>
      </c>
      <c r="C17" s="552"/>
      <c r="D17" s="64" t="s">
        <v>279</v>
      </c>
      <c r="E17" s="64" t="s">
        <v>280</v>
      </c>
      <c r="F17" s="64" t="s">
        <v>281</v>
      </c>
      <c r="G17" s="64" t="s">
        <v>282</v>
      </c>
      <c r="H17" s="64" t="s">
        <v>281</v>
      </c>
      <c r="I17" s="64" t="s">
        <v>279</v>
      </c>
      <c r="J17" s="64" t="s">
        <v>279</v>
      </c>
      <c r="K17" s="64" t="s">
        <v>282</v>
      </c>
      <c r="L17" s="64" t="s">
        <v>283</v>
      </c>
      <c r="M17" s="64" t="s">
        <v>284</v>
      </c>
      <c r="N17" s="64" t="s">
        <v>285</v>
      </c>
      <c r="O17" s="64" t="s">
        <v>286</v>
      </c>
      <c r="P17" s="375"/>
      <c r="Q17" s="104" t="s">
        <v>573</v>
      </c>
      <c r="R17" s="105" t="s">
        <v>574</v>
      </c>
      <c r="S17" s="110" t="s">
        <v>545</v>
      </c>
    </row>
    <row r="18" spans="1:19" ht="68.25" customHeight="1" x14ac:dyDescent="0.25">
      <c r="B18" s="66" t="s">
        <v>287</v>
      </c>
      <c r="C18" s="154" t="s">
        <v>811</v>
      </c>
      <c r="D18" s="542"/>
      <c r="E18" s="543"/>
      <c r="F18" s="543"/>
      <c r="G18" s="543"/>
      <c r="H18" s="543"/>
      <c r="I18" s="543"/>
      <c r="J18" s="543"/>
      <c r="K18" s="544"/>
      <c r="L18" s="155"/>
      <c r="M18" s="155"/>
      <c r="N18" s="155"/>
      <c r="O18" s="155"/>
      <c r="P18" s="370" t="s">
        <v>276</v>
      </c>
      <c r="Q18" s="157" t="s">
        <v>572</v>
      </c>
      <c r="R18" s="157" t="s">
        <v>813</v>
      </c>
      <c r="S18" s="157"/>
    </row>
    <row r="19" spans="1:19" ht="59.25" customHeight="1" x14ac:dyDescent="0.25">
      <c r="B19" s="66" t="s">
        <v>288</v>
      </c>
      <c r="C19" s="154" t="s">
        <v>812</v>
      </c>
      <c r="D19" s="312"/>
      <c r="E19" s="312"/>
      <c r="F19" s="312"/>
      <c r="G19" s="312"/>
      <c r="H19" s="297"/>
      <c r="I19" s="297"/>
      <c r="J19" s="297"/>
      <c r="K19" s="565" t="s">
        <v>844</v>
      </c>
      <c r="L19" s="547"/>
      <c r="M19" s="548"/>
      <c r="N19" s="297"/>
      <c r="O19" s="298"/>
      <c r="P19" s="370">
        <v>0.2</v>
      </c>
      <c r="Q19" s="157" t="s">
        <v>572</v>
      </c>
      <c r="R19" s="157" t="s">
        <v>813</v>
      </c>
      <c r="S19" s="157"/>
    </row>
    <row r="20" spans="1:19" ht="57" customHeight="1" x14ac:dyDescent="0.25">
      <c r="B20" s="66" t="s">
        <v>289</v>
      </c>
      <c r="C20" s="154" t="s">
        <v>810</v>
      </c>
      <c r="D20" s="297" t="s">
        <v>815</v>
      </c>
      <c r="E20" s="298"/>
      <c r="F20" s="298"/>
      <c r="G20" s="298"/>
      <c r="H20" s="298"/>
      <c r="I20" s="298"/>
      <c r="J20" s="298"/>
      <c r="K20" s="298"/>
      <c r="L20" s="298"/>
      <c r="M20" s="298"/>
      <c r="N20" s="298"/>
      <c r="O20" s="298"/>
      <c r="P20" s="370">
        <v>0.2</v>
      </c>
      <c r="Q20" s="157" t="s">
        <v>572</v>
      </c>
      <c r="R20" s="157" t="s">
        <v>814</v>
      </c>
      <c r="S20" s="157"/>
    </row>
    <row r="21" spans="1:19" ht="48" customHeight="1" thickBot="1" x14ac:dyDescent="0.3">
      <c r="B21" s="83"/>
      <c r="C21" s="99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373"/>
      <c r="Q21" s="107"/>
      <c r="R21" s="106"/>
      <c r="S21" s="106"/>
    </row>
    <row r="22" spans="1:19" ht="48.75" customHeight="1" x14ac:dyDescent="0.25">
      <c r="A22" s="64">
        <v>4</v>
      </c>
      <c r="B22" s="551" t="s">
        <v>792</v>
      </c>
      <c r="C22" s="552"/>
      <c r="D22" s="64" t="s">
        <v>279</v>
      </c>
      <c r="E22" s="64" t="s">
        <v>280</v>
      </c>
      <c r="F22" s="64" t="s">
        <v>281</v>
      </c>
      <c r="G22" s="64" t="s">
        <v>282</v>
      </c>
      <c r="H22" s="64" t="s">
        <v>281</v>
      </c>
      <c r="I22" s="64" t="s">
        <v>279</v>
      </c>
      <c r="J22" s="64" t="s">
        <v>279</v>
      </c>
      <c r="K22" s="64" t="s">
        <v>282</v>
      </c>
      <c r="L22" s="64" t="s">
        <v>283</v>
      </c>
      <c r="M22" s="64" t="s">
        <v>284</v>
      </c>
      <c r="N22" s="64" t="s">
        <v>285</v>
      </c>
      <c r="O22" s="64" t="s">
        <v>286</v>
      </c>
      <c r="P22" s="375"/>
      <c r="Q22" s="104" t="s">
        <v>573</v>
      </c>
      <c r="R22" s="105" t="s">
        <v>574</v>
      </c>
      <c r="S22" s="110" t="s">
        <v>545</v>
      </c>
    </row>
    <row r="23" spans="1:19" ht="93.75" customHeight="1" x14ac:dyDescent="0.25">
      <c r="B23" s="66" t="s">
        <v>287</v>
      </c>
      <c r="C23" s="154" t="s">
        <v>816</v>
      </c>
      <c r="D23" s="545" t="s">
        <v>847</v>
      </c>
      <c r="E23" s="546"/>
      <c r="F23" s="546"/>
      <c r="G23" s="546"/>
      <c r="H23" s="546"/>
      <c r="I23" s="546"/>
      <c r="J23" s="546"/>
      <c r="K23" s="546"/>
      <c r="L23" s="547"/>
      <c r="M23" s="548"/>
      <c r="N23" s="308"/>
      <c r="O23" s="305"/>
      <c r="P23" s="370">
        <v>0.8</v>
      </c>
      <c r="Q23" s="157" t="s">
        <v>843</v>
      </c>
      <c r="R23" s="157" t="s">
        <v>817</v>
      </c>
      <c r="S23" s="157"/>
    </row>
    <row r="24" spans="1:19" ht="54.75" customHeight="1" x14ac:dyDescent="0.25">
      <c r="B24" s="66" t="s">
        <v>288</v>
      </c>
      <c r="C24" s="154" t="s">
        <v>818</v>
      </c>
      <c r="D24" s="563" t="s">
        <v>845</v>
      </c>
      <c r="E24" s="571"/>
      <c r="F24" s="571"/>
      <c r="G24" s="571"/>
      <c r="H24" s="547"/>
      <c r="I24" s="547"/>
      <c r="J24" s="547"/>
      <c r="K24" s="547"/>
      <c r="L24" s="547"/>
      <c r="M24" s="548"/>
      <c r="N24" s="305"/>
      <c r="O24" s="305"/>
      <c r="P24" s="370">
        <v>0.2</v>
      </c>
      <c r="Q24" s="157" t="s">
        <v>742</v>
      </c>
      <c r="R24" s="299" t="s">
        <v>819</v>
      </c>
      <c r="S24" s="157"/>
    </row>
    <row r="25" spans="1:19" ht="63.75" customHeight="1" x14ac:dyDescent="0.25">
      <c r="B25" s="66" t="s">
        <v>289</v>
      </c>
      <c r="C25" s="367" t="s">
        <v>820</v>
      </c>
      <c r="D25" s="243"/>
      <c r="E25" s="244"/>
      <c r="F25" s="244"/>
      <c r="G25" s="244"/>
      <c r="H25" s="244"/>
      <c r="I25" s="244"/>
      <c r="J25" s="244"/>
      <c r="K25" s="244"/>
      <c r="L25" s="244"/>
      <c r="M25" s="244"/>
      <c r="N25" s="244"/>
      <c r="O25" s="244"/>
      <c r="P25" s="370" t="s">
        <v>275</v>
      </c>
      <c r="Q25" s="157" t="s">
        <v>822</v>
      </c>
      <c r="R25" s="157" t="s">
        <v>821</v>
      </c>
      <c r="S25" s="157"/>
    </row>
    <row r="26" spans="1:19" ht="47.25" customHeight="1" thickBot="1" x14ac:dyDescent="0.3">
      <c r="B26" s="83"/>
      <c r="C26" s="99"/>
      <c r="D26" s="81"/>
      <c r="E26" s="81"/>
      <c r="F26" s="81"/>
      <c r="G26" s="81"/>
      <c r="H26" s="100"/>
      <c r="I26" s="81"/>
      <c r="J26" s="81"/>
      <c r="K26" s="81"/>
      <c r="L26" s="81"/>
      <c r="M26" s="101"/>
      <c r="N26" s="81"/>
      <c r="O26" s="81"/>
      <c r="P26" s="373"/>
      <c r="Q26" s="107"/>
      <c r="R26" s="106"/>
      <c r="S26" s="106"/>
    </row>
    <row r="27" spans="1:19" ht="60.75" customHeight="1" x14ac:dyDescent="0.25">
      <c r="A27" s="64">
        <v>5</v>
      </c>
      <c r="B27" s="551"/>
      <c r="C27" s="552"/>
      <c r="D27" s="64" t="s">
        <v>279</v>
      </c>
      <c r="E27" s="64" t="s">
        <v>280</v>
      </c>
      <c r="F27" s="64" t="s">
        <v>281</v>
      </c>
      <c r="G27" s="64" t="s">
        <v>282</v>
      </c>
      <c r="H27" s="64" t="s">
        <v>281</v>
      </c>
      <c r="I27" s="64" t="s">
        <v>279</v>
      </c>
      <c r="J27" s="64" t="s">
        <v>279</v>
      </c>
      <c r="K27" s="64" t="s">
        <v>282</v>
      </c>
      <c r="L27" s="64" t="s">
        <v>283</v>
      </c>
      <c r="M27" s="64" t="s">
        <v>284</v>
      </c>
      <c r="N27" s="64" t="s">
        <v>285</v>
      </c>
      <c r="O27" s="64" t="s">
        <v>286</v>
      </c>
      <c r="P27" s="372"/>
      <c r="Q27" s="104" t="s">
        <v>573</v>
      </c>
      <c r="R27" s="105" t="s">
        <v>574</v>
      </c>
      <c r="S27" s="110" t="s">
        <v>545</v>
      </c>
    </row>
    <row r="29" spans="1:19" ht="26.1" customHeight="1" x14ac:dyDescent="0.25">
      <c r="G29" s="69"/>
      <c r="M29" s="549">
        <f>O29/15</f>
        <v>0.2</v>
      </c>
      <c r="N29" s="550"/>
      <c r="O29" s="67">
        <f>COUNTIF($P$5:$P$27, P29)</f>
        <v>3</v>
      </c>
      <c r="P29" s="376" t="s">
        <v>276</v>
      </c>
    </row>
    <row r="30" spans="1:19" ht="26.1" customHeight="1" x14ac:dyDescent="0.25">
      <c r="M30" s="549">
        <f>O30/15</f>
        <v>0.26666666666666666</v>
      </c>
      <c r="N30" s="550"/>
      <c r="O30" s="67">
        <f>COUNTIF($P$5:$P$27, P30)</f>
        <v>4</v>
      </c>
      <c r="P30" s="376">
        <v>0.2</v>
      </c>
    </row>
    <row r="31" spans="1:19" ht="26.1" customHeight="1" x14ac:dyDescent="0.25">
      <c r="M31" s="549">
        <f t="shared" ref="M31:M32" si="0">O31/15</f>
        <v>6.6666666666666666E-2</v>
      </c>
      <c r="N31" s="550"/>
      <c r="O31" s="67">
        <f t="shared" ref="O31:O32" si="1">COUNTIF($P$5:$P$27, P31)</f>
        <v>1</v>
      </c>
      <c r="P31" s="376">
        <v>0.5</v>
      </c>
    </row>
    <row r="32" spans="1:19" ht="26.1" customHeight="1" x14ac:dyDescent="0.25">
      <c r="M32" s="549">
        <f t="shared" si="0"/>
        <v>0.26666666666666666</v>
      </c>
      <c r="N32" s="550"/>
      <c r="O32" s="67">
        <f t="shared" si="1"/>
        <v>4</v>
      </c>
      <c r="P32" s="376">
        <v>0.8</v>
      </c>
    </row>
    <row r="33" spans="7:16" ht="26.1" customHeight="1" x14ac:dyDescent="0.25">
      <c r="G33" s="70"/>
      <c r="H33" s="70"/>
      <c r="M33" s="549">
        <f>O33/15</f>
        <v>0.2</v>
      </c>
      <c r="N33" s="550"/>
      <c r="O33" s="67">
        <f>COUNTIF($P$5:$P$27, P33)</f>
        <v>3</v>
      </c>
      <c r="P33" s="377" t="s">
        <v>275</v>
      </c>
    </row>
    <row r="34" spans="7:16" ht="26.1" customHeight="1" x14ac:dyDescent="0.25">
      <c r="G34" s="70"/>
      <c r="H34" s="70"/>
    </row>
    <row r="35" spans="7:16" ht="26.1" customHeight="1" x14ac:dyDescent="0.25">
      <c r="G35" s="70"/>
      <c r="H35" s="70"/>
    </row>
  </sheetData>
  <mergeCells count="21"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  <mergeCell ref="D18:K18"/>
    <mergeCell ref="D23:M23"/>
    <mergeCell ref="M33:N33"/>
    <mergeCell ref="M29:N29"/>
    <mergeCell ref="M30:N30"/>
  </mergeCells>
  <phoneticPr fontId="10" type="noConversion"/>
  <conditionalFormatting sqref="P27">
    <cfRule type="cellIs" dxfId="25" priority="17" stopIfTrue="1" operator="equal">
      <formula>"TERMINEE"</formula>
    </cfRule>
    <cfRule type="cellIs" dxfId="24" priority="18" stopIfTrue="1" operator="equal">
      <formula>"NON COMMENCEE"</formula>
    </cfRule>
  </conditionalFormatting>
  <conditionalFormatting sqref="P23">
    <cfRule type="cellIs" dxfId="23" priority="13" stopIfTrue="1" operator="equal">
      <formula>"TERMINEE"</formula>
    </cfRule>
    <cfRule type="cellIs" dxfId="22" priority="14" stopIfTrue="1" operator="equal">
      <formula>"NON COMMENCEE"</formula>
    </cfRule>
  </conditionalFormatting>
  <conditionalFormatting sqref="P11">
    <cfRule type="cellIs" dxfId="21" priority="5" stopIfTrue="1" operator="equal">
      <formula>"TERMINEE"</formula>
    </cfRule>
    <cfRule type="cellIs" dxfId="20" priority="6" stopIfTrue="1" operator="equal">
      <formula>"NON COMMENCEE"</formula>
    </cfRule>
  </conditionalFormatting>
  <conditionalFormatting sqref="P13">
    <cfRule type="cellIs" dxfId="19" priority="3" stopIfTrue="1" operator="equal">
      <formula>"TERMINEE"</formula>
    </cfRule>
    <cfRule type="cellIs" dxfId="18" priority="4" stopIfTrue="1" operator="equal">
      <formula>"NON COMMENCEE"</formula>
    </cfRule>
  </conditionalFormatting>
  <conditionalFormatting sqref="P5:P6 P9:P15 P18:P20 P23:P25 P29:P33">
    <cfRule type="cellIs" dxfId="17" priority="45" stopIfTrue="1" operator="equal">
      <formula>"TERMINEE"</formula>
    </cfRule>
    <cfRule type="cellIs" dxfId="16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zoomScale="90" zoomScaleNormal="90" workbookViewId="0">
      <selection activeCell="B39" sqref="B39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 x14ac:dyDescent="0.2">
      <c r="A1" s="262" t="s">
        <v>1191</v>
      </c>
      <c r="B1" s="410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302</v>
      </c>
      <c r="U1" s="15" t="s">
        <v>307</v>
      </c>
      <c r="V1" s="15" t="s">
        <v>320</v>
      </c>
      <c r="W1" s="15" t="s">
        <v>339</v>
      </c>
      <c r="X1" s="15" t="s">
        <v>343</v>
      </c>
      <c r="Y1" s="15" t="s">
        <v>346</v>
      </c>
      <c r="Z1" s="15" t="s">
        <v>352</v>
      </c>
      <c r="AA1" s="15" t="s">
        <v>373</v>
      </c>
      <c r="AB1" s="15" t="s">
        <v>383</v>
      </c>
      <c r="AC1" s="15" t="s">
        <v>399</v>
      </c>
    </row>
    <row r="2" spans="1:29" x14ac:dyDescent="0.2">
      <c r="A2" s="22" t="s">
        <v>1192</v>
      </c>
      <c r="B2" s="382" t="s">
        <v>1190</v>
      </c>
      <c r="C2" s="411" t="s">
        <v>1190</v>
      </c>
      <c r="D2" s="260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511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291</v>
      </c>
      <c r="T2" s="15" t="s">
        <v>304</v>
      </c>
      <c r="U2" s="15" t="s">
        <v>308</v>
      </c>
      <c r="V2" s="15" t="s">
        <v>321</v>
      </c>
      <c r="W2" s="15" t="s">
        <v>340</v>
      </c>
      <c r="X2" s="15" t="s">
        <v>344</v>
      </c>
      <c r="Y2" s="15" t="s">
        <v>351</v>
      </c>
      <c r="Z2" s="15" t="s">
        <v>353</v>
      </c>
      <c r="AA2" s="15" t="s">
        <v>374</v>
      </c>
      <c r="AB2" s="15" t="s">
        <v>384</v>
      </c>
      <c r="AC2" s="15" t="s">
        <v>400</v>
      </c>
    </row>
    <row r="3" spans="1:29" x14ac:dyDescent="0.2">
      <c r="A3" s="22" t="s">
        <v>1194</v>
      </c>
      <c r="B3" s="382" t="s">
        <v>1190</v>
      </c>
      <c r="C3" s="412" t="s">
        <v>1189</v>
      </c>
      <c r="D3" s="260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512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292</v>
      </c>
      <c r="T3" s="15" t="s">
        <v>305</v>
      </c>
      <c r="U3" s="15" t="s">
        <v>309</v>
      </c>
      <c r="V3" s="15" t="s">
        <v>322</v>
      </c>
      <c r="W3" s="15" t="s">
        <v>341</v>
      </c>
      <c r="X3" s="15" t="s">
        <v>62</v>
      </c>
      <c r="Y3" s="15" t="s">
        <v>347</v>
      </c>
      <c r="Z3" s="15" t="s">
        <v>354</v>
      </c>
      <c r="AA3" s="15" t="s">
        <v>375</v>
      </c>
      <c r="AB3" s="15" t="s">
        <v>385</v>
      </c>
    </row>
    <row r="4" spans="1:29" x14ac:dyDescent="0.2">
      <c r="A4" s="22" t="s">
        <v>1195</v>
      </c>
      <c r="B4" s="382" t="s">
        <v>1190</v>
      </c>
      <c r="C4" s="413" t="s">
        <v>270</v>
      </c>
      <c r="D4" s="261"/>
      <c r="E4" s="15" t="s">
        <v>761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513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293</v>
      </c>
      <c r="T4" s="15" t="s">
        <v>306</v>
      </c>
      <c r="U4" s="15" t="s">
        <v>310</v>
      </c>
      <c r="V4" s="15" t="s">
        <v>323</v>
      </c>
      <c r="W4" s="15" t="s">
        <v>62</v>
      </c>
      <c r="Y4" s="15" t="s">
        <v>348</v>
      </c>
      <c r="Z4" s="15" t="s">
        <v>355</v>
      </c>
      <c r="AA4" s="15" t="s">
        <v>30</v>
      </c>
      <c r="AB4" s="15" t="s">
        <v>386</v>
      </c>
    </row>
    <row r="5" spans="1:29" x14ac:dyDescent="0.2">
      <c r="A5" s="22" t="s">
        <v>1196</v>
      </c>
      <c r="B5" s="382" t="s">
        <v>1190</v>
      </c>
      <c r="C5" s="414" t="s">
        <v>1147</v>
      </c>
      <c r="E5" s="15" t="s">
        <v>47</v>
      </c>
      <c r="F5" s="15" t="s">
        <v>762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514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294</v>
      </c>
      <c r="T5" s="15" t="s">
        <v>62</v>
      </c>
      <c r="U5" s="15" t="s">
        <v>311</v>
      </c>
      <c r="V5" s="15" t="s">
        <v>324</v>
      </c>
      <c r="Y5" s="15" t="s">
        <v>349</v>
      </c>
      <c r="Z5" s="15" t="s">
        <v>356</v>
      </c>
      <c r="AA5" s="15" t="s">
        <v>376</v>
      </c>
      <c r="AB5" s="15" t="s">
        <v>387</v>
      </c>
    </row>
    <row r="6" spans="1:29" x14ac:dyDescent="0.2">
      <c r="A6" s="22" t="s">
        <v>1197</v>
      </c>
      <c r="B6" s="382" t="s">
        <v>1190</v>
      </c>
      <c r="C6" s="260" t="s">
        <v>1143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515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295</v>
      </c>
      <c r="U6" s="15" t="s">
        <v>312</v>
      </c>
      <c r="V6" s="15" t="s">
        <v>325</v>
      </c>
      <c r="Y6" s="15" t="s">
        <v>350</v>
      </c>
      <c r="Z6" s="15" t="s">
        <v>357</v>
      </c>
      <c r="AA6" s="15" t="s">
        <v>379</v>
      </c>
      <c r="AB6" s="15" t="s">
        <v>388</v>
      </c>
    </row>
    <row r="7" spans="1:29" x14ac:dyDescent="0.2">
      <c r="A7" s="477" t="s">
        <v>1198</v>
      </c>
      <c r="B7" s="382" t="s">
        <v>1190</v>
      </c>
      <c r="G7" s="15" t="s">
        <v>537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516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296</v>
      </c>
      <c r="U7" s="15" t="s">
        <v>313</v>
      </c>
      <c r="V7" s="15" t="s">
        <v>326</v>
      </c>
      <c r="Y7" s="15" t="s">
        <v>62</v>
      </c>
      <c r="Z7" s="15" t="s">
        <v>358</v>
      </c>
      <c r="AA7" s="15" t="s">
        <v>377</v>
      </c>
      <c r="AB7" s="15" t="s">
        <v>389</v>
      </c>
    </row>
    <row r="8" spans="1:29" x14ac:dyDescent="0.2">
      <c r="A8" s="477" t="s">
        <v>1199</v>
      </c>
      <c r="B8" s="382" t="s">
        <v>1190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517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297</v>
      </c>
      <c r="U8" s="15" t="s">
        <v>314</v>
      </c>
      <c r="V8" s="15" t="s">
        <v>327</v>
      </c>
      <c r="Z8" s="15" t="s">
        <v>359</v>
      </c>
      <c r="AA8" s="15" t="s">
        <v>378</v>
      </c>
      <c r="AB8" s="15" t="s">
        <v>390</v>
      </c>
    </row>
    <row r="9" spans="1:29" x14ac:dyDescent="0.2">
      <c r="A9" s="477" t="s">
        <v>1200</v>
      </c>
      <c r="B9" s="382" t="s">
        <v>1190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518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298</v>
      </c>
      <c r="U9" s="15" t="s">
        <v>315</v>
      </c>
      <c r="V9" s="15" t="s">
        <v>328</v>
      </c>
      <c r="Z9" s="15" t="s">
        <v>360</v>
      </c>
      <c r="AA9" s="15" t="s">
        <v>380</v>
      </c>
      <c r="AB9" s="15" t="s">
        <v>391</v>
      </c>
    </row>
    <row r="10" spans="1:29" x14ac:dyDescent="0.2">
      <c r="A10" s="477" t="s">
        <v>1201</v>
      </c>
      <c r="B10" s="382" t="s">
        <v>1190</v>
      </c>
      <c r="I10" s="15" t="s">
        <v>117</v>
      </c>
      <c r="J10" s="15" t="s">
        <v>63</v>
      </c>
      <c r="K10" s="15" t="s">
        <v>303</v>
      </c>
      <c r="L10" s="15" t="s">
        <v>43</v>
      </c>
      <c r="M10" s="15" t="s">
        <v>177</v>
      </c>
      <c r="N10" s="15" t="s">
        <v>519</v>
      </c>
      <c r="O10" s="15" t="s">
        <v>189</v>
      </c>
      <c r="P10" s="15" t="s">
        <v>204</v>
      </c>
      <c r="Q10" s="15" t="s">
        <v>213</v>
      </c>
      <c r="S10" s="15" t="s">
        <v>299</v>
      </c>
      <c r="U10" s="15" t="s">
        <v>316</v>
      </c>
      <c r="V10" s="15" t="s">
        <v>329</v>
      </c>
      <c r="Z10" s="15" t="s">
        <v>361</v>
      </c>
      <c r="AA10" s="15" t="s">
        <v>381</v>
      </c>
      <c r="AB10" s="15" t="s">
        <v>392</v>
      </c>
    </row>
    <row r="11" spans="1:29" x14ac:dyDescent="0.2">
      <c r="A11" s="477" t="s">
        <v>1202</v>
      </c>
      <c r="B11" s="382" t="s">
        <v>1190</v>
      </c>
      <c r="D11" s="47" t="s">
        <v>269</v>
      </c>
      <c r="F11" s="15" t="s">
        <v>724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520</v>
      </c>
      <c r="O11" s="15" t="s">
        <v>190</v>
      </c>
      <c r="P11" s="15" t="s">
        <v>197</v>
      </c>
      <c r="Q11" s="15" t="s">
        <v>215</v>
      </c>
      <c r="S11" s="15" t="s">
        <v>300</v>
      </c>
      <c r="U11" s="15" t="s">
        <v>317</v>
      </c>
      <c r="V11" s="15" t="s">
        <v>330</v>
      </c>
      <c r="Z11" s="15" t="s">
        <v>362</v>
      </c>
      <c r="AA11" s="15" t="s">
        <v>382</v>
      </c>
      <c r="AB11" s="15" t="s">
        <v>393</v>
      </c>
    </row>
    <row r="12" spans="1:29" x14ac:dyDescent="0.2">
      <c r="A12" s="477" t="s">
        <v>1203</v>
      </c>
      <c r="B12" s="382" t="s">
        <v>1190</v>
      </c>
      <c r="D12" s="47"/>
      <c r="E12" s="47" t="s">
        <v>268</v>
      </c>
      <c r="I12" s="15" t="s">
        <v>119</v>
      </c>
      <c r="J12" s="15" t="s">
        <v>41</v>
      </c>
      <c r="K12" s="15" t="s">
        <v>342</v>
      </c>
      <c r="L12" s="15" t="s">
        <v>155</v>
      </c>
      <c r="M12" s="15" t="s">
        <v>176</v>
      </c>
      <c r="N12" s="15" t="s">
        <v>521</v>
      </c>
      <c r="O12" s="15" t="s">
        <v>192</v>
      </c>
      <c r="P12" s="15" t="s">
        <v>62</v>
      </c>
      <c r="Q12" s="15" t="s">
        <v>216</v>
      </c>
      <c r="S12" s="15" t="s">
        <v>301</v>
      </c>
      <c r="U12" s="15" t="s">
        <v>318</v>
      </c>
      <c r="V12" s="15" t="s">
        <v>331</v>
      </c>
      <c r="Z12" s="15" t="s">
        <v>363</v>
      </c>
      <c r="AA12" s="15" t="s">
        <v>62</v>
      </c>
      <c r="AB12" s="15" t="s">
        <v>394</v>
      </c>
    </row>
    <row r="13" spans="1:29" x14ac:dyDescent="0.2">
      <c r="A13" s="477" t="s">
        <v>1204</v>
      </c>
      <c r="B13" s="382" t="s">
        <v>1190</v>
      </c>
      <c r="D13" s="47" t="s">
        <v>241</v>
      </c>
      <c r="E13" s="47"/>
      <c r="F13" s="15" t="s">
        <v>725</v>
      </c>
      <c r="I13" s="15" t="s">
        <v>120</v>
      </c>
      <c r="J13" s="15" t="s">
        <v>60</v>
      </c>
      <c r="K13" s="15" t="s">
        <v>345</v>
      </c>
      <c r="L13" s="15" t="s">
        <v>162</v>
      </c>
      <c r="M13" s="15" t="s">
        <v>178</v>
      </c>
      <c r="N13" s="15" t="s">
        <v>522</v>
      </c>
      <c r="O13" s="15" t="s">
        <v>193</v>
      </c>
      <c r="Q13" s="15" t="s">
        <v>217</v>
      </c>
      <c r="S13" s="15" t="s">
        <v>62</v>
      </c>
      <c r="U13" s="15" t="s">
        <v>319</v>
      </c>
      <c r="V13" s="15" t="s">
        <v>332</v>
      </c>
      <c r="Z13" s="15" t="s">
        <v>364</v>
      </c>
      <c r="AB13" s="15" t="s">
        <v>395</v>
      </c>
    </row>
    <row r="14" spans="1:29" x14ac:dyDescent="0.2">
      <c r="A14" s="477" t="s">
        <v>1205</v>
      </c>
      <c r="B14" s="382" t="s">
        <v>1190</v>
      </c>
      <c r="D14" s="47" t="s">
        <v>239</v>
      </c>
      <c r="E14" s="47" t="s">
        <v>253</v>
      </c>
      <c r="F14" s="15" t="s">
        <v>726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523</v>
      </c>
      <c r="Q14" s="15" t="s">
        <v>218</v>
      </c>
      <c r="U14" s="15" t="s">
        <v>62</v>
      </c>
      <c r="V14" s="15" t="s">
        <v>333</v>
      </c>
      <c r="Z14" s="15" t="s">
        <v>365</v>
      </c>
      <c r="AB14" s="15" t="s">
        <v>396</v>
      </c>
    </row>
    <row r="15" spans="1:29" x14ac:dyDescent="0.2">
      <c r="A15" s="22"/>
      <c r="B15" s="478" t="s">
        <v>1189</v>
      </c>
      <c r="D15" s="47" t="s">
        <v>240</v>
      </c>
      <c r="E15" s="47" t="s">
        <v>252</v>
      </c>
      <c r="F15" s="15" t="s">
        <v>727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524</v>
      </c>
      <c r="O15" s="15" t="s">
        <v>194</v>
      </c>
      <c r="Q15" s="15" t="s">
        <v>214</v>
      </c>
      <c r="V15" s="15" t="s">
        <v>334</v>
      </c>
      <c r="Z15" s="15" t="s">
        <v>366</v>
      </c>
      <c r="AB15" s="15" t="s">
        <v>397</v>
      </c>
    </row>
    <row r="16" spans="1:29" x14ac:dyDescent="0.2">
      <c r="A16" s="22"/>
      <c r="B16" s="478" t="s">
        <v>1189</v>
      </c>
      <c r="D16" s="47" t="s">
        <v>255</v>
      </c>
      <c r="E16" s="47" t="s">
        <v>251</v>
      </c>
      <c r="F16" s="15" t="s">
        <v>728</v>
      </c>
      <c r="J16" s="15" t="s">
        <v>67</v>
      </c>
      <c r="K16" s="16" t="s">
        <v>29</v>
      </c>
      <c r="M16" s="15" t="s">
        <v>165</v>
      </c>
      <c r="N16" s="15" t="s">
        <v>525</v>
      </c>
      <c r="O16" s="15" t="s">
        <v>72</v>
      </c>
      <c r="Q16" s="15" t="s">
        <v>219</v>
      </c>
      <c r="Z16" s="15" t="s">
        <v>367</v>
      </c>
      <c r="AB16" s="15" t="s">
        <v>398</v>
      </c>
    </row>
    <row r="17" spans="1:26" x14ac:dyDescent="0.2">
      <c r="A17" s="22"/>
      <c r="B17" s="478" t="s">
        <v>1189</v>
      </c>
      <c r="E17" s="47" t="s">
        <v>249</v>
      </c>
      <c r="F17" s="15" t="s">
        <v>738</v>
      </c>
      <c r="J17" s="15" t="s">
        <v>45</v>
      </c>
      <c r="K17" s="16" t="s">
        <v>39</v>
      </c>
      <c r="M17" s="15" t="s">
        <v>166</v>
      </c>
      <c r="N17" s="15" t="s">
        <v>526</v>
      </c>
      <c r="O17" s="15" t="s">
        <v>62</v>
      </c>
      <c r="Q17" s="15" t="s">
        <v>220</v>
      </c>
      <c r="V17" s="15" t="s">
        <v>335</v>
      </c>
      <c r="Z17" s="15" t="s">
        <v>368</v>
      </c>
    </row>
    <row r="18" spans="1:26" x14ac:dyDescent="0.2">
      <c r="A18" s="22"/>
      <c r="B18" s="478" t="s">
        <v>1189</v>
      </c>
      <c r="J18" s="15" t="s">
        <v>55</v>
      </c>
      <c r="K18" s="15" t="s">
        <v>401</v>
      </c>
      <c r="M18" s="15" t="s">
        <v>167</v>
      </c>
      <c r="N18" s="15" t="s">
        <v>527</v>
      </c>
      <c r="Q18" s="15" t="s">
        <v>62</v>
      </c>
      <c r="V18" s="15" t="s">
        <v>336</v>
      </c>
    </row>
    <row r="19" spans="1:26" x14ac:dyDescent="0.2">
      <c r="A19" s="22"/>
      <c r="B19" s="478" t="s">
        <v>1189</v>
      </c>
      <c r="J19" s="15" t="s">
        <v>58</v>
      </c>
      <c r="M19" s="15" t="s">
        <v>168</v>
      </c>
      <c r="N19" s="15" t="s">
        <v>528</v>
      </c>
      <c r="V19" s="15" t="s">
        <v>337</v>
      </c>
      <c r="Z19" s="15" t="s">
        <v>369</v>
      </c>
    </row>
    <row r="20" spans="1:26" x14ac:dyDescent="0.2">
      <c r="A20" s="22"/>
      <c r="B20" s="478" t="s">
        <v>1189</v>
      </c>
      <c r="G20" s="15" t="s">
        <v>754</v>
      </c>
      <c r="J20" s="15" t="s">
        <v>66</v>
      </c>
      <c r="M20" s="15" t="s">
        <v>181</v>
      </c>
      <c r="N20" s="15" t="s">
        <v>529</v>
      </c>
      <c r="V20" s="15" t="s">
        <v>338</v>
      </c>
      <c r="Z20" s="15" t="s">
        <v>370</v>
      </c>
    </row>
    <row r="21" spans="1:26" x14ac:dyDescent="0.2">
      <c r="A21" s="22" t="s">
        <v>1184</v>
      </c>
      <c r="B21" s="479" t="s">
        <v>270</v>
      </c>
      <c r="E21" s="15" t="s">
        <v>277</v>
      </c>
      <c r="G21" s="15" t="s">
        <v>241</v>
      </c>
      <c r="J21" s="15" t="s">
        <v>95</v>
      </c>
      <c r="M21" s="15" t="s">
        <v>62</v>
      </c>
      <c r="N21" s="15" t="s">
        <v>530</v>
      </c>
      <c r="V21" s="15" t="s">
        <v>62</v>
      </c>
      <c r="Z21" s="15" t="s">
        <v>371</v>
      </c>
    </row>
    <row r="22" spans="1:26" x14ac:dyDescent="0.2">
      <c r="A22" s="22" t="s">
        <v>1185</v>
      </c>
      <c r="B22" s="479" t="s">
        <v>270</v>
      </c>
      <c r="E22" s="15" t="s">
        <v>275</v>
      </c>
      <c r="G22" s="15" t="s">
        <v>239</v>
      </c>
    </row>
    <row r="23" spans="1:26" ht="14.25" x14ac:dyDescent="0.2">
      <c r="A23" s="22" t="s">
        <v>1186</v>
      </c>
      <c r="B23" s="479" t="s">
        <v>270</v>
      </c>
      <c r="E23" s="369">
        <v>0.2</v>
      </c>
      <c r="G23" s="309" t="s">
        <v>755</v>
      </c>
      <c r="I23" s="15" t="s">
        <v>1187</v>
      </c>
      <c r="J23" s="15" t="s">
        <v>59</v>
      </c>
      <c r="N23" s="15" t="s">
        <v>531</v>
      </c>
      <c r="Z23" s="15" t="s">
        <v>372</v>
      </c>
    </row>
    <row r="24" spans="1:26" x14ac:dyDescent="0.2">
      <c r="E24" s="369">
        <v>0.5</v>
      </c>
      <c r="I24" s="464">
        <v>43831</v>
      </c>
      <c r="J24" s="15" t="s">
        <v>76</v>
      </c>
      <c r="N24" s="15" t="s">
        <v>532</v>
      </c>
      <c r="Z24" s="15" t="s">
        <v>62</v>
      </c>
    </row>
    <row r="25" spans="1:26" x14ac:dyDescent="0.2">
      <c r="A25" s="409"/>
      <c r="B25" s="408"/>
      <c r="E25" s="369">
        <v>0.8</v>
      </c>
      <c r="I25" s="464">
        <v>43862</v>
      </c>
      <c r="J25" s="15" t="s">
        <v>96</v>
      </c>
      <c r="N25" s="15" t="s">
        <v>533</v>
      </c>
    </row>
    <row r="26" spans="1:26" x14ac:dyDescent="0.2">
      <c r="A26" s="409"/>
      <c r="B26" s="408"/>
      <c r="E26" s="15" t="s">
        <v>276</v>
      </c>
      <c r="I26" s="464">
        <v>43891</v>
      </c>
      <c r="J26" s="15" t="s">
        <v>34</v>
      </c>
      <c r="N26" s="15" t="s">
        <v>62</v>
      </c>
    </row>
    <row r="27" spans="1:26" x14ac:dyDescent="0.2">
      <c r="A27" s="409"/>
      <c r="B27" s="408"/>
      <c r="I27" s="464">
        <v>43922</v>
      </c>
    </row>
    <row r="28" spans="1:26" x14ac:dyDescent="0.2">
      <c r="A28" s="409"/>
      <c r="B28" s="408"/>
      <c r="I28" s="464">
        <v>43952</v>
      </c>
    </row>
    <row r="29" spans="1:26" x14ac:dyDescent="0.2">
      <c r="A29" s="409"/>
      <c r="B29" s="408"/>
      <c r="G29" s="15" t="s">
        <v>270</v>
      </c>
      <c r="I29" s="464">
        <v>43983</v>
      </c>
    </row>
    <row r="30" spans="1:26" x14ac:dyDescent="0.2">
      <c r="A30" s="259"/>
      <c r="B30" s="407"/>
      <c r="G30" s="71" t="s">
        <v>432</v>
      </c>
      <c r="I30" s="464">
        <v>44013</v>
      </c>
    </row>
    <row r="31" spans="1:26" x14ac:dyDescent="0.2">
      <c r="A31" s="259"/>
      <c r="B31" s="407"/>
      <c r="E31" s="15" t="s">
        <v>431</v>
      </c>
      <c r="G31" s="71" t="s">
        <v>433</v>
      </c>
      <c r="I31" s="464">
        <v>44044</v>
      </c>
      <c r="K31" s="123"/>
    </row>
    <row r="32" spans="1:26" x14ac:dyDescent="0.2">
      <c r="A32" s="409"/>
      <c r="B32" s="407"/>
      <c r="E32" s="15" t="s">
        <v>770</v>
      </c>
      <c r="G32" s="15" t="s">
        <v>434</v>
      </c>
      <c r="I32" s="464">
        <v>44075</v>
      </c>
    </row>
    <row r="33" spans="1:9" x14ac:dyDescent="0.2">
      <c r="A33" s="409"/>
      <c r="B33" s="407"/>
      <c r="E33" s="71" t="s">
        <v>402</v>
      </c>
      <c r="G33" s="15" t="s">
        <v>435</v>
      </c>
      <c r="I33" s="464">
        <v>44105</v>
      </c>
    </row>
    <row r="34" spans="1:9" x14ac:dyDescent="0.2">
      <c r="A34" s="409"/>
      <c r="B34" s="407"/>
      <c r="E34" s="71" t="s">
        <v>403</v>
      </c>
      <c r="G34" s="15" t="s">
        <v>436</v>
      </c>
      <c r="I34" s="464">
        <v>44136</v>
      </c>
    </row>
    <row r="35" spans="1:9" x14ac:dyDescent="0.2">
      <c r="A35" s="409"/>
      <c r="B35" s="407"/>
      <c r="E35" s="15" t="s">
        <v>404</v>
      </c>
      <c r="G35" s="15" t="s">
        <v>437</v>
      </c>
      <c r="I35" s="464">
        <v>44166</v>
      </c>
    </row>
    <row r="36" spans="1:9" x14ac:dyDescent="0.2">
      <c r="A36" s="409"/>
      <c r="B36" s="407"/>
      <c r="E36" s="15" t="s">
        <v>405</v>
      </c>
    </row>
    <row r="37" spans="1:9" x14ac:dyDescent="0.2">
      <c r="A37" s="409"/>
      <c r="B37" s="407"/>
      <c r="E37" s="15" t="s">
        <v>406</v>
      </c>
      <c r="G37" s="15" t="s">
        <v>438</v>
      </c>
    </row>
    <row r="38" spans="1:9" x14ac:dyDescent="0.2">
      <c r="A38" s="409"/>
      <c r="B38" s="407"/>
      <c r="E38" s="72" t="s">
        <v>407</v>
      </c>
      <c r="G38" s="15" t="s">
        <v>439</v>
      </c>
    </row>
    <row r="39" spans="1:9" x14ac:dyDescent="0.2">
      <c r="A39" s="409"/>
      <c r="B39" s="407"/>
      <c r="E39" s="73" t="s">
        <v>31</v>
      </c>
      <c r="G39" s="15" t="s">
        <v>440</v>
      </c>
    </row>
    <row r="40" spans="1:9" x14ac:dyDescent="0.2">
      <c r="A40" s="407"/>
      <c r="B40" s="407"/>
      <c r="E40" s="73" t="s">
        <v>408</v>
      </c>
    </row>
    <row r="41" spans="1:9" x14ac:dyDescent="0.2">
      <c r="A41" s="407"/>
      <c r="B41" s="407"/>
      <c r="E41" s="73" t="s">
        <v>409</v>
      </c>
      <c r="G41" s="15" t="s">
        <v>441</v>
      </c>
    </row>
    <row r="42" spans="1:9" x14ac:dyDescent="0.2">
      <c r="A42" s="407"/>
      <c r="B42" s="407"/>
      <c r="E42" s="73" t="s">
        <v>410</v>
      </c>
      <c r="G42" s="15" t="s">
        <v>442</v>
      </c>
    </row>
    <row r="43" spans="1:9" x14ac:dyDescent="0.2">
      <c r="A43" s="408"/>
      <c r="B43" s="408"/>
      <c r="E43" s="73" t="s">
        <v>411</v>
      </c>
      <c r="G43" s="15" t="s">
        <v>443</v>
      </c>
    </row>
    <row r="44" spans="1:9" x14ac:dyDescent="0.2">
      <c r="A44" s="408"/>
      <c r="B44" s="407"/>
      <c r="E44" s="73" t="s">
        <v>412</v>
      </c>
      <c r="G44" s="15" t="s">
        <v>444</v>
      </c>
    </row>
    <row r="45" spans="1:9" x14ac:dyDescent="0.2">
      <c r="E45" s="73" t="s">
        <v>413</v>
      </c>
      <c r="G45" s="15" t="s">
        <v>445</v>
      </c>
    </row>
    <row r="46" spans="1:9" x14ac:dyDescent="0.2">
      <c r="E46" s="73" t="s">
        <v>414</v>
      </c>
      <c r="G46" s="15" t="s">
        <v>446</v>
      </c>
    </row>
    <row r="47" spans="1:9" x14ac:dyDescent="0.2">
      <c r="E47" s="73" t="s">
        <v>415</v>
      </c>
      <c r="G47" s="15" t="s">
        <v>447</v>
      </c>
    </row>
    <row r="48" spans="1:9" x14ac:dyDescent="0.2">
      <c r="E48" s="73" t="s">
        <v>416</v>
      </c>
      <c r="G48" s="15" t="s">
        <v>448</v>
      </c>
    </row>
    <row r="49" spans="1:7" x14ac:dyDescent="0.2">
      <c r="E49" s="73" t="s">
        <v>417</v>
      </c>
      <c r="G49" s="15" t="s">
        <v>449</v>
      </c>
    </row>
    <row r="50" spans="1:7" x14ac:dyDescent="0.2">
      <c r="A50" s="22"/>
      <c r="B50" s="251"/>
      <c r="E50" s="73" t="s">
        <v>418</v>
      </c>
      <c r="G50" s="15" t="s">
        <v>450</v>
      </c>
    </row>
    <row r="51" spans="1:7" x14ac:dyDescent="0.2">
      <c r="A51" s="22"/>
      <c r="B51" s="251"/>
      <c r="E51" s="73" t="s">
        <v>419</v>
      </c>
      <c r="G51" s="15" t="s">
        <v>451</v>
      </c>
    </row>
    <row r="52" spans="1:7" x14ac:dyDescent="0.2">
      <c r="A52" s="22"/>
      <c r="B52" s="251"/>
      <c r="E52" s="73" t="s">
        <v>420</v>
      </c>
      <c r="G52" s="15" t="s">
        <v>452</v>
      </c>
    </row>
    <row r="53" spans="1:7" x14ac:dyDescent="0.2">
      <c r="A53" s="22"/>
      <c r="B53" s="251"/>
      <c r="E53" s="73" t="s">
        <v>421</v>
      </c>
      <c r="G53" s="15" t="s">
        <v>453</v>
      </c>
    </row>
    <row r="54" spans="1:7" x14ac:dyDescent="0.2">
      <c r="A54" s="22"/>
      <c r="B54" s="251"/>
      <c r="E54" s="73" t="s">
        <v>422</v>
      </c>
      <c r="G54" s="15" t="s">
        <v>454</v>
      </c>
    </row>
    <row r="55" spans="1:7" x14ac:dyDescent="0.2">
      <c r="A55" s="22"/>
      <c r="B55" s="251"/>
      <c r="E55" s="73" t="s">
        <v>423</v>
      </c>
    </row>
    <row r="56" spans="1:7" x14ac:dyDescent="0.2">
      <c r="A56" s="22"/>
      <c r="B56" s="251"/>
      <c r="E56" s="73" t="s">
        <v>424</v>
      </c>
      <c r="G56" s="15" t="s">
        <v>455</v>
      </c>
    </row>
    <row r="57" spans="1:7" x14ac:dyDescent="0.2">
      <c r="A57" s="22"/>
      <c r="B57" s="251"/>
      <c r="E57" s="73" t="s">
        <v>425</v>
      </c>
      <c r="G57" s="15" t="s">
        <v>32</v>
      </c>
    </row>
    <row r="58" spans="1:7" x14ac:dyDescent="0.2">
      <c r="A58" s="22"/>
      <c r="B58" s="251"/>
      <c r="E58" s="73" t="s">
        <v>426</v>
      </c>
      <c r="G58" s="15" t="s">
        <v>456</v>
      </c>
    </row>
    <row r="59" spans="1:7" x14ac:dyDescent="0.2">
      <c r="A59" s="22"/>
      <c r="B59" s="251"/>
      <c r="E59" s="73" t="s">
        <v>427</v>
      </c>
    </row>
    <row r="60" spans="1:7" x14ac:dyDescent="0.2">
      <c r="A60" s="22"/>
      <c r="B60" s="251"/>
      <c r="E60" s="73" t="s">
        <v>428</v>
      </c>
      <c r="G60" s="15" t="s">
        <v>457</v>
      </c>
    </row>
    <row r="61" spans="1:7" x14ac:dyDescent="0.2">
      <c r="A61" s="22"/>
      <c r="B61" s="251"/>
      <c r="E61" s="73" t="s">
        <v>429</v>
      </c>
      <c r="G61" s="15" t="s">
        <v>458</v>
      </c>
    </row>
    <row r="62" spans="1:7" x14ac:dyDescent="0.2">
      <c r="A62" s="22"/>
      <c r="B62" s="251"/>
      <c r="E62" s="73" t="s">
        <v>430</v>
      </c>
      <c r="G62" s="15" t="s">
        <v>459</v>
      </c>
    </row>
    <row r="63" spans="1:7" x14ac:dyDescent="0.2">
      <c r="A63" s="22"/>
      <c r="B63" s="251"/>
      <c r="G63" s="15" t="s">
        <v>460</v>
      </c>
    </row>
    <row r="64" spans="1:7" x14ac:dyDescent="0.2">
      <c r="A64" s="22"/>
      <c r="B64" s="251"/>
      <c r="G64" s="15" t="s">
        <v>461</v>
      </c>
    </row>
    <row r="65" spans="1:7" x14ac:dyDescent="0.2">
      <c r="A65" s="22"/>
      <c r="B65" s="251"/>
      <c r="G65" s="15" t="s">
        <v>462</v>
      </c>
    </row>
    <row r="66" spans="1:7" x14ac:dyDescent="0.2">
      <c r="G66" s="15" t="s">
        <v>463</v>
      </c>
    </row>
    <row r="67" spans="1:7" x14ac:dyDescent="0.2">
      <c r="G67" s="15" t="s">
        <v>464</v>
      </c>
    </row>
    <row r="68" spans="1:7" x14ac:dyDescent="0.2">
      <c r="G68" s="15" t="s">
        <v>465</v>
      </c>
    </row>
    <row r="69" spans="1:7" x14ac:dyDescent="0.2">
      <c r="G69" s="15" t="s">
        <v>466</v>
      </c>
    </row>
    <row r="70" spans="1:7" x14ac:dyDescent="0.2">
      <c r="G70" s="15" t="s">
        <v>467</v>
      </c>
    </row>
    <row r="71" spans="1:7" x14ac:dyDescent="0.2">
      <c r="G71" s="15" t="s">
        <v>468</v>
      </c>
    </row>
    <row r="72" spans="1:7" x14ac:dyDescent="0.2">
      <c r="G72" s="15" t="s">
        <v>469</v>
      </c>
    </row>
    <row r="73" spans="1:7" x14ac:dyDescent="0.2">
      <c r="G73" s="15" t="s">
        <v>470</v>
      </c>
    </row>
    <row r="74" spans="1:7" x14ac:dyDescent="0.2">
      <c r="G74" s="15" t="s">
        <v>471</v>
      </c>
    </row>
    <row r="76" spans="1:7" x14ac:dyDescent="0.2">
      <c r="G76" s="15" t="s">
        <v>472</v>
      </c>
    </row>
    <row r="77" spans="1:7" x14ac:dyDescent="0.2">
      <c r="G77" s="15" t="s">
        <v>473</v>
      </c>
    </row>
    <row r="78" spans="1:7" x14ac:dyDescent="0.2">
      <c r="G78" s="15" t="s">
        <v>474</v>
      </c>
    </row>
    <row r="79" spans="1:7" x14ac:dyDescent="0.2">
      <c r="G79" s="15" t="s">
        <v>475</v>
      </c>
    </row>
    <row r="81" spans="7:7" x14ac:dyDescent="0.2">
      <c r="G81" s="15" t="s">
        <v>476</v>
      </c>
    </row>
    <row r="82" spans="7:7" x14ac:dyDescent="0.2">
      <c r="G82" s="15" t="s">
        <v>477</v>
      </c>
    </row>
    <row r="83" spans="7:7" x14ac:dyDescent="0.2">
      <c r="G83" s="15" t="s">
        <v>478</v>
      </c>
    </row>
    <row r="84" spans="7:7" x14ac:dyDescent="0.2">
      <c r="G84" s="15" t="s">
        <v>479</v>
      </c>
    </row>
    <row r="85" spans="7:7" x14ac:dyDescent="0.2">
      <c r="G85" s="15" t="s">
        <v>480</v>
      </c>
    </row>
    <row r="86" spans="7:7" x14ac:dyDescent="0.2">
      <c r="G86" s="15" t="s">
        <v>481</v>
      </c>
    </row>
    <row r="87" spans="7:7" x14ac:dyDescent="0.2">
      <c r="G87" s="15" t="s">
        <v>482</v>
      </c>
    </row>
    <row r="88" spans="7:7" x14ac:dyDescent="0.2">
      <c r="G88" s="15" t="s">
        <v>483</v>
      </c>
    </row>
    <row r="89" spans="7:7" x14ac:dyDescent="0.2">
      <c r="G89" s="15" t="s">
        <v>484</v>
      </c>
    </row>
    <row r="90" spans="7:7" x14ac:dyDescent="0.2">
      <c r="G90" s="15" t="s">
        <v>485</v>
      </c>
    </row>
    <row r="91" spans="7:7" x14ac:dyDescent="0.2">
      <c r="G91" s="15" t="s">
        <v>486</v>
      </c>
    </row>
    <row r="92" spans="7:7" x14ac:dyDescent="0.2">
      <c r="G92" s="15" t="s">
        <v>487</v>
      </c>
    </row>
    <row r="93" spans="7:7" x14ac:dyDescent="0.2">
      <c r="G93" s="15" t="s">
        <v>488</v>
      </c>
    </row>
    <row r="94" spans="7:7" x14ac:dyDescent="0.2">
      <c r="G94" s="15" t="s">
        <v>489</v>
      </c>
    </row>
    <row r="95" spans="7:7" x14ac:dyDescent="0.2">
      <c r="G95" s="15" t="s">
        <v>490</v>
      </c>
    </row>
    <row r="97" spans="7:7" x14ac:dyDescent="0.2">
      <c r="G97" s="15" t="s">
        <v>491</v>
      </c>
    </row>
    <row r="98" spans="7:7" x14ac:dyDescent="0.2">
      <c r="G98" s="15" t="s">
        <v>492</v>
      </c>
    </row>
    <row r="99" spans="7:7" x14ac:dyDescent="0.2">
      <c r="G99" s="15" t="s">
        <v>493</v>
      </c>
    </row>
    <row r="100" spans="7:7" x14ac:dyDescent="0.2">
      <c r="G100" s="15" t="s">
        <v>494</v>
      </c>
    </row>
    <row r="101" spans="7:7" x14ac:dyDescent="0.2">
      <c r="G101" s="15" t="s">
        <v>495</v>
      </c>
    </row>
    <row r="102" spans="7:7" x14ac:dyDescent="0.2">
      <c r="G102" s="15" t="s">
        <v>496</v>
      </c>
    </row>
    <row r="103" spans="7:7" x14ac:dyDescent="0.2">
      <c r="G103" s="15" t="s">
        <v>497</v>
      </c>
    </row>
    <row r="104" spans="7:7" x14ac:dyDescent="0.2">
      <c r="G104" s="15" t="s">
        <v>498</v>
      </c>
    </row>
    <row r="105" spans="7:7" x14ac:dyDescent="0.2">
      <c r="G105" s="15" t="s">
        <v>499</v>
      </c>
    </row>
    <row r="106" spans="7:7" x14ac:dyDescent="0.2">
      <c r="G106" s="15" t="s">
        <v>500</v>
      </c>
    </row>
    <row r="107" spans="7:7" x14ac:dyDescent="0.2">
      <c r="G107" s="15" t="s">
        <v>501</v>
      </c>
    </row>
    <row r="108" spans="7:7" x14ac:dyDescent="0.2">
      <c r="G108" s="15" t="s">
        <v>502</v>
      </c>
    </row>
    <row r="110" spans="7:7" x14ac:dyDescent="0.2">
      <c r="G110" s="15" t="s">
        <v>503</v>
      </c>
    </row>
    <row r="111" spans="7:7" x14ac:dyDescent="0.2">
      <c r="G111" s="15" t="s">
        <v>504</v>
      </c>
    </row>
    <row r="112" spans="7:7" x14ac:dyDescent="0.2">
      <c r="G112" s="15" t="s">
        <v>505</v>
      </c>
    </row>
    <row r="114" spans="7:7" x14ac:dyDescent="0.2">
      <c r="G114" s="15" t="s">
        <v>506</v>
      </c>
    </row>
    <row r="116" spans="7:7" x14ac:dyDescent="0.2">
      <c r="G116" s="15" t="s">
        <v>507</v>
      </c>
    </row>
    <row r="117" spans="7:7" x14ac:dyDescent="0.2">
      <c r="G117" s="15" t="s">
        <v>508</v>
      </c>
    </row>
    <row r="118" spans="7:7" x14ac:dyDescent="0.2">
      <c r="G118" s="15" t="s">
        <v>509</v>
      </c>
    </row>
    <row r="120" spans="7:7" x14ac:dyDescent="0.2">
      <c r="G120" s="15" t="s">
        <v>510</v>
      </c>
    </row>
    <row r="304" spans="1:2" x14ac:dyDescent="0.2">
      <c r="A304" s="21" t="s">
        <v>82</v>
      </c>
      <c r="B304" s="15" t="s">
        <v>16</v>
      </c>
    </row>
    <row r="305" spans="1:2" x14ac:dyDescent="0.2">
      <c r="A305" s="22" t="s">
        <v>228</v>
      </c>
      <c r="B305" s="113" t="s">
        <v>585</v>
      </c>
    </row>
    <row r="306" spans="1:2" x14ac:dyDescent="0.2">
      <c r="A306" s="22" t="s">
        <v>142</v>
      </c>
      <c r="B306" s="113" t="s">
        <v>585</v>
      </c>
    </row>
    <row r="307" spans="1:2" x14ac:dyDescent="0.2">
      <c r="A307" s="22" t="s">
        <v>139</v>
      </c>
      <c r="B307" s="113" t="s">
        <v>585</v>
      </c>
    </row>
    <row r="308" spans="1:2" x14ac:dyDescent="0.2">
      <c r="A308" s="22" t="s">
        <v>237</v>
      </c>
      <c r="B308" s="113" t="s">
        <v>585</v>
      </c>
    </row>
    <row r="309" spans="1:2" x14ac:dyDescent="0.2">
      <c r="A309" s="22" t="s">
        <v>231</v>
      </c>
      <c r="B309" s="113" t="s">
        <v>585</v>
      </c>
    </row>
    <row r="310" spans="1:2" x14ac:dyDescent="0.2">
      <c r="A310" s="22" t="s">
        <v>232</v>
      </c>
      <c r="B310" s="113" t="s">
        <v>585</v>
      </c>
    </row>
    <row r="311" spans="1:2" x14ac:dyDescent="0.2">
      <c r="A311" s="22" t="s">
        <v>233</v>
      </c>
      <c r="B311" s="113" t="s">
        <v>585</v>
      </c>
    </row>
    <row r="312" spans="1:2" x14ac:dyDescent="0.2">
      <c r="A312" s="22" t="s">
        <v>136</v>
      </c>
      <c r="B312" s="113" t="s">
        <v>585</v>
      </c>
    </row>
    <row r="313" spans="1:2" x14ac:dyDescent="0.2">
      <c r="A313" s="22" t="s">
        <v>138</v>
      </c>
      <c r="B313" s="113" t="s">
        <v>585</v>
      </c>
    </row>
    <row r="314" spans="1:2" x14ac:dyDescent="0.2">
      <c r="A314" s="22" t="s">
        <v>141</v>
      </c>
      <c r="B314" s="113" t="s">
        <v>585</v>
      </c>
    </row>
    <row r="315" spans="1:2" x14ac:dyDescent="0.2">
      <c r="A315" s="22" t="s">
        <v>539</v>
      </c>
      <c r="B315" s="113" t="s">
        <v>585</v>
      </c>
    </row>
    <row r="316" spans="1:2" x14ac:dyDescent="0.2">
      <c r="A316" s="22" t="s">
        <v>587</v>
      </c>
      <c r="B316" s="113" t="s">
        <v>585</v>
      </c>
    </row>
    <row r="317" spans="1:2" x14ac:dyDescent="0.2">
      <c r="A317" s="22" t="s">
        <v>147</v>
      </c>
      <c r="B317" s="20" t="s">
        <v>151</v>
      </c>
    </row>
    <row r="318" spans="1:2" x14ac:dyDescent="0.2">
      <c r="A318" s="22" t="s">
        <v>149</v>
      </c>
      <c r="B318" s="20" t="s">
        <v>151</v>
      </c>
    </row>
    <row r="319" spans="1:2" x14ac:dyDescent="0.2">
      <c r="A319" s="22" t="s">
        <v>148</v>
      </c>
      <c r="B319" s="20" t="s">
        <v>151</v>
      </c>
    </row>
    <row r="320" spans="1:2" x14ac:dyDescent="0.2">
      <c r="A320" s="22" t="s">
        <v>589</v>
      </c>
      <c r="B320" s="18" t="s">
        <v>46</v>
      </c>
    </row>
    <row r="321" spans="1:2" x14ac:dyDescent="0.2">
      <c r="A321" s="22" t="s">
        <v>143</v>
      </c>
      <c r="B321" s="18" t="s">
        <v>46</v>
      </c>
    </row>
    <row r="322" spans="1:2" x14ac:dyDescent="0.2">
      <c r="A322" s="22" t="s">
        <v>145</v>
      </c>
      <c r="B322" s="18" t="s">
        <v>46</v>
      </c>
    </row>
    <row r="323" spans="1:2" x14ac:dyDescent="0.2">
      <c r="A323" s="22" t="s">
        <v>144</v>
      </c>
      <c r="B323" s="18" t="s">
        <v>46</v>
      </c>
    </row>
    <row r="324" spans="1:2" x14ac:dyDescent="0.2">
      <c r="A324" s="22" t="s">
        <v>146</v>
      </c>
      <c r="B324" s="18" t="s">
        <v>46</v>
      </c>
    </row>
    <row r="325" spans="1:2" x14ac:dyDescent="0.2">
      <c r="A325" s="22" t="s">
        <v>238</v>
      </c>
      <c r="B325" s="19" t="s">
        <v>584</v>
      </c>
    </row>
    <row r="326" spans="1:2" x14ac:dyDescent="0.2">
      <c r="A326" s="22" t="s">
        <v>137</v>
      </c>
      <c r="B326" s="19" t="s">
        <v>584</v>
      </c>
    </row>
    <row r="327" spans="1:2" x14ac:dyDescent="0.2">
      <c r="A327" s="22" t="s">
        <v>234</v>
      </c>
      <c r="B327" s="19" t="s">
        <v>584</v>
      </c>
    </row>
    <row r="328" spans="1:2" x14ac:dyDescent="0.2">
      <c r="A328" s="22" t="s">
        <v>590</v>
      </c>
      <c r="B328" s="19" t="s">
        <v>584</v>
      </c>
    </row>
    <row r="329" spans="1:2" x14ac:dyDescent="0.2">
      <c r="A329" s="22" t="s">
        <v>230</v>
      </c>
      <c r="B329" s="19" t="s">
        <v>584</v>
      </c>
    </row>
    <row r="330" spans="1:2" x14ac:dyDescent="0.2">
      <c r="A330" s="22" t="s">
        <v>229</v>
      </c>
      <c r="B330" s="19" t="s">
        <v>584</v>
      </c>
    </row>
    <row r="331" spans="1:2" x14ac:dyDescent="0.2">
      <c r="A331" s="22" t="s">
        <v>140</v>
      </c>
      <c r="B331" s="19" t="s">
        <v>584</v>
      </c>
    </row>
    <row r="332" spans="1:2" x14ac:dyDescent="0.2">
      <c r="A332" s="22" t="s">
        <v>586</v>
      </c>
      <c r="B332" s="19" t="s">
        <v>584</v>
      </c>
    </row>
    <row r="333" spans="1:2" x14ac:dyDescent="0.2">
      <c r="A333" s="22" t="s">
        <v>588</v>
      </c>
      <c r="B333" s="19" t="s">
        <v>584</v>
      </c>
    </row>
    <row r="334" spans="1:2" x14ac:dyDescent="0.2">
      <c r="A334" s="22" t="s">
        <v>235</v>
      </c>
      <c r="B334" s="19" t="s">
        <v>584</v>
      </c>
    </row>
    <row r="335" spans="1:2" x14ac:dyDescent="0.2">
      <c r="A335" s="22" t="s">
        <v>236</v>
      </c>
      <c r="B335" s="19" t="s">
        <v>584</v>
      </c>
    </row>
    <row r="336" spans="1:2" x14ac:dyDescent="0.2">
      <c r="A336" s="22" t="s">
        <v>227</v>
      </c>
      <c r="B336" s="19" t="s">
        <v>584</v>
      </c>
    </row>
    <row r="337" spans="1:2" x14ac:dyDescent="0.2">
      <c r="A337" s="22" t="s">
        <v>135</v>
      </c>
      <c r="B337" s="19" t="s">
        <v>584</v>
      </c>
    </row>
    <row r="338" spans="1:2" x14ac:dyDescent="0.2">
      <c r="A338" s="22" t="s">
        <v>134</v>
      </c>
      <c r="B338" s="19" t="s">
        <v>584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S37"/>
  <sheetViews>
    <sheetView zoomScale="80" zoomScaleNormal="80" workbookViewId="0">
      <pane xSplit="1" topLeftCell="B1" activePane="topRight" state="frozen"/>
      <selection pane="topRight" activeCell="R5" sqref="R5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572"/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72"/>
      <c r="P1" s="572"/>
    </row>
    <row r="2" spans="1:17" ht="25.5" x14ac:dyDescent="0.25">
      <c r="A2" s="336"/>
      <c r="B2" s="336" t="s">
        <v>131</v>
      </c>
      <c r="C2" s="336" t="s">
        <v>16</v>
      </c>
      <c r="D2" s="337" t="s">
        <v>132</v>
      </c>
      <c r="E2" s="338" t="s">
        <v>121</v>
      </c>
      <c r="F2" s="337" t="s">
        <v>122</v>
      </c>
      <c r="G2" s="337" t="s">
        <v>123</v>
      </c>
      <c r="H2" s="337" t="s">
        <v>124</v>
      </c>
      <c r="I2" s="337" t="s">
        <v>125</v>
      </c>
      <c r="J2" s="337" t="s">
        <v>126</v>
      </c>
      <c r="K2" s="337" t="s">
        <v>127</v>
      </c>
      <c r="L2" s="337" t="s">
        <v>128</v>
      </c>
      <c r="M2" s="337" t="s">
        <v>129</v>
      </c>
      <c r="N2" s="337" t="s">
        <v>133</v>
      </c>
      <c r="O2" s="337" t="s">
        <v>130</v>
      </c>
    </row>
    <row r="3" spans="1:17" ht="20.25" customHeight="1" x14ac:dyDescent="0.25">
      <c r="A3" s="337">
        <v>1</v>
      </c>
      <c r="B3" s="339" t="s">
        <v>1192</v>
      </c>
      <c r="C3" s="337" t="s">
        <v>1190</v>
      </c>
      <c r="D3" s="346"/>
      <c r="E3" s="358"/>
      <c r="F3" s="358"/>
      <c r="G3" s="358"/>
      <c r="H3" s="358"/>
      <c r="I3" s="344"/>
      <c r="J3" s="344"/>
      <c r="K3" s="358"/>
      <c r="L3" s="358"/>
      <c r="M3" s="358"/>
      <c r="N3" s="358"/>
      <c r="O3" s="359"/>
      <c r="P3" s="344"/>
      <c r="Q3" s="14">
        <v>3</v>
      </c>
    </row>
    <row r="4" spans="1:17" ht="20.25" customHeight="1" x14ac:dyDescent="0.25">
      <c r="A4" s="337">
        <v>2</v>
      </c>
      <c r="B4" s="339" t="s">
        <v>1194</v>
      </c>
      <c r="C4" s="337" t="s">
        <v>1190</v>
      </c>
      <c r="D4" s="346"/>
      <c r="E4" s="358"/>
      <c r="F4" s="358"/>
      <c r="G4" s="358"/>
      <c r="H4" s="358"/>
      <c r="I4" s="344"/>
      <c r="J4" s="344"/>
      <c r="K4" s="358"/>
      <c r="L4" s="358"/>
      <c r="M4" s="358"/>
      <c r="N4" s="358"/>
      <c r="O4" s="359"/>
      <c r="P4" s="344"/>
      <c r="Q4" s="14">
        <v>4</v>
      </c>
    </row>
    <row r="5" spans="1:17" ht="20.25" customHeight="1" x14ac:dyDescent="0.25">
      <c r="A5" s="337">
        <v>3</v>
      </c>
      <c r="B5" s="339" t="s">
        <v>1195</v>
      </c>
      <c r="C5" s="337" t="s">
        <v>1190</v>
      </c>
      <c r="D5" s="346"/>
      <c r="E5" s="358"/>
      <c r="F5" s="358"/>
      <c r="G5" s="358"/>
      <c r="H5" s="358"/>
      <c r="I5" s="344"/>
      <c r="J5" s="344"/>
      <c r="K5" s="358"/>
      <c r="L5" s="358"/>
      <c r="M5" s="358"/>
      <c r="N5" s="358"/>
      <c r="O5" s="359"/>
      <c r="P5" s="344"/>
      <c r="Q5" s="14">
        <v>5</v>
      </c>
    </row>
    <row r="6" spans="1:17" ht="20.25" customHeight="1" x14ac:dyDescent="0.25">
      <c r="A6" s="337">
        <v>4</v>
      </c>
      <c r="B6" s="339" t="s">
        <v>1196</v>
      </c>
      <c r="C6" s="337" t="s">
        <v>1190</v>
      </c>
      <c r="D6" s="346"/>
      <c r="E6" s="358"/>
      <c r="F6" s="358"/>
      <c r="G6" s="358"/>
      <c r="H6" s="358"/>
      <c r="I6" s="344"/>
      <c r="J6" s="344"/>
      <c r="K6" s="358"/>
      <c r="L6" s="358"/>
      <c r="M6" s="358"/>
      <c r="N6" s="358"/>
      <c r="O6" s="359"/>
      <c r="P6" s="344"/>
      <c r="Q6" s="14">
        <v>6</v>
      </c>
    </row>
    <row r="7" spans="1:17" ht="20.25" customHeight="1" x14ac:dyDescent="0.25">
      <c r="A7" s="337">
        <v>5</v>
      </c>
      <c r="B7" s="339" t="s">
        <v>1197</v>
      </c>
      <c r="C7" s="337" t="s">
        <v>1190</v>
      </c>
      <c r="D7" s="346"/>
      <c r="E7" s="358"/>
      <c r="F7" s="358"/>
      <c r="G7" s="358"/>
      <c r="H7" s="358"/>
      <c r="I7" s="344"/>
      <c r="J7" s="344"/>
      <c r="K7" s="358"/>
      <c r="L7" s="358"/>
      <c r="M7" s="358"/>
      <c r="N7" s="358"/>
      <c r="O7" s="359"/>
      <c r="P7" s="344"/>
      <c r="Q7" s="14">
        <v>7</v>
      </c>
    </row>
    <row r="8" spans="1:17" ht="20.25" customHeight="1" x14ac:dyDescent="0.25">
      <c r="A8" s="337">
        <v>6</v>
      </c>
      <c r="B8" s="339" t="s">
        <v>1198</v>
      </c>
      <c r="C8" s="337" t="s">
        <v>1190</v>
      </c>
      <c r="D8" s="346"/>
      <c r="E8" s="358"/>
      <c r="F8" s="358"/>
      <c r="G8" s="358"/>
      <c r="H8" s="358"/>
      <c r="I8" s="344"/>
      <c r="J8" s="344"/>
      <c r="K8" s="358"/>
      <c r="L8" s="358"/>
      <c r="M8" s="358"/>
      <c r="N8" s="358"/>
      <c r="O8" s="359"/>
      <c r="P8" s="344"/>
      <c r="Q8" s="14">
        <v>8</v>
      </c>
    </row>
    <row r="9" spans="1:17" ht="20.25" customHeight="1" x14ac:dyDescent="0.25">
      <c r="A9" s="337">
        <v>7</v>
      </c>
      <c r="B9" s="339" t="s">
        <v>1199</v>
      </c>
      <c r="C9" s="337" t="s">
        <v>1190</v>
      </c>
      <c r="D9" s="346"/>
      <c r="E9" s="358"/>
      <c r="F9" s="358"/>
      <c r="G9" s="358"/>
      <c r="H9" s="358"/>
      <c r="I9" s="344"/>
      <c r="J9" s="344"/>
      <c r="K9" s="360"/>
      <c r="L9" s="360"/>
      <c r="M9" s="360"/>
      <c r="N9" s="358"/>
      <c r="O9" s="359"/>
      <c r="P9" s="344"/>
      <c r="Q9" s="14">
        <v>9</v>
      </c>
    </row>
    <row r="10" spans="1:17" ht="20.25" customHeight="1" x14ac:dyDescent="0.25">
      <c r="A10" s="337">
        <v>8</v>
      </c>
      <c r="B10" s="339" t="s">
        <v>1200</v>
      </c>
      <c r="C10" s="337" t="s">
        <v>1190</v>
      </c>
      <c r="D10" s="346"/>
      <c r="E10" s="358"/>
      <c r="F10" s="358"/>
      <c r="G10" s="358"/>
      <c r="H10" s="358"/>
      <c r="I10" s="344"/>
      <c r="J10" s="344"/>
      <c r="K10" s="360"/>
      <c r="L10" s="360"/>
      <c r="M10" s="360"/>
      <c r="N10" s="360"/>
      <c r="O10" s="359"/>
      <c r="P10" s="344"/>
      <c r="Q10" s="14">
        <v>10</v>
      </c>
    </row>
    <row r="11" spans="1:17" ht="20.25" customHeight="1" x14ac:dyDescent="0.25">
      <c r="A11" s="337">
        <v>9</v>
      </c>
      <c r="B11" s="339" t="s">
        <v>1201</v>
      </c>
      <c r="C11" s="337" t="s">
        <v>1190</v>
      </c>
      <c r="D11" s="346"/>
      <c r="E11" s="358"/>
      <c r="F11" s="358"/>
      <c r="G11" s="358"/>
      <c r="H11" s="358"/>
      <c r="I11" s="344"/>
      <c r="J11" s="344"/>
      <c r="K11" s="358"/>
      <c r="L11" s="358"/>
      <c r="M11" s="358"/>
      <c r="N11" s="358"/>
      <c r="O11" s="359"/>
      <c r="P11" s="344"/>
      <c r="Q11" s="14">
        <v>11</v>
      </c>
    </row>
    <row r="12" spans="1:17" ht="20.25" customHeight="1" x14ac:dyDescent="0.25">
      <c r="A12" s="337">
        <v>10</v>
      </c>
      <c r="B12" s="339" t="s">
        <v>1202</v>
      </c>
      <c r="C12" s="337" t="s">
        <v>1190</v>
      </c>
      <c r="D12" s="346"/>
      <c r="E12" s="358"/>
      <c r="F12" s="358"/>
      <c r="G12" s="358"/>
      <c r="H12" s="358"/>
      <c r="I12" s="344"/>
      <c r="J12" s="344"/>
      <c r="K12" s="358"/>
      <c r="L12" s="358"/>
      <c r="M12" s="358"/>
      <c r="N12" s="358"/>
      <c r="O12" s="359"/>
      <c r="P12" s="344"/>
      <c r="Q12" s="14">
        <v>12</v>
      </c>
    </row>
    <row r="13" spans="1:17" ht="20.25" customHeight="1" x14ac:dyDescent="0.25">
      <c r="A13" s="337">
        <v>11</v>
      </c>
      <c r="B13" s="339" t="s">
        <v>1203</v>
      </c>
      <c r="C13" s="337" t="s">
        <v>1190</v>
      </c>
      <c r="D13" s="346"/>
      <c r="E13" s="358"/>
      <c r="F13" s="360"/>
      <c r="G13" s="358"/>
      <c r="H13" s="358"/>
      <c r="I13" s="344"/>
      <c r="J13" s="344"/>
      <c r="K13" s="358"/>
      <c r="L13" s="358"/>
      <c r="M13" s="358"/>
      <c r="N13" s="358"/>
      <c r="O13" s="359"/>
      <c r="P13" s="344"/>
      <c r="Q13" s="14">
        <v>13</v>
      </c>
    </row>
    <row r="14" spans="1:17" ht="20.25" customHeight="1" x14ac:dyDescent="0.25">
      <c r="A14" s="337">
        <v>12</v>
      </c>
      <c r="B14" s="339" t="s">
        <v>1204</v>
      </c>
      <c r="C14" s="337" t="s">
        <v>1190</v>
      </c>
      <c r="D14" s="346"/>
      <c r="E14" s="358"/>
      <c r="F14" s="360"/>
      <c r="G14" s="358"/>
      <c r="H14" s="358"/>
      <c r="I14" s="344"/>
      <c r="J14" s="344"/>
      <c r="K14" s="358"/>
      <c r="L14" s="358"/>
      <c r="M14" s="358"/>
      <c r="N14" s="358"/>
      <c r="O14" s="359"/>
      <c r="P14" s="344"/>
      <c r="Q14" s="14">
        <v>14</v>
      </c>
    </row>
    <row r="15" spans="1:17" ht="20.25" customHeight="1" x14ac:dyDescent="0.25">
      <c r="A15" s="337">
        <v>13</v>
      </c>
      <c r="B15" s="339" t="s">
        <v>1205</v>
      </c>
      <c r="C15" s="337" t="s">
        <v>1190</v>
      </c>
      <c r="D15" s="346"/>
      <c r="E15" s="358"/>
      <c r="F15" s="358"/>
      <c r="G15" s="360"/>
      <c r="H15" s="358"/>
      <c r="I15" s="344"/>
      <c r="J15" s="344"/>
      <c r="K15" s="358"/>
      <c r="L15" s="358"/>
      <c r="M15" s="358"/>
      <c r="N15" s="358"/>
      <c r="O15" s="359"/>
      <c r="P15" s="344"/>
      <c r="Q15" s="14">
        <v>15</v>
      </c>
    </row>
    <row r="16" spans="1:17" ht="20.25" customHeight="1" x14ac:dyDescent="0.25">
      <c r="A16" s="337">
        <v>14</v>
      </c>
      <c r="B16" s="339" t="s">
        <v>1184</v>
      </c>
      <c r="C16" s="337" t="s">
        <v>270</v>
      </c>
      <c r="D16" s="346"/>
      <c r="E16" s="358"/>
      <c r="F16" s="358"/>
      <c r="G16" s="358"/>
      <c r="H16" s="358"/>
      <c r="I16" s="344"/>
      <c r="J16" s="344"/>
      <c r="K16" s="360"/>
      <c r="L16" s="360"/>
      <c r="M16" s="360"/>
      <c r="N16" s="358"/>
      <c r="O16" s="359"/>
      <c r="P16" s="344"/>
      <c r="Q16" s="14">
        <v>16</v>
      </c>
    </row>
    <row r="17" spans="1:19" ht="20.25" customHeight="1" x14ac:dyDescent="0.25">
      <c r="A17" s="480">
        <v>15</v>
      </c>
      <c r="B17" s="481" t="s">
        <v>1185</v>
      </c>
      <c r="C17" s="480" t="s">
        <v>270</v>
      </c>
      <c r="D17" s="482"/>
      <c r="E17" s="483"/>
      <c r="F17" s="483"/>
      <c r="G17" s="483"/>
      <c r="H17" s="483"/>
      <c r="I17" s="484"/>
      <c r="J17" s="484"/>
      <c r="K17" s="485"/>
      <c r="L17" s="485"/>
      <c r="M17" s="485"/>
      <c r="N17" s="483"/>
      <c r="O17" s="486"/>
      <c r="P17" s="484"/>
      <c r="Q17" s="14">
        <v>17</v>
      </c>
    </row>
    <row r="18" spans="1:19" ht="20.25" customHeight="1" x14ac:dyDescent="0.25">
      <c r="A18" s="337">
        <v>16</v>
      </c>
      <c r="B18" s="339" t="s">
        <v>1186</v>
      </c>
      <c r="C18" s="337" t="s">
        <v>270</v>
      </c>
      <c r="D18" s="346"/>
      <c r="E18" s="358"/>
      <c r="F18" s="358"/>
      <c r="G18" s="358"/>
      <c r="H18" s="358"/>
      <c r="I18" s="344"/>
      <c r="J18" s="344"/>
      <c r="K18" s="360"/>
      <c r="L18" s="360"/>
      <c r="M18" s="360"/>
      <c r="N18" s="358"/>
      <c r="O18" s="358"/>
      <c r="P18" s="344"/>
    </row>
    <row r="19" spans="1:19" ht="20.25" customHeight="1" x14ac:dyDescent="0.25">
      <c r="A19" s="337">
        <v>17</v>
      </c>
      <c r="B19" s="339"/>
      <c r="C19" s="337" t="s">
        <v>1189</v>
      </c>
      <c r="D19" s="346"/>
      <c r="E19" s="358"/>
      <c r="F19" s="358"/>
      <c r="G19" s="358"/>
      <c r="H19" s="358"/>
      <c r="I19" s="344"/>
      <c r="J19" s="344"/>
      <c r="K19" s="360"/>
      <c r="L19" s="360"/>
      <c r="M19" s="360"/>
      <c r="N19" s="358"/>
      <c r="O19" s="358"/>
      <c r="P19" s="344"/>
    </row>
    <row r="20" spans="1:19" ht="20.25" customHeight="1" x14ac:dyDescent="0.25">
      <c r="A20" s="337">
        <v>18</v>
      </c>
      <c r="B20" s="339"/>
      <c r="C20" s="337" t="s">
        <v>1189</v>
      </c>
      <c r="D20" s="346"/>
      <c r="E20" s="358"/>
      <c r="F20" s="358"/>
      <c r="G20" s="358"/>
      <c r="H20" s="358"/>
      <c r="I20" s="344"/>
      <c r="J20" s="344"/>
      <c r="K20" s="360"/>
      <c r="L20" s="360"/>
      <c r="M20" s="360"/>
      <c r="N20" s="358"/>
      <c r="O20" s="358"/>
      <c r="P20" s="344"/>
      <c r="S20" s="14">
        <f>SUMIF(D3:D25,C3:C18)</f>
        <v>0</v>
      </c>
    </row>
    <row r="21" spans="1:19" ht="20.25" customHeight="1" x14ac:dyDescent="0.25">
      <c r="A21" s="337">
        <v>19</v>
      </c>
      <c r="B21" s="339"/>
      <c r="C21" s="337" t="s">
        <v>1189</v>
      </c>
      <c r="D21" s="346"/>
      <c r="E21" s="358"/>
      <c r="F21" s="358"/>
      <c r="G21" s="358"/>
      <c r="H21" s="358"/>
      <c r="I21" s="344"/>
      <c r="J21" s="344"/>
      <c r="K21" s="360"/>
      <c r="L21" s="360"/>
      <c r="M21" s="360"/>
      <c r="N21" s="358"/>
      <c r="O21" s="358"/>
      <c r="P21" s="344"/>
    </row>
    <row r="22" spans="1:19" ht="20.25" customHeight="1" x14ac:dyDescent="0.25">
      <c r="A22" s="337">
        <v>20</v>
      </c>
      <c r="B22" s="339"/>
      <c r="C22" s="337" t="s">
        <v>1189</v>
      </c>
      <c r="D22" s="346"/>
      <c r="E22" s="358"/>
      <c r="F22" s="358"/>
      <c r="G22" s="358"/>
      <c r="H22" s="358"/>
      <c r="I22" s="344"/>
      <c r="J22" s="344"/>
      <c r="K22" s="360"/>
      <c r="L22" s="360"/>
      <c r="M22" s="360"/>
      <c r="N22" s="358"/>
      <c r="O22" s="358"/>
      <c r="P22" s="344"/>
    </row>
    <row r="23" spans="1:19" ht="20.25" customHeight="1" x14ac:dyDescent="0.25">
      <c r="A23" s="337">
        <v>21</v>
      </c>
      <c r="B23" s="339"/>
      <c r="C23" s="337" t="s">
        <v>1189</v>
      </c>
      <c r="D23" s="346"/>
      <c r="E23" s="358"/>
      <c r="F23" s="358"/>
      <c r="G23" s="358"/>
      <c r="H23" s="358"/>
      <c r="I23" s="344"/>
      <c r="J23" s="344"/>
      <c r="K23" s="360"/>
      <c r="L23" s="360"/>
      <c r="M23" s="360"/>
      <c r="N23" s="358"/>
      <c r="O23" s="358"/>
      <c r="P23" s="344"/>
    </row>
    <row r="24" spans="1:19" ht="20.25" customHeight="1" x14ac:dyDescent="0.25">
      <c r="A24" s="337">
        <v>22</v>
      </c>
      <c r="B24" s="339"/>
      <c r="C24" s="337" t="s">
        <v>1189</v>
      </c>
      <c r="D24" s="346"/>
      <c r="E24" s="358"/>
      <c r="F24" s="358"/>
      <c r="G24" s="358"/>
      <c r="H24" s="358"/>
      <c r="I24" s="344"/>
      <c r="J24" s="344"/>
      <c r="K24" s="360"/>
      <c r="L24" s="360"/>
      <c r="M24" s="360"/>
      <c r="N24" s="358"/>
      <c r="O24" s="358"/>
      <c r="P24" s="344"/>
    </row>
    <row r="25" spans="1:19" ht="20.25" customHeight="1" x14ac:dyDescent="0.25">
      <c r="A25" s="337">
        <v>23</v>
      </c>
      <c r="B25" s="339"/>
      <c r="C25" s="337" t="s">
        <v>1189</v>
      </c>
      <c r="D25" s="346"/>
      <c r="E25" s="358"/>
      <c r="F25" s="358"/>
      <c r="G25" s="358"/>
      <c r="H25" s="358"/>
      <c r="I25" s="344"/>
      <c r="J25" s="344"/>
      <c r="K25" s="360"/>
      <c r="L25" s="360"/>
      <c r="M25" s="360"/>
      <c r="N25" s="358"/>
      <c r="O25" s="358"/>
      <c r="P25" s="344"/>
    </row>
    <row r="26" spans="1:19" x14ac:dyDescent="0.25">
      <c r="B26" s="340"/>
      <c r="E26" s="341"/>
    </row>
    <row r="27" spans="1:19" ht="18" customHeight="1" x14ac:dyDescent="0.25">
      <c r="B27" s="337" t="s">
        <v>1190</v>
      </c>
      <c r="C27" s="573" t="s">
        <v>150</v>
      </c>
      <c r="D27" s="344">
        <f>SUM(D3:D15)</f>
        <v>0</v>
      </c>
      <c r="E27" s="344">
        <f t="shared" ref="E27:O27" si="0">SUM(E3:E15)</f>
        <v>0</v>
      </c>
      <c r="F27" s="344">
        <f t="shared" si="0"/>
        <v>0</v>
      </c>
      <c r="G27" s="344">
        <f t="shared" si="0"/>
        <v>0</v>
      </c>
      <c r="H27" s="344">
        <f t="shared" si="0"/>
        <v>0</v>
      </c>
      <c r="I27" s="344">
        <f t="shared" si="0"/>
        <v>0</v>
      </c>
      <c r="J27" s="344">
        <f t="shared" si="0"/>
        <v>0</v>
      </c>
      <c r="K27" s="344">
        <f t="shared" si="0"/>
        <v>0</v>
      </c>
      <c r="L27" s="344">
        <f t="shared" si="0"/>
        <v>0</v>
      </c>
      <c r="M27" s="344">
        <f t="shared" si="0"/>
        <v>0</v>
      </c>
      <c r="N27" s="344">
        <f t="shared" si="0"/>
        <v>0</v>
      </c>
      <c r="O27" s="344">
        <f t="shared" si="0"/>
        <v>0</v>
      </c>
    </row>
    <row r="28" spans="1:19" ht="18" customHeight="1" x14ac:dyDescent="0.25">
      <c r="B28" s="337" t="s">
        <v>270</v>
      </c>
      <c r="C28" s="574"/>
      <c r="D28" s="344">
        <f>SUM(D16:D18)</f>
        <v>0</v>
      </c>
      <c r="E28" s="344">
        <f t="shared" ref="E28:O28" si="1">SUM(E16:E18)</f>
        <v>0</v>
      </c>
      <c r="F28" s="344">
        <f t="shared" si="1"/>
        <v>0</v>
      </c>
      <c r="G28" s="344">
        <f t="shared" si="1"/>
        <v>0</v>
      </c>
      <c r="H28" s="344">
        <f t="shared" si="1"/>
        <v>0</v>
      </c>
      <c r="I28" s="344">
        <f t="shared" si="1"/>
        <v>0</v>
      </c>
      <c r="J28" s="344">
        <f t="shared" si="1"/>
        <v>0</v>
      </c>
      <c r="K28" s="344">
        <f t="shared" si="1"/>
        <v>0</v>
      </c>
      <c r="L28" s="344">
        <f t="shared" si="1"/>
        <v>0</v>
      </c>
      <c r="M28" s="344">
        <f t="shared" si="1"/>
        <v>0</v>
      </c>
      <c r="N28" s="344">
        <f t="shared" si="1"/>
        <v>0</v>
      </c>
      <c r="O28" s="344">
        <f t="shared" si="1"/>
        <v>0</v>
      </c>
    </row>
    <row r="29" spans="1:19" ht="18" customHeight="1" x14ac:dyDescent="0.25">
      <c r="B29" s="337" t="s">
        <v>1189</v>
      </c>
      <c r="C29" s="574"/>
      <c r="D29" s="344">
        <f xml:space="preserve"> SUM(D19:D25)</f>
        <v>0</v>
      </c>
      <c r="E29" s="344">
        <f t="shared" ref="E29:O29" si="2" xml:space="preserve"> SUM(E19:E25)</f>
        <v>0</v>
      </c>
      <c r="F29" s="344">
        <f t="shared" si="2"/>
        <v>0</v>
      </c>
      <c r="G29" s="344">
        <f t="shared" si="2"/>
        <v>0</v>
      </c>
      <c r="H29" s="344">
        <f t="shared" si="2"/>
        <v>0</v>
      </c>
      <c r="I29" s="344">
        <f t="shared" si="2"/>
        <v>0</v>
      </c>
      <c r="J29" s="344">
        <f t="shared" si="2"/>
        <v>0</v>
      </c>
      <c r="K29" s="344">
        <f t="shared" si="2"/>
        <v>0</v>
      </c>
      <c r="L29" s="344">
        <f t="shared" si="2"/>
        <v>0</v>
      </c>
      <c r="M29" s="344">
        <f t="shared" si="2"/>
        <v>0</v>
      </c>
      <c r="N29" s="344">
        <f t="shared" si="2"/>
        <v>0</v>
      </c>
      <c r="O29" s="344">
        <f t="shared" si="2"/>
        <v>0</v>
      </c>
    </row>
    <row r="30" spans="1:19" ht="18" customHeight="1" x14ac:dyDescent="0.25">
      <c r="C30" s="380" t="s">
        <v>1209</v>
      </c>
      <c r="D30" s="345">
        <f t="shared" ref="D30:O30" si="3">SUM(D27:D29)</f>
        <v>0</v>
      </c>
      <c r="E30" s="345">
        <f t="shared" si="3"/>
        <v>0</v>
      </c>
      <c r="F30" s="345">
        <f t="shared" si="3"/>
        <v>0</v>
      </c>
      <c r="G30" s="345">
        <f t="shared" si="3"/>
        <v>0</v>
      </c>
      <c r="H30" s="345">
        <f t="shared" si="3"/>
        <v>0</v>
      </c>
      <c r="I30" s="345">
        <f t="shared" si="3"/>
        <v>0</v>
      </c>
      <c r="J30" s="345">
        <f t="shared" si="3"/>
        <v>0</v>
      </c>
      <c r="K30" s="345">
        <f t="shared" si="3"/>
        <v>0</v>
      </c>
      <c r="L30" s="345">
        <f t="shared" si="3"/>
        <v>0</v>
      </c>
      <c r="M30" s="345">
        <f t="shared" si="3"/>
        <v>0</v>
      </c>
      <c r="N30" s="345">
        <f t="shared" si="3"/>
        <v>0</v>
      </c>
      <c r="O30" s="345">
        <f t="shared" si="3"/>
        <v>0</v>
      </c>
    </row>
    <row r="31" spans="1:19" x14ac:dyDescent="0.25">
      <c r="E31" s="341"/>
    </row>
    <row r="32" spans="1:19" x14ac:dyDescent="0.25">
      <c r="C32" s="575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</row>
    <row r="33" spans="2:15" x14ac:dyDescent="0.25">
      <c r="C33" s="575"/>
      <c r="D33" s="342"/>
      <c r="E33" s="342"/>
      <c r="F33" s="342"/>
      <c r="G33" s="342"/>
      <c r="H33" s="342"/>
      <c r="I33" s="342"/>
      <c r="J33" s="342"/>
      <c r="K33" s="342"/>
      <c r="L33" s="342"/>
      <c r="M33" s="342"/>
      <c r="N33" s="342"/>
      <c r="O33" s="342"/>
    </row>
    <row r="34" spans="2:15" x14ac:dyDescent="0.25">
      <c r="C34" s="381"/>
      <c r="D34" s="342"/>
      <c r="E34" s="342"/>
      <c r="F34" s="342"/>
      <c r="G34" s="342"/>
      <c r="H34" s="342"/>
      <c r="I34" s="342"/>
      <c r="J34" s="342"/>
      <c r="K34" s="342"/>
      <c r="L34" s="342"/>
      <c r="M34" s="342"/>
      <c r="N34" s="342"/>
      <c r="O34" s="342"/>
    </row>
    <row r="37" spans="2:15" ht="38.25" x14ac:dyDescent="0.25">
      <c r="B37" s="343" t="s">
        <v>607</v>
      </c>
    </row>
  </sheetData>
  <autoFilter ref="A2:O2"/>
  <mergeCells count="6">
    <mergeCell ref="M1:P1"/>
    <mergeCell ref="C27:C29"/>
    <mergeCell ref="C32:C33"/>
    <mergeCell ref="B1:D1"/>
    <mergeCell ref="E1:H1"/>
    <mergeCell ref="I1:L1"/>
  </mergeCells>
  <phoneticPr fontId="8" type="noConversion"/>
  <conditionalFormatting sqref="C3:C26">
    <cfRule type="cellIs" dxfId="15" priority="51" stopIfTrue="1" operator="equal">
      <formula>"SIEGE"</formula>
    </cfRule>
  </conditionalFormatting>
  <conditionalFormatting sqref="C30:C37 C27">
    <cfRule type="cellIs" dxfId="14" priority="146" stopIfTrue="1" operator="equal">
      <formula>"TRAIN"</formula>
    </cfRule>
  </conditionalFormatting>
  <conditionalFormatting sqref="B27:B29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27:B29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25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27:B29 C3:C25">
      <formula1>UO_ESV</formula1>
    </dataValidation>
  </dataValidations>
  <pageMargins left="0.25" right="0.25" top="0.75" bottom="0.75" header="0.3" footer="0.3"/>
  <pageSetup paperSize="9" scale="61" orientation="landscape" verticalDpi="4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déroulantes'!$A$2:$A$23</xm:f>
          </x14:formula1>
          <xm:sqref>B3:B25</xm:sqref>
        </x14:dataValidation>
        <x14:dataValidation type="list" allowBlank="1" showInputMessage="1" showErrorMessage="1">
          <x14:formula1>
            <xm:f>'Listes déroulantes'!$I$24:$I$35</xm:f>
          </x14:formula1>
          <xm:sqref>D2:O2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X99"/>
  <sheetViews>
    <sheetView topLeftCell="I1" zoomScaleNormal="100" workbookViewId="0">
      <selection activeCell="F2" sqref="F2"/>
    </sheetView>
  </sheetViews>
  <sheetFormatPr baseColWidth="10" defaultRowHeight="15" x14ac:dyDescent="0.25"/>
  <cols>
    <col min="1" max="1" width="29.28515625" style="326" customWidth="1"/>
    <col min="2" max="2" width="18.5703125" customWidth="1"/>
    <col min="3" max="3" width="18.5703125" style="152" customWidth="1"/>
    <col min="4" max="4" width="14.28515625" customWidth="1"/>
    <col min="5" max="5" width="16.140625" style="319" customWidth="1"/>
    <col min="6" max="7" width="11.42578125" style="319"/>
    <col min="10" max="10" width="8.7109375" style="319" customWidth="1"/>
    <col min="11" max="11" width="8.85546875" style="319" customWidth="1"/>
    <col min="12" max="12" width="17" customWidth="1"/>
    <col min="13" max="13" width="10.5703125" customWidth="1"/>
    <col min="14" max="14" width="10.5703125" style="227" customWidth="1"/>
    <col min="15" max="17" width="14.28515625" style="301" customWidth="1"/>
    <col min="18" max="22" width="11.42578125" style="301"/>
  </cols>
  <sheetData>
    <row r="1" spans="1:24" s="319" customFormat="1" ht="92.25" customHeight="1" x14ac:dyDescent="0.25">
      <c r="A1" s="315" t="s">
        <v>266</v>
      </c>
      <c r="B1" s="315" t="s">
        <v>16</v>
      </c>
      <c r="C1" s="315" t="s">
        <v>627</v>
      </c>
      <c r="D1" s="315" t="s">
        <v>1213</v>
      </c>
      <c r="E1" s="315" t="s">
        <v>591</v>
      </c>
      <c r="F1" s="316" t="s">
        <v>611</v>
      </c>
      <c r="G1" s="315" t="s">
        <v>698</v>
      </c>
      <c r="H1" s="315" t="s">
        <v>614</v>
      </c>
      <c r="I1" s="315" t="s">
        <v>699</v>
      </c>
      <c r="J1" s="317" t="s">
        <v>615</v>
      </c>
      <c r="K1" s="317" t="s">
        <v>617</v>
      </c>
      <c r="L1" s="317" t="s">
        <v>696</v>
      </c>
      <c r="M1" s="317" t="s">
        <v>616</v>
      </c>
      <c r="N1" s="317" t="s">
        <v>717</v>
      </c>
      <c r="O1" s="318" t="s">
        <v>763</v>
      </c>
      <c r="P1" s="318" t="s">
        <v>658</v>
      </c>
      <c r="Q1" s="318" t="s">
        <v>1208</v>
      </c>
      <c r="R1" s="318" t="s">
        <v>581</v>
      </c>
      <c r="S1" s="318" t="s">
        <v>759</v>
      </c>
      <c r="T1" s="318" t="s">
        <v>664</v>
      </c>
      <c r="U1" s="318" t="s">
        <v>757</v>
      </c>
      <c r="V1" s="318" t="s">
        <v>697</v>
      </c>
      <c r="X1" s="465" t="s">
        <v>634</v>
      </c>
    </row>
    <row r="2" spans="1:24" s="321" customFormat="1" x14ac:dyDescent="0.25">
      <c r="A2" s="22" t="s">
        <v>1150</v>
      </c>
      <c r="B2" s="332" t="e">
        <f>IF(A2="","",VLOOKUP(A2,'Listes déroulantes'!$A$2:$B$55,2,FALSE ))</f>
        <v>#N/A</v>
      </c>
      <c r="C2" s="333" t="str">
        <f>IF(A2="","",IF(E2="NON", "01/01/2020",INDEX('Liste AT'!$I$1:$I$165,(MAX(IF('Liste AT'!#REF!=A2,ROW('Liste AT'!#REF!)))),1)))</f>
        <v>01/01/2020</v>
      </c>
      <c r="D2" s="184">
        <f ca="1">IFERROR(TODAY()-C2,"")</f>
        <v>42</v>
      </c>
      <c r="E2" s="300" t="str">
        <f>IF(A2="","",IFERROR(VLOOKUP(A2,'Liste AT'!F7:F141,1,FALSE),"NON"))</f>
        <v>NON</v>
      </c>
      <c r="F2" s="300">
        <f>IF(A2="","",COUNTIF('Liste AT'!$F$7:$F$135,E2))</f>
        <v>0</v>
      </c>
      <c r="G2" s="300">
        <f>IF(A2="","",SUMIF('Liste AT'!$F$7:$F$135,A2,'Liste AT'!$O$7:$O$165))</f>
        <v>0</v>
      </c>
      <c r="H2" s="334" t="e">
        <f t="shared" ref="H2:H7" si="0">IF(A2="","",J2*1000000/(M2*(1607*$X$2/12)))</f>
        <v>#VALUE!</v>
      </c>
      <c r="I2" s="334" t="e">
        <f t="shared" ref="I2:I7" si="1">IF(A2="","",V2*1000/(M2*(1607*$X$2/12)))</f>
        <v>#VALUE!</v>
      </c>
      <c r="J2" s="300" t="e">
        <f>IF(A2="","",COUNTIFS('Liste AT'!$F$7:$F$135,A2,'Liste AT'!$L$7:$L$165,"avec arrêt"))</f>
        <v>#VALUE!</v>
      </c>
      <c r="K2" s="300" t="e">
        <f t="shared" ref="K2:K7" si="2">IF(A2="","",F2-J2)</f>
        <v>#VALUE!</v>
      </c>
      <c r="L2" s="320" t="e">
        <f>IF(A2="","",(J2-T2)*1000000/(M2*(1607*$X$2/12)))</f>
        <v>#VALUE!</v>
      </c>
      <c r="M2" s="320" t="s">
        <v>1212</v>
      </c>
      <c r="N2" s="334" t="e">
        <f>((J2-T2)*1000)/M2</f>
        <v>#VALUE!</v>
      </c>
      <c r="O2" s="300" t="e">
        <f>IF(A2="","",COUNTIFS('Liste AT'!$F$7:$F$135,A2,'Liste AT'!$K$7:$K$165,"=quasi-accident"))</f>
        <v>#VALUE!</v>
      </c>
      <c r="P2" s="300" t="e">
        <f>IF(A2="","",COUNTIFS('Liste AT'!$F$7:$F$135,A2,'Liste AT'!$K$7:$K$165,"=trajet"))</f>
        <v>#VALUE!</v>
      </c>
      <c r="Q2" s="300" t="e">
        <f>IF(A2="","",COUNTIFS('Liste AT'!$F$7:$F$135,A2,'Liste AT'!R7:R290,"=conducteur témoin d'un accident de personne")+COUNTIFS('Liste AT'!$F$7:$F$135,A2,'Liste AT'!R7:R290,"=agent témoin sauf conducteur"))</f>
        <v>#VALUE!</v>
      </c>
      <c r="R2" s="300" t="e">
        <f>IF(A2="","",COUNTIFS('Liste AT'!$F$7:$F$135,A2,'Liste AT'!$AB$7:$AB$165,"=oui"))</f>
        <v>#VALUE!</v>
      </c>
      <c r="S2" s="300" t="e">
        <f>IF(A2="","",COUNTIFS('Liste AT'!$F$7:$F$135,A2,'Liste AT'!$AC$7:$AC$165,"=Non reconnu"))</f>
        <v>#VALUE!</v>
      </c>
      <c r="T2" s="300" t="e">
        <f>IF(A2="","",COUNTIFS('Liste AT'!$F$7:$F$135,A2,'Liste AT'!$K$7:$K$165,"=trajet",'Liste AT'!$L$7:$L$165,"=avec arrêt"))</f>
        <v>#VALUE!</v>
      </c>
      <c r="U2" s="300" t="e">
        <f>IF(A2="","",COUNTIFS('Liste AT'!$F$7:$F$135,A2,'Liste AT'!$K$7:$K$165,"=travail",'Liste AT'!$L$7:$L$165,"=avec arrêt"))</f>
        <v>#VALUE!</v>
      </c>
      <c r="V2" s="300" t="e">
        <f>IF(A2="","",SUMIFS('Liste AT'!$O$7:$O$165,'Liste AT'!$F$7:$F$135,A2,'Liste AT'!$K$7:$K$165,"travail"))</f>
        <v>#VALUE!</v>
      </c>
      <c r="X2" s="466">
        <v>43862</v>
      </c>
    </row>
    <row r="3" spans="1:24" x14ac:dyDescent="0.25">
      <c r="A3" s="322" t="s">
        <v>270</v>
      </c>
      <c r="B3" s="332" t="e">
        <f>IF(A3="","",VLOOKUP(A3,'Listes déroulantes'!$A$2:$B$55,2,FALSE ))</f>
        <v>#N/A</v>
      </c>
      <c r="C3" s="183" t="str">
        <f>IF(A3="","",IF(E3="NON", "01/01/2020",INDEX('Liste AT'!$I$1:$I$165,(MAX(IF('Liste AT'!#REF!=A3,ROW('Liste AT'!#REF!)))),1)))</f>
        <v>01/01/2020</v>
      </c>
      <c r="D3" s="184">
        <f t="shared" ref="D3:D7" ca="1" si="3">IFERROR(TODAY()-C3,"")</f>
        <v>42</v>
      </c>
      <c r="E3" s="300" t="str">
        <f>IF(A3="","",IFERROR(VLOOKUP(A3,'Liste AT'!F7:F141,1,FALSE),"NON"))</f>
        <v>NON</v>
      </c>
      <c r="F3" s="300">
        <f>IF(A3="","",COUNTIF('Liste AT'!$F$7:$F$135,E3))</f>
        <v>0</v>
      </c>
      <c r="G3" s="300">
        <f>IF(A3="","",SUMIF('Liste AT'!$F$7:$F$135,A3,'Liste AT'!$P$7:$P$165))</f>
        <v>0</v>
      </c>
      <c r="H3" s="334" t="e">
        <f t="shared" ca="1" si="0"/>
        <v>#VALUE!</v>
      </c>
      <c r="I3" s="334" t="e">
        <f t="shared" ca="1" si="1"/>
        <v>#VALUE!</v>
      </c>
      <c r="J3" s="300" t="e">
        <f>IF(A3="","",COUNTIFS('Liste AT'!$F$7:$F$135,A3,'Liste AT'!$L$7:$L$165,"avec arrêt"))</f>
        <v>#VALUE!</v>
      </c>
      <c r="K3" s="327" t="e">
        <f t="shared" si="2"/>
        <v>#VALUE!</v>
      </c>
      <c r="L3" s="320" t="e">
        <f ca="1">IF(A3="","",(J3-T3)*1000000/(M3*(1607*$X$2/12)))</f>
        <v>#VALUE!</v>
      </c>
      <c r="M3" s="230" t="e">
        <f ca="1">IF(A3="","",INDEX(INDIRECT("Effectifs!E" &amp;#REF! &amp; ":P" &amp;#REF!),MATCH(-1,INDIRECT("Effectifs!E" &amp;#REF! &amp; ":P" &amp;#REF!),-1)))</f>
        <v>#REF!</v>
      </c>
      <c r="N3" s="185" t="e">
        <f ca="1">((J3-T3)*1000)/M3</f>
        <v>#VALUE!</v>
      </c>
      <c r="O3" s="300" t="e">
        <f>IF(A3="","",COUNTIFS('Liste AT'!$F$7:$F$135,A3,'Liste AT'!$K$7:$K$165,"=quasi-accident"))</f>
        <v>#VALUE!</v>
      </c>
      <c r="P3" s="300" t="e">
        <f>IF(A3="","",COUNTIFS('Liste AT'!$F$7:$F$135,A3,'Liste AT'!$K$7:$K$165,"=trajet"))</f>
        <v>#VALUE!</v>
      </c>
      <c r="Q3" s="300" t="e">
        <f>IF(A3="","",COUNTIFS('Liste AT'!$F$7:$F$135,A3,'Liste AT'!R8:R291,"=conducteur témoin d'un accident de personne")+COUNTIFS('Liste AT'!$F$7:$F$135,A3,'Liste AT'!R8:R291,"=agent témoin sauf conducteur"))</f>
        <v>#VALUE!</v>
      </c>
      <c r="R3" s="300" t="e">
        <f>IF(A3="","",COUNTIFS('Liste AT'!$F$7:$F$135,A3,'Liste AT'!$AB$7:$AB$165,"=oui"))</f>
        <v>#VALUE!</v>
      </c>
      <c r="S3" s="300" t="e">
        <f>IF(A3="","",COUNTIFS('Liste AT'!$F$7:$F$135,A3,'Liste AT'!$AC$7:$AC$165,"=Non reconnu"))</f>
        <v>#VALUE!</v>
      </c>
      <c r="T3" s="300" t="e">
        <f>IF(A3="","",COUNTIFS('Liste AT'!$F$7:$F$135,A3,'Liste AT'!$K$7:$K$165,"=trajet",'Liste AT'!$L$7:$L$165,"=avec arrêt"))</f>
        <v>#VALUE!</v>
      </c>
      <c r="U3" s="300" t="e">
        <f>IF(A3="","",COUNTIFS('Liste AT'!$F$7:$F$135,A3,'Liste AT'!$K$7:$K$165,"=travail",'Liste AT'!$L$7:$L$165,"=avec arrêt"))</f>
        <v>#VALUE!</v>
      </c>
      <c r="V3" s="300" t="e">
        <f>IF(A3="","",SUMIFS('Liste AT'!$O$7:$O$165,'Liste AT'!$F$7:$F$135,A3,'Liste AT'!$K$7:$K$165,"travail"))</f>
        <v>#VALUE!</v>
      </c>
    </row>
    <row r="4" spans="1:24" x14ac:dyDescent="0.25">
      <c r="A4" s="322" t="s">
        <v>1189</v>
      </c>
      <c r="B4" s="332" t="e">
        <f>IF(A4="","",VLOOKUP(A4,'Listes déroulantes'!$A$2:$B$55,2,FALSE ))</f>
        <v>#N/A</v>
      </c>
      <c r="C4" s="183" t="str">
        <f>IF(A4="","",IF(E4="NON", "01/01/2020",INDEX('Liste AT'!$I$1:$I$165,(MAX(IF('Liste AT'!#REF!=A4,ROW('Liste AT'!#REF!)))),1)))</f>
        <v>01/01/2020</v>
      </c>
      <c r="D4" s="184">
        <f t="shared" ca="1" si="3"/>
        <v>42</v>
      </c>
      <c r="E4" s="300" t="str">
        <f>IF(A4="","",IFERROR(VLOOKUP(A4,'Liste AT'!F7:F141,1,FALSE),"NON"))</f>
        <v>NON</v>
      </c>
      <c r="F4" s="300">
        <f>IF(A4="","",COUNTIF('Liste AT'!$F$7:$F$135,E4))</f>
        <v>0</v>
      </c>
      <c r="G4" s="300">
        <f>IF(A4="","",SUMIF('Liste AT'!$F$7:$F$135,A4,'Liste AT'!$P$7:$P$165))</f>
        <v>0</v>
      </c>
      <c r="H4" s="334" t="e">
        <f t="shared" ca="1" si="0"/>
        <v>#VALUE!</v>
      </c>
      <c r="I4" s="334" t="e">
        <f t="shared" ca="1" si="1"/>
        <v>#VALUE!</v>
      </c>
      <c r="J4" s="300" t="e">
        <f>IF(A4="","",COUNTIFS('Liste AT'!$F$7:$F$135,A4,'Liste AT'!$L$7:$L$165,"avec arrêt"))</f>
        <v>#VALUE!</v>
      </c>
      <c r="K4" s="327" t="e">
        <f t="shared" si="2"/>
        <v>#VALUE!</v>
      </c>
      <c r="L4" s="320" t="e">
        <f ca="1">IF(A4="","",(J4-T4)*1000000/(M4*(1607*$X$2/12)))</f>
        <v>#VALUE!</v>
      </c>
      <c r="M4" s="230" t="e">
        <f ca="1">IF(A4="","",INDEX(INDIRECT("Effectifs!E" &amp;#REF! &amp; ":P" &amp;#REF!),MATCH(-1,INDIRECT("Effectifs!E" &amp;#REF! &amp; ":P" &amp;#REF!),-1)))</f>
        <v>#REF!</v>
      </c>
      <c r="N4" s="185" t="e">
        <f ca="1">((J4-T4)*1000)/M4</f>
        <v>#VALUE!</v>
      </c>
      <c r="O4" s="300" t="e">
        <f>IF(A4="","",COUNTIFS('Liste AT'!$F$7:$F$135,A4,'Liste AT'!$K$7:$K$165,"=quasi-accident"))</f>
        <v>#VALUE!</v>
      </c>
      <c r="P4" s="300" t="e">
        <f>IF(A4="","",COUNTIFS('Liste AT'!$F$7:$F$135,A4,'Liste AT'!$K$7:$K$165,"=trajet"))</f>
        <v>#VALUE!</v>
      </c>
      <c r="Q4" s="300" t="e">
        <f>IF(A4="","",COUNTIFS('Liste AT'!$F$7:$F$135,A4,'Liste AT'!R9:R292,"=conducteur témoin d'un accident de personne")+COUNTIFS('Liste AT'!$F$7:$F$135,A4,'Liste AT'!R9:R292,"=agent témoin sauf conducteur"))</f>
        <v>#VALUE!</v>
      </c>
      <c r="R4" s="300" t="e">
        <f>IF(A4="","",COUNTIFS('Liste AT'!$F$7:$F$135,A4,'Liste AT'!$AB$7:$AB$165,"=oui"))</f>
        <v>#VALUE!</v>
      </c>
      <c r="S4" s="300" t="e">
        <f>IF(A4="","",COUNTIFS('Liste AT'!$F$7:$F$135,A4,'Liste AT'!$AC$7:$AC$165,"=Non reconnu"))</f>
        <v>#VALUE!</v>
      </c>
      <c r="T4" s="300" t="e">
        <f>IF(A4="","",COUNTIFS('Liste AT'!$F$7:$F$135,A4,'Liste AT'!$K$7:$K$165,"=trajet",'Liste AT'!$L$7:$L$165,"=avec arrêt"))</f>
        <v>#VALUE!</v>
      </c>
      <c r="U4" s="300" t="e">
        <f>IF(A4="","",COUNTIFS('Liste AT'!$F$7:$F$135,A4,'Liste AT'!$K$7:$K$165,"=travail",'Liste AT'!$L$7:$L$165,"=avec arrêt"))</f>
        <v>#VALUE!</v>
      </c>
      <c r="V4" s="300" t="e">
        <f>IF(A4="","",SUMIFS('Liste AT'!$O$7:$O$165,'Liste AT'!$F$7:$F$135,A4,'Liste AT'!$K$7:$K$165,"travail"))</f>
        <v>#VALUE!</v>
      </c>
    </row>
    <row r="5" spans="1:24" x14ac:dyDescent="0.25">
      <c r="A5" s="322" t="str">
        <f>IF('Listes déroulantes'!A44="","",'Listes déroulantes'!A44)</f>
        <v/>
      </c>
      <c r="B5" s="182" t="str">
        <f>IF(A5="","",VLOOKUP(A5,'Listes déroulantes'!$A$2:$B$55,2,FALSE ))</f>
        <v/>
      </c>
      <c r="C5" s="183" t="str">
        <f>IF(A5="","",IF(E5="NON", "01/01/2020",INDEX('Liste AT'!$I$1:$I$165,(MAX(IF('Liste AT'!#REF!=A5,ROW('Liste AT'!#REF!)))),1)))</f>
        <v/>
      </c>
      <c r="D5" s="184" t="str">
        <f t="shared" ca="1" si="3"/>
        <v/>
      </c>
      <c r="E5" s="327" t="str">
        <f>IF(A5="","",IFERROR(VLOOKUP(A5,'Liste AT'!#REF!,1,FALSE),"NON"))</f>
        <v/>
      </c>
      <c r="F5" s="300" t="str">
        <f>IF(A5="","",COUNTIF('Liste AT'!$G$7:$G$135,E5))</f>
        <v/>
      </c>
      <c r="G5" s="300" t="str">
        <f>IF(A5="","",SUMIF('Liste AT'!$G$7:$G$135,A5,'Liste AT'!$Q$7:$Q$165))</f>
        <v/>
      </c>
      <c r="H5" s="185" t="str">
        <f t="shared" si="0"/>
        <v/>
      </c>
      <c r="I5" s="185" t="str">
        <f t="shared" si="1"/>
        <v/>
      </c>
      <c r="J5" s="327" t="str">
        <f>IF(A5="","",COUNTIFS('Liste AT'!#REF!,A5,'Liste AT'!$L$7:$L$165,"avec arrêt"))</f>
        <v/>
      </c>
      <c r="K5" s="327" t="str">
        <f t="shared" si="2"/>
        <v/>
      </c>
      <c r="L5" s="230" t="str">
        <f>IF(A5="","",(J5-T5)*1000000/(M5*(1607*$W$1/12)))</f>
        <v/>
      </c>
      <c r="M5" s="230" t="str">
        <f ca="1">IF(A5="","",INDEX(INDIRECT("Effectifs!E" &amp;#REF! &amp; ":P" &amp;#REF!),MATCH(-1,INDIRECT("Effectifs!E" &amp;#REF! &amp; ":P" &amp;#REF!),-1)))</f>
        <v/>
      </c>
      <c r="N5" s="185"/>
      <c r="O5" s="300" t="str">
        <f>IF(A5="","",COUNTIFS('Liste AT'!$F$7:$F$135,A5,'Liste AT'!$K$7:$K$165,"=quasi-accident"))</f>
        <v/>
      </c>
      <c r="P5" s="300" t="str">
        <f>IF(A5="","",COUNTIFS('Liste AT'!$G$7:$G$135,A5,'Liste AT'!$K$7:$K$165,"=trajet"))</f>
        <v/>
      </c>
      <c r="Q5" s="300"/>
      <c r="R5" s="300" t="str">
        <f>IF(A5="","",COUNTIFS('Liste AT'!$F$7:$F$135,A5,'Liste AT'!$AB$7:$AB$165,"=oui"))</f>
        <v/>
      </c>
      <c r="S5" s="300"/>
      <c r="T5" s="300" t="str">
        <f>IF(A5="","",COUNTIFS('Liste AT'!$G$7:$G$135,A5,'Liste AT'!$K$7:$K$165,"=trajet",'Liste AT'!$L$7:$L$165,"=avec arrêt"))</f>
        <v/>
      </c>
      <c r="U5" s="300" t="str">
        <f>IF(A5="","",COUNTIFS('Liste AT'!$F$7:$F$135,A5,'Liste AT'!$K$7:$K$165,"=travail",'Liste AT'!$L$7:$L$165,"=avec arrêt"))</f>
        <v/>
      </c>
      <c r="V5" s="300" t="str">
        <f>IF(A5="","",SUMIFS('Liste AT'!$P$7:$P$165,'Liste AT'!$F$7:$F$135,A5,'Liste AT'!$K$7:$K$165,"travail"))</f>
        <v/>
      </c>
    </row>
    <row r="6" spans="1:24" s="227" customFormat="1" x14ac:dyDescent="0.25">
      <c r="A6" s="322" t="str">
        <f>IF('Listes déroulantes'!A45="","",'Listes déroulantes'!A45)</f>
        <v/>
      </c>
      <c r="B6" s="182" t="str">
        <f>IF(A6="","",VLOOKUP(A6,'Listes déroulantes'!$A$2:$B$55,2,FALSE ))</f>
        <v/>
      </c>
      <c r="C6" s="183" t="str">
        <f>IF(A6="","",IF(E6="NON", "01/01/2020",INDEX('Liste AT'!$I$1:$I$165,(MAX(IF('Liste AT'!#REF!=A6,ROW('Liste AT'!#REF!)))),1)))</f>
        <v/>
      </c>
      <c r="D6" s="184" t="str">
        <f t="shared" ca="1" si="3"/>
        <v/>
      </c>
      <c r="E6" s="327" t="str">
        <f>IF(A6="","",IFERROR(VLOOKUP(A6,'Liste AT'!#REF!,1,FALSE),"NON"))</f>
        <v/>
      </c>
      <c r="F6" s="300" t="str">
        <f>IF(A6="","",COUNTIF('Liste AT'!$G$7:$G$135,E6))</f>
        <v/>
      </c>
      <c r="G6" s="300" t="str">
        <f>IF(A6="","",SUMIF('Liste AT'!$G$7:$G$135,A6,'Liste AT'!$Q$7:$Q$165))</f>
        <v/>
      </c>
      <c r="H6" s="185" t="str">
        <f t="shared" si="0"/>
        <v/>
      </c>
      <c r="I6" s="185" t="str">
        <f t="shared" si="1"/>
        <v/>
      </c>
      <c r="J6" s="327" t="str">
        <f>IF(A6="","",COUNTIFS('Liste AT'!#REF!,A6,'Liste AT'!$L$7:$L$165,"avec arrêt"))</f>
        <v/>
      </c>
      <c r="K6" s="327" t="str">
        <f t="shared" si="2"/>
        <v/>
      </c>
      <c r="L6" s="230" t="str">
        <f>IF(A6="","",(J6-T6)*1000000/(M6*(1607*$W$1/12)))</f>
        <v/>
      </c>
      <c r="M6" s="230" t="str">
        <f ca="1">IF(A6="","",INDEX(INDIRECT("Effectifs!E" &amp;#REF! &amp; ":P" &amp;#REF!),MATCH(-1,INDIRECT("Effectifs!E" &amp;#REF! &amp; ":P" &amp;#REF!),-1)))</f>
        <v/>
      </c>
      <c r="N6" s="230"/>
      <c r="O6" s="300" t="str">
        <f>IF(A6="","",COUNTIFS('Liste AT'!$F$7:$F$135,A6,'Liste AT'!$K$7:$K$165,"=quasi-accident"))</f>
        <v/>
      </c>
      <c r="P6" s="300" t="str">
        <f>IF(A6="","",COUNTIFS('Liste AT'!$G$7:$G$135,A6,'Liste AT'!$K$7:$K$165,"=trajet"))</f>
        <v/>
      </c>
      <c r="Q6" s="300"/>
      <c r="R6" s="300" t="str">
        <f>IF(A6="","",COUNTIFS('Liste AT'!$F$7:$F$135,A6,'Liste AT'!$AB$7:$AB$165,"=oui"))</f>
        <v/>
      </c>
      <c r="S6" s="300"/>
      <c r="T6" s="300" t="str">
        <f>IF(A6="","",COUNTIFS('Liste AT'!$G$7:$G$135,A6,'Liste AT'!$K$7:$K$165,"=trajet",'Liste AT'!$L$7:$L$165,"=avec arrêt"))</f>
        <v/>
      </c>
      <c r="U6" s="300" t="str">
        <f>IF(A6="","",COUNTIFS('Liste AT'!$F$7:$F$135,A6,'Liste AT'!$K$7:$K$165,"=travail",'Liste AT'!$L$7:$L$165,"=avec arrêt"))</f>
        <v/>
      </c>
      <c r="V6" s="300" t="str">
        <f>IF(A6="","",SUMIFS('Liste AT'!$P$7:$P$165,'Liste AT'!$F$7:$F$135,A6,'Liste AT'!$K$7:$K$165,"travail"))</f>
        <v/>
      </c>
    </row>
    <row r="7" spans="1:24" s="227" customFormat="1" x14ac:dyDescent="0.25">
      <c r="A7" s="322" t="str">
        <f>IF('Listes déroulantes'!A46="","",'Listes déroulantes'!A46)</f>
        <v/>
      </c>
      <c r="B7" s="182" t="str">
        <f>IF(A7="","",VLOOKUP(A7,'Listes déroulantes'!$A$2:$B$55,2,FALSE ))</f>
        <v/>
      </c>
      <c r="C7" s="183" t="str">
        <f>IF(A7="","",IF(E7="NON", "01/01/2020",INDEX('Liste AT'!$I$1:$I$165,(MAX(IF('Liste AT'!#REF!=A7,ROW('Liste AT'!#REF!)))),1)))</f>
        <v/>
      </c>
      <c r="D7" s="184" t="str">
        <f t="shared" ca="1" si="3"/>
        <v/>
      </c>
      <c r="E7" s="327" t="str">
        <f>IF(A7="","",IFERROR(VLOOKUP(A7,'Liste AT'!#REF!,1,FALSE),"NON"))</f>
        <v/>
      </c>
      <c r="F7" s="300" t="str">
        <f>IF(A7="","",COUNTIF('Liste AT'!$G$7:$G$135,E7))</f>
        <v/>
      </c>
      <c r="G7" s="300" t="str">
        <f>IF(A7="","",SUMIF('Liste AT'!$G$7:$G$135,A7,'Liste AT'!$Q$7:$Q$165))</f>
        <v/>
      </c>
      <c r="H7" s="185" t="str">
        <f t="shared" si="0"/>
        <v/>
      </c>
      <c r="I7" s="185" t="str">
        <f t="shared" si="1"/>
        <v/>
      </c>
      <c r="J7" s="327" t="str">
        <f>IF(A7="","",COUNTIFS('Liste AT'!#REF!,A7,'Liste AT'!$L$7:$L$165,"avec arrêt"))</f>
        <v/>
      </c>
      <c r="K7" s="327" t="str">
        <f t="shared" si="2"/>
        <v/>
      </c>
      <c r="L7" s="230" t="str">
        <f>IF(A7="","",(J7-T7)*1000000/(M7*(1607*$W$1/12)))</f>
        <v/>
      </c>
      <c r="M7" s="230" t="str">
        <f ca="1">IF(A7="","",INDEX(INDIRECT("Effectifs!E" &amp;#REF! &amp; ":P" &amp;#REF!),MATCH(-1,INDIRECT("Effectifs!E" &amp;#REF! &amp; ":P" &amp;#REF!),-1)))</f>
        <v/>
      </c>
      <c r="N7" s="230"/>
      <c r="O7" s="300"/>
      <c r="P7" s="300" t="str">
        <f>IF(A7="","",COUNTIFS('Liste AT'!#REF!,A7,'Liste AT'!$K$7:$K$165,"=trajet"))</f>
        <v/>
      </c>
      <c r="Q7" s="300"/>
      <c r="R7" s="300" t="str">
        <f>IF(A7="","",COUNTIFS('Liste AT'!#REF!,A7,'Liste AT'!$AB$7:$AB$165,"=oui"))</f>
        <v/>
      </c>
      <c r="S7" s="300"/>
      <c r="T7" s="300" t="str">
        <f>IF(A7="","",COUNTIFS('Liste AT'!#REF!,A7,'Liste AT'!$K$7:$K$165,"=trajet",'Liste AT'!$L$7:$L$165,"=avec arrêt"))</f>
        <v/>
      </c>
      <c r="U7" s="300"/>
      <c r="V7" s="300" t="str">
        <f>IF(A7="","",SUMIFS('Liste AT'!$O$7:$O$165,'Liste AT'!#REF!,A7,'Liste AT'!$K$7:$K$165,"travail"))</f>
        <v/>
      </c>
    </row>
    <row r="8" spans="1:24" s="227" customFormat="1" x14ac:dyDescent="0.25">
      <c r="A8" s="323"/>
      <c r="B8" s="267"/>
      <c r="C8" s="268"/>
      <c r="D8" s="269"/>
      <c r="E8" s="328"/>
      <c r="F8" s="328"/>
      <c r="G8" s="328"/>
      <c r="H8" s="271"/>
      <c r="I8" s="271"/>
      <c r="J8" s="328"/>
      <c r="K8" s="328"/>
      <c r="L8" s="270"/>
      <c r="M8" s="270"/>
      <c r="N8" s="270"/>
      <c r="O8" s="330"/>
      <c r="P8" s="330"/>
      <c r="Q8" s="330"/>
      <c r="R8" s="330"/>
      <c r="S8" s="330"/>
      <c r="T8" s="330"/>
      <c r="U8" s="330"/>
      <c r="V8" s="330"/>
    </row>
    <row r="9" spans="1:24" x14ac:dyDescent="0.25">
      <c r="A9" s="322" t="s">
        <v>1192</v>
      </c>
      <c r="B9" s="182" t="e">
        <f>IF(A9="","",VLOOKUP(A9,'Listes déroulantes'!$A$3:$B$55,2,FALSE ))</f>
        <v>#N/A</v>
      </c>
      <c r="C9" s="183" t="str">
        <f>IF(A9="","",IF(E9="NON", "01/01/2020",INDEX('Liste AT'!$I$1:$I$165,(MAX(IF('Liste AT'!$E$7:$E$165=A9,ROW('Liste AT'!$E$7:$E$165)))),1)))</f>
        <v>01/01/2020</v>
      </c>
      <c r="D9" s="184">
        <f ca="1">IFERROR(TODAY()-C9,"")</f>
        <v>42</v>
      </c>
      <c r="E9" s="327" t="str">
        <f>IF(A9="","",IFERROR(VLOOKUP(A9,'Liste AT'!$E$7:$E$165,1,FALSE),"NON"))</f>
        <v>NON</v>
      </c>
      <c r="F9" s="327">
        <f>IF(A9="","",COUNTIF('Liste AT'!$E$7:$E$165,E9))</f>
        <v>0</v>
      </c>
      <c r="G9" s="327">
        <f>IF(A9="","",SUMIF('Liste AT'!$E$7:$E$165,A9,'Liste AT'!$P$7:$P$165))</f>
        <v>0</v>
      </c>
      <c r="H9" s="185" t="e">
        <f t="shared" ref="H9:H28" ca="1" si="4">IF(A9="","",J9*1000000/(M9*(1607*$X$2/12)))</f>
        <v>#REF!</v>
      </c>
      <c r="I9" s="185" t="e">
        <f t="shared" ref="I9:I20" ca="1" si="5">IF(A9="","",V9*1000/(M9*(1607*$X$2/12)))</f>
        <v>#REF!</v>
      </c>
      <c r="J9" s="327">
        <f>IF(A9="","",COUNTIFS('Liste AT'!$E$7:$E$165,A9,'Liste AT'!$L$7:$L$165,"avec arrêt"))</f>
        <v>0</v>
      </c>
      <c r="K9" s="327">
        <f t="shared" ref="K9:K41" si="6">IF(A9="","",F9-J9)</f>
        <v>0</v>
      </c>
      <c r="L9" s="230" t="e">
        <f t="shared" ref="L9:L31" ca="1" si="7">IF(A9="","",(J9-T9)*1000000/(M9*(1607*$X$2/12)))</f>
        <v>#REF!</v>
      </c>
      <c r="M9" s="230" t="e">
        <f ca="1">IF(A9="","",INDEX(INDIRECT("Effectifs!E" &amp;#REF! &amp; ":P" &amp;#REF!),MATCH(-1,INDIRECT("Effectifs!E" &amp;#REF! &amp; ":P" &amp;#REF!),-1)))</f>
        <v>#REF!</v>
      </c>
      <c r="N9" s="230"/>
      <c r="O9" s="300"/>
      <c r="P9" s="300">
        <f>IF(A9="","",COUNTIFS('Liste AT'!$E$7:$E$165,A9,'Liste AT'!$K$7:$K$165,"=trajet"))</f>
        <v>0</v>
      </c>
      <c r="Q9" s="300" t="e">
        <f>IF(A2="","",COUNTIFS('Liste AT'!$E$7:$E$135,A2,'Liste AT'!R7:R290,"=conducteur témoin d'un accident de personne")+COUNTIFS('Liste AT'!$E$7:$E$135,A2,'Liste AT'!R7:R290,"=agent témoin sauf conducteur"))</f>
        <v>#VALUE!</v>
      </c>
      <c r="R9" s="300">
        <f>IF(A9="","",COUNTIFS('Liste AT'!$E$7:$E$165,A9,'Liste AT'!$AB$7:$AB$165,"=oui"))</f>
        <v>0</v>
      </c>
      <c r="S9" s="300"/>
      <c r="T9" s="300">
        <f>IF(A9="","",COUNTIFS('Liste AT'!$E$7:$E$165,A9,'Liste AT'!$K$7:$K$165,"=trajet",'Liste AT'!$L$7:$L$165,"=avec arrêt"))</f>
        <v>0</v>
      </c>
      <c r="U9" s="300"/>
      <c r="V9" s="300">
        <f>IF(A9="","",SUMIFS('Liste AT'!$O$7:$O$165,'Liste AT'!$E$7:$E$165,A9,'Liste AT'!$K$7:$K$165,"travail"))</f>
        <v>0</v>
      </c>
    </row>
    <row r="10" spans="1:24" ht="27" customHeight="1" x14ac:dyDescent="0.25">
      <c r="A10" s="322" t="s">
        <v>1194</v>
      </c>
      <c r="B10" s="182" t="str">
        <f>IF(A10="","",VLOOKUP(A10,'Listes déroulantes'!$A$3:$B$55,2,FALSE ))</f>
        <v>UO Relation client</v>
      </c>
      <c r="C10" s="183" t="str">
        <f>IF(A10="","",IF(E10="NON", "01/01/2020",INDEX('Liste AT'!$I$1:$I$165,(MAX(IF('Liste AT'!$E$7:$E$165=A10,ROW('Liste AT'!$E$7:$E$165)))),1)))</f>
        <v>01/01/2020</v>
      </c>
      <c r="D10" s="184">
        <f t="shared" ref="D10:D41" ca="1" si="8">IFERROR(TODAY()-C10,"")</f>
        <v>42</v>
      </c>
      <c r="E10" s="327" t="str">
        <f>IF(A10="","",IFERROR(VLOOKUP(A10,'Liste AT'!$E$7:$E$165,1,FALSE),"NON"))</f>
        <v>NON</v>
      </c>
      <c r="F10" s="327">
        <f>IF(A10="","",COUNTIF('Liste AT'!$E$7:$E$165,E10))</f>
        <v>0</v>
      </c>
      <c r="G10" s="327">
        <f>IF(A10="","",SUMIF('Liste AT'!$E$7:$E$165,A10,'Liste AT'!$P$7:$P$165))</f>
        <v>0</v>
      </c>
      <c r="H10" s="185" t="e">
        <f t="shared" ca="1" si="4"/>
        <v>#REF!</v>
      </c>
      <c r="I10" s="185" t="e">
        <f t="shared" ca="1" si="5"/>
        <v>#REF!</v>
      </c>
      <c r="J10" s="327">
        <f>IF(A10="","",COUNTIFS('Liste AT'!$E$7:$E$165,A10,'Liste AT'!$L$7:$L$165,"avec arrêt"))</f>
        <v>0</v>
      </c>
      <c r="K10" s="327">
        <f t="shared" si="6"/>
        <v>0</v>
      </c>
      <c r="L10" s="230" t="e">
        <f t="shared" ca="1" si="7"/>
        <v>#REF!</v>
      </c>
      <c r="M10" s="230" t="e">
        <f ca="1">IF(A10="","",INDEX(INDIRECT("Effectifs!E" &amp;#REF! &amp; ":P" &amp;#REF!),MATCH(-1,INDIRECT("Effectifs!E" &amp;#REF! &amp; ":P" &amp;#REF!),-1)))</f>
        <v>#REF!</v>
      </c>
      <c r="N10" s="230"/>
      <c r="O10" s="300"/>
      <c r="P10" s="300">
        <f>IF(A10="","",COUNTIFS('Liste AT'!$E$7:$E$165,A10,'Liste AT'!$K$7:$K$165,"=trajet"))</f>
        <v>0</v>
      </c>
      <c r="Q10" s="300" t="e">
        <f>IF(A3="","",COUNTIFS('Liste AT'!$E$7:$E$135,A3,'Liste AT'!R8:R291,"=conducteur témoin d'un accident de personne")+COUNTIFS('Liste AT'!$E$7:$E$135,A3,'Liste AT'!R8:R291,"=agent témoin sauf conducteur"))</f>
        <v>#VALUE!</v>
      </c>
      <c r="R10" s="300">
        <f>IF(A10="","",COUNTIFS('Liste AT'!$E$7:$E$165,A10,'Liste AT'!$AB$7:$AB$165,"=oui"))</f>
        <v>0</v>
      </c>
      <c r="S10" s="300"/>
      <c r="T10" s="300">
        <f>IF(A10="","",COUNTIFS('Liste AT'!$E$7:$E$165,A10,'Liste AT'!$K$7:$K$165,"=trajet",'Liste AT'!$L$7:$L$165,"=avec arrêt"))</f>
        <v>0</v>
      </c>
      <c r="U10" s="300"/>
      <c r="V10" s="300">
        <f>IF(A10="","",SUMIFS('Liste AT'!$O$7:$O$165,'Liste AT'!$E$7:$E$165,A10,'Liste AT'!$K$7:$K$165,"travail"))</f>
        <v>0</v>
      </c>
    </row>
    <row r="11" spans="1:24" x14ac:dyDescent="0.25">
      <c r="A11" s="322" t="s">
        <v>1195</v>
      </c>
      <c r="B11" s="182" t="str">
        <f>IF(A11="","",VLOOKUP(A11,'Listes déroulantes'!$A$3:$B$55,2,FALSE ))</f>
        <v>UO Relation client</v>
      </c>
      <c r="C11" s="183" t="str">
        <f>IF(A11="","",IF(E11="NON", "01/01/2020",INDEX('Liste AT'!$I$1:$I$165,(MAX(IF('Liste AT'!$E$7:$E$165=A11,ROW('Liste AT'!$E$7:$E$165)))),1)))</f>
        <v>01/01/2020</v>
      </c>
      <c r="D11" s="184">
        <f t="shared" ca="1" si="8"/>
        <v>42</v>
      </c>
      <c r="E11" s="327" t="str">
        <f>IF(A11="","",IFERROR(VLOOKUP(A11,'Liste AT'!$E$7:$E$165,1,FALSE),"NON"))</f>
        <v>NON</v>
      </c>
      <c r="F11" s="327">
        <f>IF(A11="","",COUNTIF('Liste AT'!$E$7:$E$165,E11))</f>
        <v>0</v>
      </c>
      <c r="G11" s="327">
        <f>IF(A11="","",SUMIF('Liste AT'!$E$7:$E$165,A11,'Liste AT'!$P$7:$P$165))</f>
        <v>0</v>
      </c>
      <c r="H11" s="185" t="e">
        <f t="shared" ca="1" si="4"/>
        <v>#REF!</v>
      </c>
      <c r="I11" s="185" t="e">
        <f t="shared" ca="1" si="5"/>
        <v>#REF!</v>
      </c>
      <c r="J11" s="327">
        <f>IF(A11="","",COUNTIFS('Liste AT'!$E$7:$E$165,A11,'Liste AT'!$L$7:$L$165,"avec arrêt"))</f>
        <v>0</v>
      </c>
      <c r="K11" s="327">
        <f t="shared" si="6"/>
        <v>0</v>
      </c>
      <c r="L11" s="230" t="e">
        <f t="shared" ca="1" si="7"/>
        <v>#REF!</v>
      </c>
      <c r="M11" s="230" t="e">
        <f ca="1">IF(A11="","",INDEX(INDIRECT("Effectifs!E" &amp;#REF! &amp; ":P" &amp;#REF!),MATCH(-1,INDIRECT("Effectifs!E" &amp;#REF! &amp; ":P" &amp;#REF!),-1)))</f>
        <v>#REF!</v>
      </c>
      <c r="N11" s="230"/>
      <c r="O11" s="300"/>
      <c r="P11" s="300">
        <f>IF(A11="","",COUNTIFS('Liste AT'!$E$7:$E$165,A11,'Liste AT'!$K$7:$K$165,"=trajet"))</f>
        <v>0</v>
      </c>
      <c r="Q11" s="300" t="e">
        <f>IF(A4="","",COUNTIFS('Liste AT'!$E$7:$E$135,A4,'Liste AT'!R9:R292,"=conducteur témoin d'un accident de personne")+COUNTIFS('Liste AT'!$E$7:$E$135,A4,'Liste AT'!R9:R292,"=agent témoin sauf conducteur"))</f>
        <v>#VALUE!</v>
      </c>
      <c r="R11" s="300">
        <f>IF(A11="","",COUNTIFS('Liste AT'!$E$7:$E$165,A11,'Liste AT'!$AB$7:$AB$165,"=oui"))</f>
        <v>0</v>
      </c>
      <c r="S11" s="300"/>
      <c r="T11" s="300">
        <f>IF(A11="","",COUNTIFS('Liste AT'!$E$7:$E$165,A11,'Liste AT'!$K$7:$K$165,"=trajet",'Liste AT'!$L$7:$L$165,"=avec arrêt"))</f>
        <v>0</v>
      </c>
      <c r="U11" s="300"/>
      <c r="V11" s="300">
        <f>IF(A11="","",SUMIFS('Liste AT'!$O$7:$O$165,'Liste AT'!$E$7:$E$165,A11,'Liste AT'!$K$7:$K$165,"travail"))</f>
        <v>0</v>
      </c>
    </row>
    <row r="12" spans="1:24" x14ac:dyDescent="0.25">
      <c r="A12" s="322" t="s">
        <v>1196</v>
      </c>
      <c r="B12" s="182" t="str">
        <f>IF(A12="","",VLOOKUP(A12,'Listes déroulantes'!$A$3:$B$55,2,FALSE ))</f>
        <v>UO Relation client</v>
      </c>
      <c r="C12" s="183" t="str">
        <f>IF(A12="","",IF(E12="NON", "01/01/2020",INDEX('Liste AT'!$I$1:$I$165,(MAX(IF('Liste AT'!$E$7:$E$165=A12,ROW('Liste AT'!$E$7:$E$165)))),1)))</f>
        <v>01/01/2020</v>
      </c>
      <c r="D12" s="184">
        <f t="shared" ca="1" si="8"/>
        <v>42</v>
      </c>
      <c r="E12" s="327" t="str">
        <f>IF(A12="","",IFERROR(VLOOKUP(A12,'Liste AT'!$E$7:$E$165,1,FALSE),"NON"))</f>
        <v>NON</v>
      </c>
      <c r="F12" s="327">
        <f>IF(A12="","",COUNTIF('Liste AT'!$E$7:$E$165,E12))</f>
        <v>0</v>
      </c>
      <c r="G12" s="327">
        <f>IF(A12="","",SUMIF('Liste AT'!$E$7:$E$165,A12,'Liste AT'!$P$7:$P$165))</f>
        <v>0</v>
      </c>
      <c r="H12" s="185" t="e">
        <f t="shared" ca="1" si="4"/>
        <v>#REF!</v>
      </c>
      <c r="I12" s="185" t="e">
        <f t="shared" ca="1" si="5"/>
        <v>#REF!</v>
      </c>
      <c r="J12" s="327">
        <f>IF(A12="","",COUNTIFS('Liste AT'!$E$7:$E$165,A12,'Liste AT'!$L$7:$L$165,"avec arrêt"))</f>
        <v>0</v>
      </c>
      <c r="K12" s="327">
        <f t="shared" si="6"/>
        <v>0</v>
      </c>
      <c r="L12" s="230" t="e">
        <f t="shared" ca="1" si="7"/>
        <v>#REF!</v>
      </c>
      <c r="M12" s="230" t="e">
        <f ca="1">IF(A12="","",INDEX(INDIRECT("Effectifs!E" &amp;#REF! &amp; ":P" &amp;#REF!),MATCH(-1,INDIRECT("Effectifs!E" &amp;#REF! &amp; ":P" &amp;#REF!),-1)))</f>
        <v>#REF!</v>
      </c>
      <c r="N12" s="230"/>
      <c r="O12" s="300"/>
      <c r="P12" s="300">
        <f>IF(A12="","",COUNTIFS('Liste AT'!$E$7:$E$165,A12,'Liste AT'!$K$7:$K$165,"=trajet"))</f>
        <v>0</v>
      </c>
      <c r="Q12" s="300" t="str">
        <f>IF(A5="","",COUNTIFS('Liste AT'!$E$7:$E$135,A5,'Liste AT'!R10:R293,"=conducteur témoin d'un accident de personne")+COUNTIFS('Liste AT'!$E$7:$E$135,A5,'Liste AT'!R10:R293,"=agent témoin sauf conducteur"))</f>
        <v/>
      </c>
      <c r="R12" s="300">
        <f>IF(A12="","",COUNTIFS('Liste AT'!$E$7:$E$165,A12,'Liste AT'!$AB$7:$AB$165,"=oui"))</f>
        <v>0</v>
      </c>
      <c r="S12" s="300"/>
      <c r="T12" s="300">
        <f>IF(A12="","",COUNTIFS('Liste AT'!$E$7:$E$165,A12,'Liste AT'!$K$7:$K$165,"=trajet",'Liste AT'!$L$7:$L$165,"=avec arrêt"))</f>
        <v>0</v>
      </c>
      <c r="U12" s="300"/>
      <c r="V12" s="300">
        <f>IF(A12="","",SUMIFS('Liste AT'!$O$7:$O$165,'Liste AT'!$E$7:$E$165,A12,'Liste AT'!$K$7:$K$165,"travail"))</f>
        <v>0</v>
      </c>
    </row>
    <row r="13" spans="1:24" x14ac:dyDescent="0.25">
      <c r="A13" s="322" t="s">
        <v>1197</v>
      </c>
      <c r="B13" s="182" t="str">
        <f>IF(A13="","",VLOOKUP(A13,'Listes déroulantes'!$A$2:$B$55,2,FALSE ))</f>
        <v>UO Relation client</v>
      </c>
      <c r="C13" s="183" t="str">
        <f>IF(A13="","",IF(E13="NON", "01/01/2020",INDEX('Liste AT'!$I$1:$I$165,(MAX(IF('Liste AT'!$E$7:$E$165=A13,ROW('Liste AT'!$E$7:$E$165)))),1)))</f>
        <v>01/01/2020</v>
      </c>
      <c r="D13" s="184">
        <f t="shared" ca="1" si="8"/>
        <v>42</v>
      </c>
      <c r="E13" s="327" t="str">
        <f>IF(A13="","",IFERROR(VLOOKUP(A13,'Liste AT'!$E$7:$E$165,1,FALSE),"NON"))</f>
        <v>NON</v>
      </c>
      <c r="F13" s="327">
        <f>IF(A13="","",COUNTIF('Liste AT'!$E$7:$E$165,E13))</f>
        <v>0</v>
      </c>
      <c r="G13" s="327">
        <f>IF(A13="","",SUMIF('Liste AT'!$E$7:$E$165,A13,'Liste AT'!$P$7:$P$165))</f>
        <v>0</v>
      </c>
      <c r="H13" s="185" t="e">
        <f t="shared" ca="1" si="4"/>
        <v>#REF!</v>
      </c>
      <c r="I13" s="185" t="e">
        <f t="shared" ca="1" si="5"/>
        <v>#REF!</v>
      </c>
      <c r="J13" s="327">
        <f>IF(A13="","",COUNTIFS('Liste AT'!$E$7:$E$165,A13,'Liste AT'!$L$7:$L$165,"avec arrêt"))</f>
        <v>0</v>
      </c>
      <c r="K13" s="327">
        <f t="shared" si="6"/>
        <v>0</v>
      </c>
      <c r="L13" s="230" t="e">
        <f t="shared" ca="1" si="7"/>
        <v>#REF!</v>
      </c>
      <c r="M13" s="230" t="e">
        <f ca="1">IF(A13="","",INDEX(INDIRECT("Effectifs!E" &amp;#REF! &amp; ":P" &amp;#REF!),MATCH(-1,INDIRECT("Effectifs!E" &amp;#REF! &amp; ":P" &amp;#REF!),-1)))</f>
        <v>#REF!</v>
      </c>
      <c r="N13" s="230"/>
      <c r="O13" s="300"/>
      <c r="P13" s="300">
        <f>IF(A13="","",COUNTIFS('Liste AT'!$E$7:$E$165,A13,'Liste AT'!$K$7:$K$165,"=trajet"))</f>
        <v>0</v>
      </c>
      <c r="Q13" s="300" t="str">
        <f>IF(A6="","",COUNTIFS('Liste AT'!$E$7:$E$135,A6,'Liste AT'!R11:R294,"=conducteur témoin d'un accident de personne")+COUNTIFS('Liste AT'!$E$7:$E$135,A6,'Liste AT'!R11:R294,"=agent témoin sauf conducteur"))</f>
        <v/>
      </c>
      <c r="R13" s="300">
        <f>IF(A13="","",COUNTIFS('Liste AT'!$E$7:$E$165,A13,'Liste AT'!$AB$7:$AB$165,"=oui"))</f>
        <v>0</v>
      </c>
      <c r="S13" s="300"/>
      <c r="T13" s="300">
        <f>IF(A13="","",COUNTIFS('Liste AT'!$E$7:$E$165,A13,'Liste AT'!$K$7:$K$165,"=trajet",'Liste AT'!$L$7:$L$165,"=avec arrêt"))</f>
        <v>0</v>
      </c>
      <c r="U13" s="300"/>
      <c r="V13" s="300">
        <f>IF(A13="","",SUMIFS('Liste AT'!$O$7:$O$165,'Liste AT'!$E$7:$E$165,A13,'Liste AT'!$K$7:$K$165,"travail"))</f>
        <v>0</v>
      </c>
    </row>
    <row r="14" spans="1:24" x14ac:dyDescent="0.25">
      <c r="A14" s="322" t="s">
        <v>1198</v>
      </c>
      <c r="B14" s="182" t="str">
        <f>IF(A14="","",VLOOKUP(A14,'Listes déroulantes'!$A$3:$B$55,2,FALSE ))</f>
        <v>UO Relation client</v>
      </c>
      <c r="C14" s="183" t="str">
        <f>IF(A14="","",IF(E14="NON", "01/01/2020",INDEX('Liste AT'!$I$1:$I$165,(MAX(IF('Liste AT'!$E$7:$E$165=A14,ROW('Liste AT'!$E$7:$E$165)))),1)))</f>
        <v>01/01/2020</v>
      </c>
      <c r="D14" s="184">
        <f t="shared" ca="1" si="8"/>
        <v>42</v>
      </c>
      <c r="E14" s="327" t="str">
        <f>IF(A14="","",IFERROR(VLOOKUP(A14,'Liste AT'!$E$7:$E$165,1,FALSE),"NON"))</f>
        <v>NON</v>
      </c>
      <c r="F14" s="327">
        <f>IF(A14="","",COUNTIF('Liste AT'!$E$7:$E$165,E14))</f>
        <v>0</v>
      </c>
      <c r="G14" s="327">
        <f>IF(A14="","",SUMIF('Liste AT'!$E$7:$E$165,A14,'Liste AT'!$P$7:$P$165))</f>
        <v>0</v>
      </c>
      <c r="H14" s="185" t="e">
        <f t="shared" ca="1" si="4"/>
        <v>#REF!</v>
      </c>
      <c r="I14" s="185" t="e">
        <f t="shared" ca="1" si="5"/>
        <v>#REF!</v>
      </c>
      <c r="J14" s="327">
        <f>IF(A14="","",COUNTIFS('Liste AT'!$E$7:$E$165,A14,'Liste AT'!$L$7:$L$165,"avec arrêt"))</f>
        <v>0</v>
      </c>
      <c r="K14" s="327">
        <f t="shared" si="6"/>
        <v>0</v>
      </c>
      <c r="L14" s="230" t="e">
        <f t="shared" ca="1" si="7"/>
        <v>#REF!</v>
      </c>
      <c r="M14" s="230" t="e">
        <f ca="1">IF(A14="","",INDEX(INDIRECT("Effectifs!E" &amp;#REF! &amp; ":P" &amp;#REF!),MATCH(-1,INDIRECT("Effectifs!E" &amp;#REF! &amp; ":P" &amp;#REF!),-1)))</f>
        <v>#REF!</v>
      </c>
      <c r="N14" s="230"/>
      <c r="O14" s="300"/>
      <c r="P14" s="300">
        <f>IF(A14="","",COUNTIFS('Liste AT'!$E$7:$E$165,A14,'Liste AT'!$K$7:$K$165,"=trajet"))</f>
        <v>0</v>
      </c>
      <c r="Q14" s="300" t="str">
        <f>IF(A7="","",COUNTIFS('Liste AT'!$E$7:$E$135,A7,'Liste AT'!R12:R295,"=conducteur témoin d'un accident de personne")+COUNTIFS('Liste AT'!$E$7:$E$135,A7,'Liste AT'!R12:R295,"=agent témoin sauf conducteur"))</f>
        <v/>
      </c>
      <c r="R14" s="300">
        <f>IF(A14="","",COUNTIFS('Liste AT'!$E$7:$E$165,A14,'Liste AT'!$AB$7:$AB$165,"=oui"))</f>
        <v>0</v>
      </c>
      <c r="S14" s="300"/>
      <c r="T14" s="300">
        <f>IF(A14="","",COUNTIFS('Liste AT'!$E$7:$E$165,A14,'Liste AT'!$K$7:$K$165,"=trajet",'Liste AT'!$L$7:$L$165,"=avec arrêt"))</f>
        <v>0</v>
      </c>
      <c r="U14" s="300"/>
      <c r="V14" s="300">
        <f>IF(A14="","",SUMIFS('Liste AT'!$O$7:$O$165,'Liste AT'!$E$7:$E$165,A14,'Liste AT'!$K$7:$K$165,"travail"))</f>
        <v>0</v>
      </c>
    </row>
    <row r="15" spans="1:24" x14ac:dyDescent="0.25">
      <c r="A15" s="322" t="s">
        <v>1199</v>
      </c>
      <c r="B15" s="182" t="str">
        <f>IF(A15="","",VLOOKUP(A15,'Listes déroulantes'!$A$3:$B$55,2,FALSE ))</f>
        <v>UO Relation client</v>
      </c>
      <c r="C15" s="183" t="str">
        <f>IF(A15="","",IF(E15="NON", "01/01/2020",INDEX('Liste AT'!$I$1:$I$165,(MAX(IF('Liste AT'!$E$7:$E$165=A15,ROW('Liste AT'!$E$7:$E$165)))),1)))</f>
        <v>01/01/2020</v>
      </c>
      <c r="D15" s="184">
        <f t="shared" ca="1" si="8"/>
        <v>42</v>
      </c>
      <c r="E15" s="327" t="str">
        <f>IF(A15="","",IFERROR(VLOOKUP(A15,'Liste AT'!$E$7:$E$165,1,FALSE),"NON"))</f>
        <v>NON</v>
      </c>
      <c r="F15" s="327">
        <f>IF(A15="","",COUNTIF('Liste AT'!$E$7:$E$165,E15))</f>
        <v>0</v>
      </c>
      <c r="G15" s="327">
        <f>IF(A15="","",SUMIF('Liste AT'!$E$7:$E$165,A15,'Liste AT'!$P$7:$P$165))</f>
        <v>0</v>
      </c>
      <c r="H15" s="185" t="e">
        <f t="shared" ca="1" si="4"/>
        <v>#REF!</v>
      </c>
      <c r="I15" s="185" t="e">
        <f t="shared" ca="1" si="5"/>
        <v>#REF!</v>
      </c>
      <c r="J15" s="327">
        <f>IF(A15="","",COUNTIFS('Liste AT'!$E$7:$E$165,A15,'Liste AT'!$L$7:$L$165,"avec arrêt"))</f>
        <v>0</v>
      </c>
      <c r="K15" s="327">
        <f t="shared" si="6"/>
        <v>0</v>
      </c>
      <c r="L15" s="230" t="e">
        <f t="shared" ca="1" si="7"/>
        <v>#REF!</v>
      </c>
      <c r="M15" s="230" t="e">
        <f ca="1">IF(A15="","",INDEX(INDIRECT("Effectifs!E" &amp;#REF! &amp; ":P" &amp;#REF!),MATCH(-1,INDIRECT("Effectifs!E" &amp;#REF! &amp; ":P" &amp;#REF!),-1)))</f>
        <v>#REF!</v>
      </c>
      <c r="N15" s="230"/>
      <c r="O15" s="300"/>
      <c r="P15" s="300">
        <f>IF(A15="","",COUNTIFS('Liste AT'!$E$7:$E$165,A15,'Liste AT'!$K$7:$K$165,"=trajet"))</f>
        <v>0</v>
      </c>
      <c r="Q15" s="300" t="str">
        <f>IF(A8="","",COUNTIFS('Liste AT'!$E$7:$E$135,A8,'Liste AT'!R13:R296,"=conducteur témoin d'un accident de personne")+COUNTIFS('Liste AT'!$E$7:$E$135,A8,'Liste AT'!R13:R296,"=agent témoin sauf conducteur"))</f>
        <v/>
      </c>
      <c r="R15" s="300">
        <f>IF(A15="","",COUNTIFS('Liste AT'!$E$7:$E$165,A15,'Liste AT'!$AB$7:$AB$165,"=oui"))</f>
        <v>0</v>
      </c>
      <c r="S15" s="300"/>
      <c r="T15" s="300">
        <f>IF(A15="","",COUNTIFS('Liste AT'!$E$7:$E$165,A15,'Liste AT'!$K$7:$K$165,"=trajet",'Liste AT'!$L$7:$L$165,"=avec arrêt"))</f>
        <v>0</v>
      </c>
      <c r="U15" s="300"/>
      <c r="V15" s="300">
        <f>IF(A15="","",SUMIFS('Liste AT'!$O$7:$O$165,'Liste AT'!$E$7:$E$165,A15,'Liste AT'!$K$7:$K$165,"travail"))</f>
        <v>0</v>
      </c>
    </row>
    <row r="16" spans="1:24" ht="15.75" customHeight="1" x14ac:dyDescent="0.25">
      <c r="A16" s="322" t="s">
        <v>1200</v>
      </c>
      <c r="B16" s="182" t="str">
        <f>IF(A16="","",VLOOKUP(A16,'Listes déroulantes'!$A$3:$B$55,2,FALSE ))</f>
        <v>UO Relation client</v>
      </c>
      <c r="C16" s="183" t="str">
        <f>IF(A16="","",IF(E16="NON", "01/01/2020",INDEX('Liste AT'!$I$1:$I$165,(MAX(IF('Liste AT'!$E$7:$E$165=A16,ROW('Liste AT'!$E$7:$E$165)))),1)))</f>
        <v>01/01/2020</v>
      </c>
      <c r="D16" s="184">
        <f t="shared" ca="1" si="8"/>
        <v>42</v>
      </c>
      <c r="E16" s="327" t="str">
        <f>IF(A16="","",IFERROR(VLOOKUP(A16,'Liste AT'!$E$7:$E$165,1,FALSE),"NON"))</f>
        <v>NON</v>
      </c>
      <c r="F16" s="327">
        <f>IF(A16="","",COUNTIF('Liste AT'!$E$7:$E$165,E16))</f>
        <v>0</v>
      </c>
      <c r="G16" s="327">
        <f>IF(A16="","",SUMIF('Liste AT'!$E$7:$E$165,A16,'Liste AT'!$P$7:$P$165))</f>
        <v>0</v>
      </c>
      <c r="H16" s="185" t="e">
        <f t="shared" ca="1" si="4"/>
        <v>#REF!</v>
      </c>
      <c r="I16" s="185" t="e">
        <f t="shared" ca="1" si="5"/>
        <v>#REF!</v>
      </c>
      <c r="J16" s="327">
        <f>IF(A16="","",COUNTIFS('Liste AT'!$E$7:$E$165,A16,'Liste AT'!$L$7:$L$165,"avec arrêt"))</f>
        <v>0</v>
      </c>
      <c r="K16" s="327">
        <f t="shared" si="6"/>
        <v>0</v>
      </c>
      <c r="L16" s="230" t="e">
        <f t="shared" ca="1" si="7"/>
        <v>#REF!</v>
      </c>
      <c r="M16" s="230" t="e">
        <f ca="1">IF(A16="","",INDEX(INDIRECT("Effectifs!E" &amp;#REF! &amp; ":P" &amp;#REF!),MATCH(-1,INDIRECT("Effectifs!E" &amp;#REF! &amp; ":P" &amp;#REF!),-1)))</f>
        <v>#REF!</v>
      </c>
      <c r="N16" s="230"/>
      <c r="O16" s="300"/>
      <c r="P16" s="300">
        <f>IF(A16="","",COUNTIFS('Liste AT'!$E$7:$E$165,A16,'Liste AT'!$K$7:$K$165,"=trajet"))</f>
        <v>0</v>
      </c>
      <c r="Q16" s="300" t="e">
        <f>IF(A9="","",COUNTIFS('Liste AT'!$E$7:$E$135,A9,'Liste AT'!R14:R297,"=conducteur témoin d'un accident de personne")+COUNTIFS('Liste AT'!$E$7:$E$135,A9,'Liste AT'!R14:R297,"=agent témoin sauf conducteur"))</f>
        <v>#VALUE!</v>
      </c>
      <c r="R16" s="300">
        <f>IF(A16="","",COUNTIFS('Liste AT'!$E$7:$E$165,A16,'Liste AT'!$AB$7:$AB$165,"=oui"))</f>
        <v>0</v>
      </c>
      <c r="S16" s="300"/>
      <c r="T16" s="300">
        <f>IF(A16="","",COUNTIFS('Liste AT'!$E$7:$E$165,A16,'Liste AT'!$K$7:$K$165,"=trajet",'Liste AT'!$L$7:$L$165,"=avec arrêt"))</f>
        <v>0</v>
      </c>
      <c r="U16" s="300"/>
      <c r="V16" s="300">
        <f>IF(A16="","",SUMIFS('Liste AT'!$O$7:$O$165,'Liste AT'!$E$7:$E$165,A16,'Liste AT'!$K$7:$K$165,"travail"))</f>
        <v>0</v>
      </c>
    </row>
    <row r="17" spans="1:22" ht="27" customHeight="1" x14ac:dyDescent="0.25">
      <c r="A17" s="322" t="s">
        <v>1201</v>
      </c>
      <c r="B17" s="182" t="str">
        <f>IF(A17="","",VLOOKUP(A17,'Listes déroulantes'!$A$3:$B$55,2,FALSE ))</f>
        <v>UO Relation client</v>
      </c>
      <c r="C17" s="183" t="str">
        <f>IF(A17="","",IF(E17="NON", "01/01/2020",INDEX('Liste AT'!$I$1:$I$165,(MAX(IF('Liste AT'!$E$7:$E$165=A17,ROW('Liste AT'!$E$7:$E$165)))),1)))</f>
        <v>01/01/2020</v>
      </c>
      <c r="D17" s="184">
        <f t="shared" ca="1" si="8"/>
        <v>42</v>
      </c>
      <c r="E17" s="327" t="str">
        <f>IF(A17="","",IFERROR(VLOOKUP(A17,'Liste AT'!$E$7:$E$165,1,FALSE),"NON"))</f>
        <v>NON</v>
      </c>
      <c r="F17" s="327">
        <f>IF(A17="","",COUNTIF('Liste AT'!$E$7:$E$165,E17))</f>
        <v>0</v>
      </c>
      <c r="G17" s="327">
        <f>IF(A17="","",SUMIF('Liste AT'!$E$7:$E$165,A17,'Liste AT'!$P$7:$P$165))</f>
        <v>0</v>
      </c>
      <c r="H17" s="185" t="e">
        <f t="shared" ca="1" si="4"/>
        <v>#REF!</v>
      </c>
      <c r="I17" s="185" t="e">
        <f t="shared" ca="1" si="5"/>
        <v>#REF!</v>
      </c>
      <c r="J17" s="327">
        <f>IF(A17="","",COUNTIFS('Liste AT'!$E$7:$E$165,A17,'Liste AT'!$L$7:$L$165,"avec arrêt"))</f>
        <v>0</v>
      </c>
      <c r="K17" s="327">
        <f t="shared" si="6"/>
        <v>0</v>
      </c>
      <c r="L17" s="230" t="e">
        <f t="shared" ca="1" si="7"/>
        <v>#REF!</v>
      </c>
      <c r="M17" s="230" t="e">
        <f ca="1">IF(A17="","",INDEX(INDIRECT("Effectifs!E" &amp;#REF! &amp; ":P" &amp;#REF!),MATCH(-1,INDIRECT("Effectifs!E" &amp;#REF! &amp; ":P" &amp;#REF!),-1)))</f>
        <v>#REF!</v>
      </c>
      <c r="N17" s="230"/>
      <c r="O17" s="300"/>
      <c r="P17" s="300">
        <f>IF(A17="","",COUNTIFS('Liste AT'!$E$7:$E$165,A17,'Liste AT'!$K$7:$K$165,"=trajet"))</f>
        <v>0</v>
      </c>
      <c r="Q17" s="300" t="e">
        <f>IF(A10="","",COUNTIFS('Liste AT'!$E$7:$E$135,A10,'Liste AT'!R15:R298,"=conducteur témoin d'un accident de personne")+COUNTIFS('Liste AT'!$E$7:$E$135,A10,'Liste AT'!R15:R298,"=agent témoin sauf conducteur"))</f>
        <v>#VALUE!</v>
      </c>
      <c r="R17" s="300">
        <f>IF(A17="","",COUNTIFS('Liste AT'!$E$7:$E$165,A17,'Liste AT'!$AB$7:$AB$165,"=oui"))</f>
        <v>0</v>
      </c>
      <c r="S17" s="300"/>
      <c r="T17" s="300">
        <f>IF(A17="","",COUNTIFS('Liste AT'!$E$7:$E$165,A17,'Liste AT'!$K$7:$K$165,"=trajet",'Liste AT'!$L$7:$L$165,"=avec arrêt"))</f>
        <v>0</v>
      </c>
      <c r="U17" s="300"/>
      <c r="V17" s="300">
        <f>IF(A17="","",SUMIFS('Liste AT'!$O$7:$O$165,'Liste AT'!$E$7:$E$165,A17,'Liste AT'!$K$7:$K$165,"travail"))</f>
        <v>0</v>
      </c>
    </row>
    <row r="18" spans="1:22" x14ac:dyDescent="0.25">
      <c r="A18" s="322" t="s">
        <v>1202</v>
      </c>
      <c r="B18" s="182" t="str">
        <f>IF(A18="","",VLOOKUP(A18,'Listes déroulantes'!$A$3:$B$55,2,FALSE ))</f>
        <v>UO Relation client</v>
      </c>
      <c r="C18" s="183" t="str">
        <f>IF(A18="","",IF(E18="NON", "01/01/2020",INDEX('Liste AT'!$I$1:$I$165,(MAX(IF('Liste AT'!$E$7:$E$165=A18,ROW('Liste AT'!$E$7:$E$165)))),1)))</f>
        <v>01/01/2020</v>
      </c>
      <c r="D18" s="184">
        <f t="shared" ca="1" si="8"/>
        <v>42</v>
      </c>
      <c r="E18" s="327" t="str">
        <f>IF(A18="","",IFERROR(VLOOKUP(A18,'Liste AT'!$E$7:$E$165,1,FALSE),"NON"))</f>
        <v>NON</v>
      </c>
      <c r="F18" s="327">
        <f>IF(A18="","",COUNTIF('Liste AT'!$E$7:$E$165,E18))</f>
        <v>0</v>
      </c>
      <c r="G18" s="327">
        <f>IF(A18="","",SUMIF('Liste AT'!$E$7:$E$165,A18,'Liste AT'!$P$7:$P$165))</f>
        <v>0</v>
      </c>
      <c r="H18" s="185" t="e">
        <f t="shared" ca="1" si="4"/>
        <v>#REF!</v>
      </c>
      <c r="I18" s="185" t="e">
        <f t="shared" ca="1" si="5"/>
        <v>#REF!</v>
      </c>
      <c r="J18" s="327">
        <f>IF(A18="","",COUNTIFS('Liste AT'!$E$7:$E$165,A18,'Liste AT'!$L$7:$L$165,"avec arrêt"))</f>
        <v>0</v>
      </c>
      <c r="K18" s="327">
        <f t="shared" si="6"/>
        <v>0</v>
      </c>
      <c r="L18" s="230" t="e">
        <f t="shared" ca="1" si="7"/>
        <v>#REF!</v>
      </c>
      <c r="M18" s="230" t="e">
        <f ca="1">IF(A18="","",INDEX(INDIRECT("Effectifs!E" &amp;#REF! &amp; ":P" &amp;#REF!),MATCH(-1,INDIRECT("Effectifs!E" &amp;#REF! &amp; ":P" &amp;#REF!),-1)))</f>
        <v>#REF!</v>
      </c>
      <c r="N18" s="230"/>
      <c r="O18" s="300"/>
      <c r="P18" s="300">
        <f>IF(A18="","",COUNTIFS('Liste AT'!$E$7:$E$165,A18,'Liste AT'!$K$7:$K$165,"=trajet"))</f>
        <v>0</v>
      </c>
      <c r="Q18" s="300" t="e">
        <f>IF(A11="","",COUNTIFS('Liste AT'!$E$7:$E$135,A11,'Liste AT'!R16:R299,"=conducteur témoin d'un accident de personne")+COUNTIFS('Liste AT'!$E$7:$E$135,A11,'Liste AT'!R16:R299,"=agent témoin sauf conducteur"))</f>
        <v>#VALUE!</v>
      </c>
      <c r="R18" s="300">
        <f>IF(A18="","",COUNTIFS('Liste AT'!$E$7:$E$165,A18,'Liste AT'!$AB$7:$AB$165,"=oui"))</f>
        <v>0</v>
      </c>
      <c r="S18" s="300"/>
      <c r="T18" s="300">
        <f>IF(A18="","",COUNTIFS('Liste AT'!$E$7:$E$165,A18,'Liste AT'!$K$7:$K$165,"=trajet",'Liste AT'!$L$7:$L$165,"=avec arrêt"))</f>
        <v>0</v>
      </c>
      <c r="U18" s="300"/>
      <c r="V18" s="300">
        <f>IF(A18="","",SUMIFS('Liste AT'!$O$7:$O$165,'Liste AT'!$E$7:$E$165,A18,'Liste AT'!$K$7:$K$165,"travail"))</f>
        <v>0</v>
      </c>
    </row>
    <row r="19" spans="1:22" x14ac:dyDescent="0.25">
      <c r="A19" s="322" t="s">
        <v>1203</v>
      </c>
      <c r="B19" s="182" t="str">
        <f>IF(A19="","",VLOOKUP(A19,'Listes déroulantes'!$A$3:$B$55,2,FALSE ))</f>
        <v>UO Relation client</v>
      </c>
      <c r="C19" s="183" t="str">
        <f>IF(A19="","",IF(E19="NON", "01/01/2020",INDEX('Liste AT'!$I$1:$I$165,(MAX(IF('Liste AT'!$E$7:$E$165=A19,ROW('Liste AT'!$E$7:$E$165)))),1)))</f>
        <v>01/01/2020</v>
      </c>
      <c r="D19" s="184">
        <f t="shared" ca="1" si="8"/>
        <v>42</v>
      </c>
      <c r="E19" s="327" t="str">
        <f>IF(A19="","",IFERROR(VLOOKUP(A19,'Liste AT'!$E$7:$E$165,1,FALSE),"NON"))</f>
        <v>NON</v>
      </c>
      <c r="F19" s="327">
        <f>IF(A19="","",COUNTIF('Liste AT'!$E$7:$E$165,E19))</f>
        <v>0</v>
      </c>
      <c r="G19" s="327">
        <f>IF(A19="","",SUMIF('Liste AT'!$E$7:$E$165,A19,'Liste AT'!$P$7:$P$165))</f>
        <v>0</v>
      </c>
      <c r="H19" s="185" t="e">
        <f t="shared" ca="1" si="4"/>
        <v>#REF!</v>
      </c>
      <c r="I19" s="185" t="e">
        <f t="shared" ca="1" si="5"/>
        <v>#REF!</v>
      </c>
      <c r="J19" s="327">
        <f>IF(A19="","",COUNTIFS('Liste AT'!$E$7:$E$165,A19,'Liste AT'!$L$7:$L$165,"avec arrêt"))</f>
        <v>0</v>
      </c>
      <c r="K19" s="327">
        <f t="shared" si="6"/>
        <v>0</v>
      </c>
      <c r="L19" s="230" t="e">
        <f t="shared" ca="1" si="7"/>
        <v>#REF!</v>
      </c>
      <c r="M19" s="230" t="e">
        <f ca="1">IF(A19="","",INDEX(INDIRECT("Effectifs!E" &amp;#REF! &amp; ":P" &amp;#REF!),MATCH(-1,INDIRECT("Effectifs!E" &amp;#REF! &amp; ":P" &amp;#REF!),-1)))</f>
        <v>#REF!</v>
      </c>
      <c r="N19" s="230"/>
      <c r="O19" s="300"/>
      <c r="P19" s="300">
        <f>IF(A19="","",COUNTIFS('Liste AT'!$E$7:$E$165,A19,'Liste AT'!$K$7:$K$165,"=trajet"))</f>
        <v>0</v>
      </c>
      <c r="Q19" s="300" t="e">
        <f>IF(A12="","",COUNTIFS('Liste AT'!$E$7:$E$135,A12,'Liste AT'!R17:R300,"=conducteur témoin d'un accident de personne")+COUNTIFS('Liste AT'!$E$7:$E$135,A12,'Liste AT'!R17:R300,"=agent témoin sauf conducteur"))</f>
        <v>#VALUE!</v>
      </c>
      <c r="R19" s="300">
        <f>IF(A19="","",COUNTIFS('Liste AT'!$E$7:$E$165,A19,'Liste AT'!$AB$7:$AB$165,"=oui"))</f>
        <v>0</v>
      </c>
      <c r="S19" s="300"/>
      <c r="T19" s="300">
        <f>IF(A19="","",COUNTIFS('Liste AT'!$E$7:$E$165,A19,'Liste AT'!$K$7:$K$165,"=trajet",'Liste AT'!$L$7:$L$165,"=avec arrêt"))</f>
        <v>0</v>
      </c>
      <c r="U19" s="300"/>
      <c r="V19" s="300">
        <f>IF(A19="","",SUMIFS('Liste AT'!$O$7:$O$165,'Liste AT'!$E$7:$E$165,A19,'Liste AT'!$K$7:$K$165,"travail"))</f>
        <v>0</v>
      </c>
    </row>
    <row r="20" spans="1:22" ht="19.5" customHeight="1" x14ac:dyDescent="0.25">
      <c r="A20" s="322" t="s">
        <v>1204</v>
      </c>
      <c r="B20" s="182" t="str">
        <f>IF(A20="","",VLOOKUP(A20,'Listes déroulantes'!$A$3:$B$55,2,FALSE ))</f>
        <v>UO Relation client</v>
      </c>
      <c r="C20" s="183" t="str">
        <f>IF(A20="","",IF(E20="NON", "01/01/2020",INDEX('Liste AT'!$I$1:$I$165,(MAX(IF('Liste AT'!$E$7:$E$165=A20,ROW('Liste AT'!$E$7:$E$165)))),1)))</f>
        <v>01/01/2020</v>
      </c>
      <c r="D20" s="184">
        <f t="shared" ca="1" si="8"/>
        <v>42</v>
      </c>
      <c r="E20" s="327" t="str">
        <f>IF(A20="","",IFERROR(VLOOKUP(A20,'Liste AT'!$E$7:$E$165,1,FALSE),"NON"))</f>
        <v>NON</v>
      </c>
      <c r="F20" s="327">
        <f>IF(A20="","",COUNTIF('Liste AT'!$E$7:$E$165,E20))</f>
        <v>0</v>
      </c>
      <c r="G20" s="327">
        <f>IF(A20="","",SUMIF('Liste AT'!$E$7:$E$165,A20,'Liste AT'!$P$7:$P$165))</f>
        <v>0</v>
      </c>
      <c r="H20" s="185" t="e">
        <f t="shared" ca="1" si="4"/>
        <v>#REF!</v>
      </c>
      <c r="I20" s="185" t="e">
        <f t="shared" ca="1" si="5"/>
        <v>#REF!</v>
      </c>
      <c r="J20" s="327">
        <f>IF(A20="","",COUNTIFS('Liste AT'!$E$7:$E$165,A20,'Liste AT'!$L$7:$L$165,"avec arrêt"))</f>
        <v>0</v>
      </c>
      <c r="K20" s="327">
        <f t="shared" si="6"/>
        <v>0</v>
      </c>
      <c r="L20" s="230" t="e">
        <f t="shared" ca="1" si="7"/>
        <v>#REF!</v>
      </c>
      <c r="M20" s="230" t="e">
        <f ca="1">IF(A20="","",INDEX(INDIRECT("Effectifs!E" &amp;#REF! &amp; ":P" &amp;#REF!),MATCH(-1,INDIRECT("Effectifs!E" &amp;#REF! &amp; ":P" &amp;#REF!),-1)))</f>
        <v>#REF!</v>
      </c>
      <c r="N20" s="230"/>
      <c r="O20" s="300"/>
      <c r="P20" s="300">
        <f>IF(A20="","",COUNTIFS('Liste AT'!$E$7:$E$165,A20,'Liste AT'!$K$7:$K$165,"=trajet"))</f>
        <v>0</v>
      </c>
      <c r="Q20" s="300" t="e">
        <f>IF(A13="","",COUNTIFS('Liste AT'!$E$7:$E$135,A13,'Liste AT'!R18:R301,"=conducteur témoin d'un accident de personne")+COUNTIFS('Liste AT'!$E$7:$E$135,A13,'Liste AT'!R18:R301,"=agent témoin sauf conducteur"))</f>
        <v>#VALUE!</v>
      </c>
      <c r="R20" s="300">
        <f>IF(A20="","",COUNTIFS('Liste AT'!$E$7:$E$165,A20,'Liste AT'!$AB$7:$AB$165,"=oui"))</f>
        <v>0</v>
      </c>
      <c r="S20" s="300"/>
      <c r="T20" s="300">
        <f>IF(A20="","",COUNTIFS('Liste AT'!$E$7:$E$165,A20,'Liste AT'!$K$7:$K$165,"=trajet",'Liste AT'!$L$7:$L$165,"=avec arrêt"))</f>
        <v>0</v>
      </c>
      <c r="U20" s="300"/>
      <c r="V20" s="300">
        <f>IF(A20="","",SUMIFS('Liste AT'!$O$7:$O$165,'Liste AT'!$E$7:$E$165,A20,'Liste AT'!$K$7:$K$165,"travail"))</f>
        <v>0</v>
      </c>
    </row>
    <row r="21" spans="1:22" x14ac:dyDescent="0.25">
      <c r="A21" s="322" t="s">
        <v>1205</v>
      </c>
      <c r="B21" s="182" t="str">
        <f>IF(A21="","",VLOOKUP(A21,'Listes déroulantes'!$A$3:$B$55,2,FALSE ))</f>
        <v>UO Relation client</v>
      </c>
      <c r="C21" s="183" t="str">
        <f>IF(A21="","",IF(E21="NON", "01/01/2020",INDEX('Liste AT'!$I$1:$I$165,(MAX(IF('Liste AT'!$E$7:$E$165=A21,ROW('Liste AT'!$E$7:$E$165)))),1)))</f>
        <v>01/01/2020</v>
      </c>
      <c r="D21" s="184">
        <f t="shared" ca="1" si="8"/>
        <v>42</v>
      </c>
      <c r="E21" s="327" t="str">
        <f>IF(A21="","",IFERROR(VLOOKUP(A21,'Liste AT'!$E$7:$E$165,1,FALSE),"NON"))</f>
        <v>NON</v>
      </c>
      <c r="F21" s="327">
        <f>IF(A21="","",COUNTIF('Liste AT'!$E$7:$E$165,E21))</f>
        <v>0</v>
      </c>
      <c r="G21" s="327">
        <f>IF(A21="","",SUMIF('Liste AT'!$E$7:$E$165,A21,'Liste AT'!$P$7:$P$165))</f>
        <v>0</v>
      </c>
      <c r="H21" s="185" t="e">
        <f t="shared" ca="1" si="4"/>
        <v>#REF!</v>
      </c>
      <c r="I21" s="185" t="e">
        <f t="shared" ref="I21:I41" ca="1" si="9">IF(A21="","",V21*1000/(M21*(1607*$W$1/12)))</f>
        <v>#REF!</v>
      </c>
      <c r="J21" s="327">
        <f>IF(A21="","",COUNTIFS('Liste AT'!$E$7:$E$165,A21,'Liste AT'!$L$7:$L$165,"avec arrêt"))</f>
        <v>0</v>
      </c>
      <c r="K21" s="327">
        <f t="shared" si="6"/>
        <v>0</v>
      </c>
      <c r="L21" s="230" t="e">
        <f t="shared" ca="1" si="7"/>
        <v>#REF!</v>
      </c>
      <c r="M21" s="230" t="e">
        <f ca="1">IF(A21="","",INDEX(INDIRECT("Effectifs!E" &amp;#REF! &amp; ":P" &amp;#REF!),MATCH(-1,INDIRECT("Effectifs!E" &amp;#REF! &amp; ":P" &amp;#REF!),-1)))</f>
        <v>#REF!</v>
      </c>
      <c r="N21" s="230"/>
      <c r="O21" s="300"/>
      <c r="P21" s="300">
        <f>IF(A21="","",COUNTIFS('Liste AT'!$E$7:$E$165,A21,'Liste AT'!$K$7:$K$165,"=trajet"))</f>
        <v>0</v>
      </c>
      <c r="Q21" s="300" t="e">
        <f>IF(A14="","",COUNTIFS('Liste AT'!$E$7:$E$135,A14,'Liste AT'!R19:R302,"=conducteur témoin d'un accident de personne")+COUNTIFS('Liste AT'!$E$7:$E$135,A14,'Liste AT'!R19:R302,"=agent témoin sauf conducteur"))</f>
        <v>#VALUE!</v>
      </c>
      <c r="R21" s="300">
        <f>IF(A21="","",COUNTIFS('Liste AT'!$E$7:$E$165,A21,'Liste AT'!$AB$7:$AB$165,"=oui"))</f>
        <v>0</v>
      </c>
      <c r="S21" s="300"/>
      <c r="T21" s="300">
        <f>IF(A21="","",COUNTIFS('Liste AT'!$E$7:$E$165,A21,'Liste AT'!$K$7:$K$165,"=trajet",'Liste AT'!$L$7:$L$165,"=avec arrêt"))</f>
        <v>0</v>
      </c>
      <c r="U21" s="300"/>
      <c r="V21" s="300">
        <f>IF(A21="","",SUMIFS('Liste AT'!$O$7:$O$165,'Liste AT'!$E$7:$E$165,A21,'Liste AT'!$K$7:$K$165,"travail"))</f>
        <v>0</v>
      </c>
    </row>
    <row r="22" spans="1:22" hidden="1" x14ac:dyDescent="0.25">
      <c r="A22" s="322" t="e">
        <f>IF('Listes déroulantes'!#REF!="","",'Listes déroulantes'!#REF!)</f>
        <v>#REF!</v>
      </c>
      <c r="B22" s="182" t="e">
        <f>IF(A22="","",VLOOKUP(A22,'Listes déroulantes'!$A$3:$B$55,2,FALSE ))</f>
        <v>#REF!</v>
      </c>
      <c r="C22" s="183" t="e">
        <f>IF(A22="","",IF(E22="NON", "01/01/2020",INDEX('Liste AT'!$I$1:$I$165,(MAX(IF('Liste AT'!$E$7:$E$165=A22,ROW('Liste AT'!$E$7:$E$165)))),1)))</f>
        <v>#REF!</v>
      </c>
      <c r="D22" s="184" t="str">
        <f t="shared" ca="1" si="8"/>
        <v/>
      </c>
      <c r="E22" s="327" t="e">
        <f>IF(A22="","",IFERROR(VLOOKUP(A22,'Liste AT'!$E$7:$E$165,1,FALSE),"NON"))</f>
        <v>#REF!</v>
      </c>
      <c r="F22" s="327" t="e">
        <f>IF(A22="","",COUNTIF('Liste AT'!$E$7:$E$165,E22))</f>
        <v>#REF!</v>
      </c>
      <c r="G22" s="327" t="e">
        <f>IF(A22="","",SUMIF('Liste AT'!$E$7:$E$165,A22,'Liste AT'!$P$7:$P$165))</f>
        <v>#REF!</v>
      </c>
      <c r="H22" s="185" t="e">
        <f t="shared" si="4"/>
        <v>#REF!</v>
      </c>
      <c r="I22" s="185" t="e">
        <f t="shared" si="9"/>
        <v>#REF!</v>
      </c>
      <c r="J22" s="327" t="e">
        <f>IF(A22="","",COUNTIFS('Liste AT'!$E$7:$E$165,A22,'Liste AT'!$L$7:$L$165,"avec arrêt"))</f>
        <v>#REF!</v>
      </c>
      <c r="K22" s="327" t="e">
        <f t="shared" si="6"/>
        <v>#REF!</v>
      </c>
      <c r="L22" s="230" t="e">
        <f t="shared" si="7"/>
        <v>#REF!</v>
      </c>
      <c r="M22" s="230" t="e">
        <f ca="1">IF(A22="","",INDEX(INDIRECT("Effectifs!E" &amp;#REF! &amp; ":P" &amp;#REF!),MATCH(-1,INDIRECT("Effectifs!E" &amp;#REF! &amp; ":P" &amp;#REF!),-1)))</f>
        <v>#REF!</v>
      </c>
      <c r="N22" s="230"/>
      <c r="O22" s="300"/>
      <c r="P22" s="300" t="e">
        <f>IF(A22="","",COUNTIFS('Liste AT'!$E$7:$E$165,A22,'Liste AT'!$K$7:$K$165,"=trajet"))</f>
        <v>#REF!</v>
      </c>
      <c r="Q22" s="300" t="e">
        <f>IF(A15="","",COUNTIFS('Liste AT'!$E$7:$E$135,A15,'Liste AT'!R20:R303,"=conducteur témoin d'un accident de personne")+COUNTIFS('Liste AT'!$E$7:$E$135,A15,'Liste AT'!R20:R303,"=agent témoin sauf conducteur"))</f>
        <v>#VALUE!</v>
      </c>
      <c r="R22" s="300" t="e">
        <f>IF(A22="","",COUNTIFS('Liste AT'!$E$7:$E$165,A22,'Liste AT'!$AB$7:$AB$165,"=oui"))</f>
        <v>#REF!</v>
      </c>
      <c r="S22" s="300"/>
      <c r="T22" s="300" t="e">
        <f>IF(A22="","",COUNTIFS('Liste AT'!$E$7:$E$165,A22,'Liste AT'!$K$7:$K$165,"=trajet",'Liste AT'!$L$7:$L$165,"=avec arrêt"))</f>
        <v>#REF!</v>
      </c>
      <c r="U22" s="300"/>
      <c r="V22" s="300" t="e">
        <f>IF(A22="","",SUMIFS('Liste AT'!$O$7:$O$165,'Liste AT'!$E$7:$E$165,A22,'Liste AT'!$K$7:$K$165,"travail"))</f>
        <v>#REF!</v>
      </c>
    </row>
    <row r="23" spans="1:22" hidden="1" x14ac:dyDescent="0.25">
      <c r="A23" s="322" t="e">
        <f>IF('Listes déroulantes'!#REF!="","",'Listes déroulantes'!#REF!)</f>
        <v>#REF!</v>
      </c>
      <c r="B23" s="182" t="e">
        <f>IF(A23="","",VLOOKUP(A23,'Listes déroulantes'!$A$3:$B$55,2,FALSE ))</f>
        <v>#REF!</v>
      </c>
      <c r="C23" s="183" t="e">
        <f>IF(A23="","",IF(E23="NON", "01/01/2020",INDEX('Liste AT'!$I$1:$I$165,(MAX(IF('Liste AT'!$E$7:$E$165=A23,ROW('Liste AT'!$E$7:$E$165)))),1)))</f>
        <v>#REF!</v>
      </c>
      <c r="D23" s="184" t="str">
        <f t="shared" ca="1" si="8"/>
        <v/>
      </c>
      <c r="E23" s="327" t="e">
        <f>IF(A23="","",IFERROR(VLOOKUP(A23,'Liste AT'!$E$7:$E$165,1,FALSE),"NON"))</f>
        <v>#REF!</v>
      </c>
      <c r="F23" s="327" t="e">
        <f>IF(A23="","",COUNTIF('Liste AT'!$E$7:$E$165,E23))</f>
        <v>#REF!</v>
      </c>
      <c r="G23" s="327" t="e">
        <f>IF(A23="","",SUMIF('Liste AT'!$E$7:$E$165,A23,'Liste AT'!$P$7:$P$165))</f>
        <v>#REF!</v>
      </c>
      <c r="H23" s="185" t="e">
        <f t="shared" si="4"/>
        <v>#REF!</v>
      </c>
      <c r="I23" s="185" t="e">
        <f t="shared" si="9"/>
        <v>#REF!</v>
      </c>
      <c r="J23" s="327" t="e">
        <f>IF(A23="","",COUNTIFS('Liste AT'!$E$7:$E$165,A23,'Liste AT'!$L$7:$L$165,"avec arrêt"))</f>
        <v>#REF!</v>
      </c>
      <c r="K23" s="327" t="e">
        <f t="shared" si="6"/>
        <v>#REF!</v>
      </c>
      <c r="L23" s="230" t="e">
        <f t="shared" si="7"/>
        <v>#REF!</v>
      </c>
      <c r="M23" s="230" t="e">
        <f ca="1">IF(A23="","",INDEX(INDIRECT("Effectifs!E" &amp;#REF! &amp; ":P" &amp;#REF!),MATCH(-1,INDIRECT("Effectifs!E" &amp;#REF! &amp; ":P" &amp;#REF!),-1)))</f>
        <v>#REF!</v>
      </c>
      <c r="N23" s="230"/>
      <c r="O23" s="300"/>
      <c r="P23" s="300" t="e">
        <f>IF(A23="","",COUNTIFS('Liste AT'!$E$7:$E$165,A23,'Liste AT'!$K$7:$K$165,"=trajet"))</f>
        <v>#REF!</v>
      </c>
      <c r="Q23" s="300" t="e">
        <f>IF(A16="","",COUNTIFS('Liste AT'!$E$7:$E$135,A16,'Liste AT'!R21:R304,"=conducteur témoin d'un accident de personne")+COUNTIFS('Liste AT'!$E$7:$E$135,A16,'Liste AT'!R21:R304,"=agent témoin sauf conducteur"))</f>
        <v>#VALUE!</v>
      </c>
      <c r="R23" s="300" t="e">
        <f>IF(A23="","",COUNTIFS('Liste AT'!$E$7:$E$165,A23,'Liste AT'!$AB$7:$AB$165,"=oui"))</f>
        <v>#REF!</v>
      </c>
      <c r="S23" s="300"/>
      <c r="T23" s="300" t="e">
        <f>IF(A23="","",COUNTIFS('Liste AT'!$E$7:$E$165,A23,'Liste AT'!$K$7:$K$165,"=trajet",'Liste AT'!$L$7:$L$165,"=avec arrêt"))</f>
        <v>#REF!</v>
      </c>
      <c r="U23" s="300"/>
      <c r="V23" s="300" t="e">
        <f>IF(A23="","",SUMIFS('Liste AT'!$O$7:$O$165,'Liste AT'!$E$7:$E$165,A23,'Liste AT'!$K$7:$K$165,"travail"))</f>
        <v>#REF!</v>
      </c>
    </row>
    <row r="24" spans="1:22" hidden="1" x14ac:dyDescent="0.25">
      <c r="A24" s="322" t="e">
        <f>IF('Listes déroulantes'!#REF!="","",'Listes déroulantes'!#REF!)</f>
        <v>#REF!</v>
      </c>
      <c r="B24" s="182" t="e">
        <f>IF(A24="","",VLOOKUP(A24,'Listes déroulantes'!$A$3:$B$55,2,FALSE ))</f>
        <v>#REF!</v>
      </c>
      <c r="C24" s="183" t="e">
        <f>IF(A24="","",IF(E24="NON", "01/01/2020",INDEX('Liste AT'!$I$1:$I$165,(MAX(IF('Liste AT'!$E$7:$E$165=A24,ROW('Liste AT'!$E$7:$E$165)))),1)))</f>
        <v>#REF!</v>
      </c>
      <c r="D24" s="184" t="str">
        <f t="shared" ca="1" si="8"/>
        <v/>
      </c>
      <c r="E24" s="327" t="e">
        <f>IF(A24="","",IFERROR(VLOOKUP(A24,'Liste AT'!$E$7:$E$165,1,FALSE),"NON"))</f>
        <v>#REF!</v>
      </c>
      <c r="F24" s="327" t="e">
        <f>IF(A24="","",COUNTIF('Liste AT'!$E$7:$E$165,E24))</f>
        <v>#REF!</v>
      </c>
      <c r="G24" s="327" t="e">
        <f>IF(A24="","",SUMIF('Liste AT'!$E$7:$E$165,A24,'Liste AT'!$P$7:$P$165))</f>
        <v>#REF!</v>
      </c>
      <c r="H24" s="185" t="e">
        <f t="shared" si="4"/>
        <v>#REF!</v>
      </c>
      <c r="I24" s="185" t="e">
        <f t="shared" si="9"/>
        <v>#REF!</v>
      </c>
      <c r="J24" s="327" t="e">
        <f>IF(A24="","",COUNTIFS('Liste AT'!$E$7:$E$165,A24,'Liste AT'!$L$7:$L$165,"avec arrêt"))</f>
        <v>#REF!</v>
      </c>
      <c r="K24" s="327" t="e">
        <f t="shared" si="6"/>
        <v>#REF!</v>
      </c>
      <c r="L24" s="230" t="e">
        <f t="shared" si="7"/>
        <v>#REF!</v>
      </c>
      <c r="M24" s="230" t="e">
        <f ca="1">IF(A24="","",INDEX(INDIRECT("Effectifs!E" &amp;#REF! &amp; ":P" &amp;#REF!),MATCH(-1,INDIRECT("Effectifs!E" &amp;#REF! &amp; ":P" &amp;#REF!),-1)))</f>
        <v>#REF!</v>
      </c>
      <c r="N24" s="230"/>
      <c r="O24" s="300"/>
      <c r="P24" s="300" t="e">
        <f>IF(A24="","",COUNTIFS('Liste AT'!$E$7:$E$165,A24,'Liste AT'!$K$7:$K$165,"=trajet"))</f>
        <v>#REF!</v>
      </c>
      <c r="Q24" s="300" t="e">
        <f>IF(A17="","",COUNTIFS('Liste AT'!$E$7:$E$135,A17,'Liste AT'!R22:R305,"=conducteur témoin d'un accident de personne")+COUNTIFS('Liste AT'!$E$7:$E$135,A17,'Liste AT'!R22:R305,"=agent témoin sauf conducteur"))</f>
        <v>#VALUE!</v>
      </c>
      <c r="R24" s="300" t="e">
        <f>IF(A24="","",COUNTIFS('Liste AT'!$E$7:$E$165,A24,'Liste AT'!$AB$7:$AB$165,"=oui"))</f>
        <v>#REF!</v>
      </c>
      <c r="S24" s="300"/>
      <c r="T24" s="300" t="e">
        <f>IF(A24="","",COUNTIFS('Liste AT'!$E$7:$E$165,A24,'Liste AT'!$K$7:$K$165,"=trajet",'Liste AT'!$L$7:$L$165,"=avec arrêt"))</f>
        <v>#REF!</v>
      </c>
      <c r="U24" s="300"/>
      <c r="V24" s="300" t="e">
        <f>IF(A24="","",SUMIFS('Liste AT'!$O$7:$O$165,'Liste AT'!$E$7:$E$165,A24,'Liste AT'!$K$7:$K$165,"travail"))</f>
        <v>#REF!</v>
      </c>
    </row>
    <row r="25" spans="1:22" hidden="1" x14ac:dyDescent="0.25">
      <c r="A25" s="322" t="e">
        <f>IF('Listes déroulantes'!#REF!="","",'Listes déroulantes'!#REF!)</f>
        <v>#REF!</v>
      </c>
      <c r="B25" s="182" t="e">
        <f>IF(A25="","",VLOOKUP(A25,'Listes déroulantes'!$A$3:$B$55,2,FALSE ))</f>
        <v>#REF!</v>
      </c>
      <c r="C25" s="183" t="e">
        <f>IF(A25="","",IF(E25="NON", "01/01/2019",INDEX('Liste AT'!$I$1:$I$165,(MAX(IF('Liste AT'!$E$7:$E$165=A25,ROW('Liste AT'!$E$7:$E$165)))),1)))</f>
        <v>#REF!</v>
      </c>
      <c r="D25" s="184" t="str">
        <f t="shared" ca="1" si="8"/>
        <v/>
      </c>
      <c r="E25" s="327" t="e">
        <f>IF(A25="","",IFERROR(VLOOKUP(A25,'Liste AT'!$E$7:$E$165,1,FALSE),"NON"))</f>
        <v>#REF!</v>
      </c>
      <c r="F25" s="327" t="e">
        <f>IF(A25="","",COUNTIF('Liste AT'!$E$7:$E$165,E25))</f>
        <v>#REF!</v>
      </c>
      <c r="G25" s="327" t="e">
        <f>IF(A25="","",SUMIF('Liste AT'!$E$7:$E$165,A25,'Liste AT'!$P$7:$P$165))</f>
        <v>#REF!</v>
      </c>
      <c r="H25" s="185" t="e">
        <f t="shared" si="4"/>
        <v>#REF!</v>
      </c>
      <c r="I25" s="185" t="e">
        <f t="shared" si="9"/>
        <v>#REF!</v>
      </c>
      <c r="J25" s="327" t="e">
        <f>IF(A25="","",COUNTIFS('Liste AT'!$E$7:$E$165,A25,'Liste AT'!$L$7:$L$165,"avec arrêt"))</f>
        <v>#REF!</v>
      </c>
      <c r="K25" s="327" t="e">
        <f t="shared" si="6"/>
        <v>#REF!</v>
      </c>
      <c r="L25" s="230" t="e">
        <f t="shared" si="7"/>
        <v>#REF!</v>
      </c>
      <c r="M25" s="230" t="e">
        <f ca="1">IF(A25="","",INDEX(INDIRECT("Effectifs!E" &amp;#REF! &amp; ":P" &amp;#REF!),MATCH(-1,INDIRECT("Effectifs!E" &amp;#REF! &amp; ":P" &amp;#REF!),-1)))</f>
        <v>#REF!</v>
      </c>
      <c r="N25" s="230"/>
      <c r="O25" s="300"/>
      <c r="P25" s="300" t="e">
        <f>IF(A25="","",COUNTIFS('Liste AT'!$E$7:$E$165,A25,'Liste AT'!$K$7:$K$165,"=trajet"))</f>
        <v>#REF!</v>
      </c>
      <c r="Q25" s="300" t="e">
        <f>IF(A18="","",COUNTIFS('Liste AT'!$E$7:$E$135,A18,'Liste AT'!R23:R306,"=conducteur témoin d'un accident de personne")+COUNTIFS('Liste AT'!$E$7:$E$135,A18,'Liste AT'!R23:R306,"=agent témoin sauf conducteur"))</f>
        <v>#VALUE!</v>
      </c>
      <c r="R25" s="300" t="e">
        <f>IF(A25="","",COUNTIFS('Liste AT'!$E$7:$E$165,A25,'Liste AT'!$AB$7:$AB$165,"=oui"))</f>
        <v>#REF!</v>
      </c>
      <c r="S25" s="300"/>
      <c r="T25" s="300" t="e">
        <f>IF(A25="","",COUNTIFS('Liste AT'!$E$7:$E$165,A25,'Liste AT'!$K$7:$K$165,"=trajet",'Liste AT'!$L$7:$L$165,"=avec arrêt"))</f>
        <v>#REF!</v>
      </c>
      <c r="U25" s="300"/>
      <c r="V25" s="300" t="e">
        <f>IF(A25="","",SUMIFS('Liste AT'!$O$7:$O$165,'Liste AT'!$E$7:$E$165,A25,'Liste AT'!$K$7:$K$165,"travail"))</f>
        <v>#REF!</v>
      </c>
    </row>
    <row r="26" spans="1:22" hidden="1" x14ac:dyDescent="0.25">
      <c r="A26" s="322" t="e">
        <f>IF('Listes déroulantes'!#REF!="","",'Listes déroulantes'!#REF!)</f>
        <v>#REF!</v>
      </c>
      <c r="B26" s="182" t="e">
        <f>IF(A26="","",VLOOKUP(A26,'Listes déroulantes'!$A$3:$B$55,2,FALSE ))</f>
        <v>#REF!</v>
      </c>
      <c r="C26" s="183" t="e">
        <f>IF(A26="","",IF(E26="NON", "01/01/2019",INDEX('Liste AT'!$I$1:$I$165,(MAX(IF('Liste AT'!$E$7:$E$165=A26,ROW('Liste AT'!$E$7:$E$165)))),1)))</f>
        <v>#REF!</v>
      </c>
      <c r="D26" s="184" t="str">
        <f t="shared" ca="1" si="8"/>
        <v/>
      </c>
      <c r="E26" s="327" t="e">
        <f>IF(A26="","",IFERROR(VLOOKUP(A26,'Liste AT'!$E$7:$E$165,1,FALSE),"NON"))</f>
        <v>#REF!</v>
      </c>
      <c r="F26" s="327" t="e">
        <f>IF(A26="","",COUNTIF('Liste AT'!$E$7:$E$165,E26))</f>
        <v>#REF!</v>
      </c>
      <c r="G26" s="327" t="e">
        <f>IF(A26="","",SUMIF('Liste AT'!$E$7:$E$165,A26,'Liste AT'!$P$7:$P$165))</f>
        <v>#REF!</v>
      </c>
      <c r="H26" s="185" t="e">
        <f t="shared" si="4"/>
        <v>#REF!</v>
      </c>
      <c r="I26" s="185" t="e">
        <f t="shared" si="9"/>
        <v>#REF!</v>
      </c>
      <c r="J26" s="327" t="e">
        <f>IF(A26="","",COUNTIFS('Liste AT'!$E$7:$E$165,A26,'Liste AT'!$L$7:$L$165,"avec arrêt"))</f>
        <v>#REF!</v>
      </c>
      <c r="K26" s="327" t="e">
        <f t="shared" si="6"/>
        <v>#REF!</v>
      </c>
      <c r="L26" s="230" t="e">
        <f t="shared" si="7"/>
        <v>#REF!</v>
      </c>
      <c r="M26" s="230" t="e">
        <f ca="1">IF(A26="","",INDEX(INDIRECT("Effectifs!E" &amp;#REF! &amp; ":P" &amp;#REF!),MATCH(-1,INDIRECT("Effectifs!E" &amp;#REF! &amp; ":P" &amp;#REF!),-1)))</f>
        <v>#REF!</v>
      </c>
      <c r="N26" s="230"/>
      <c r="O26" s="300"/>
      <c r="P26" s="300" t="e">
        <f>IF(A26="","",COUNTIFS('Liste AT'!$E$7:$E$165,A26,'Liste AT'!$K$7:$K$165,"=trajet"))</f>
        <v>#REF!</v>
      </c>
      <c r="Q26" s="300" t="e">
        <f>IF(A19="","",COUNTIFS('Liste AT'!$E$7:$E$135,A19,'Liste AT'!R24:R307,"=conducteur témoin d'un accident de personne")+COUNTIFS('Liste AT'!$E$7:$E$135,A19,'Liste AT'!R24:R307,"=agent témoin sauf conducteur"))</f>
        <v>#VALUE!</v>
      </c>
      <c r="R26" s="300" t="e">
        <f>IF(A26="","",COUNTIFS('Liste AT'!$E$7:$E$165,A26,'Liste AT'!$AB$7:$AB$165,"=oui"))</f>
        <v>#REF!</v>
      </c>
      <c r="S26" s="300"/>
      <c r="T26" s="300" t="e">
        <f>IF(A26="","",COUNTIFS('Liste AT'!$E$7:$E$165,A26,'Liste AT'!$K$7:$K$165,"=trajet",'Liste AT'!$L$7:$L$165,"=avec arrêt"))</f>
        <v>#REF!</v>
      </c>
      <c r="U26" s="300"/>
      <c r="V26" s="300" t="e">
        <f>IF(A26="","",SUMIFS('Liste AT'!$O$7:$O$165,'Liste AT'!$E$7:$E$165,A26,'Liste AT'!$K$7:$K$165,"travail"))</f>
        <v>#REF!</v>
      </c>
    </row>
    <row r="27" spans="1:22" hidden="1" x14ac:dyDescent="0.25">
      <c r="A27" s="322" t="e">
        <f>IF('Listes déroulantes'!#REF!="","",'Listes déroulantes'!#REF!)</f>
        <v>#REF!</v>
      </c>
      <c r="B27" s="182" t="e">
        <f>IF(A27="","",VLOOKUP(A27,'Listes déroulantes'!$A$3:$B$55,2,FALSE ))</f>
        <v>#REF!</v>
      </c>
      <c r="C27" s="183" t="e">
        <f>IF(A27="","",IF(E27="NON", "01/01/2019",INDEX('Liste AT'!$I$1:$I$165,(MAX(IF('Liste AT'!$E$7:$E$165=A27,ROW('Liste AT'!$E$7:$E$165)))),1)))</f>
        <v>#REF!</v>
      </c>
      <c r="D27" s="184" t="str">
        <f t="shared" ca="1" si="8"/>
        <v/>
      </c>
      <c r="E27" s="327" t="e">
        <f>IF(A27="","",IFERROR(VLOOKUP(A27,'Liste AT'!$E$7:$E$165,1,FALSE),"NON"))</f>
        <v>#REF!</v>
      </c>
      <c r="F27" s="327" t="e">
        <f>IF(A27="","",COUNTIF('Liste AT'!$E$7:$E$165,E27))</f>
        <v>#REF!</v>
      </c>
      <c r="G27" s="327" t="e">
        <f>IF(A27="","",SUMIF('Liste AT'!$E$7:$E$165,A27,'Liste AT'!$P$7:$P$165))</f>
        <v>#REF!</v>
      </c>
      <c r="H27" s="185" t="e">
        <f t="shared" si="4"/>
        <v>#REF!</v>
      </c>
      <c r="I27" s="185" t="e">
        <f t="shared" si="9"/>
        <v>#REF!</v>
      </c>
      <c r="J27" s="327" t="e">
        <f>IF(A27="","",COUNTIFS('Liste AT'!$E$7:$E$165,A27,'Liste AT'!$L$7:$L$165,"avec arrêt"))</f>
        <v>#REF!</v>
      </c>
      <c r="K27" s="327" t="e">
        <f t="shared" si="6"/>
        <v>#REF!</v>
      </c>
      <c r="L27" s="230" t="e">
        <f t="shared" si="7"/>
        <v>#REF!</v>
      </c>
      <c r="M27" s="230" t="e">
        <f ca="1">IF(A27="","",INDEX(INDIRECT("Effectifs!E" &amp;#REF! &amp; ":P" &amp;#REF!),MATCH(-1,INDIRECT("Effectifs!E" &amp;#REF! &amp; ":P" &amp;#REF!),-1)))</f>
        <v>#REF!</v>
      </c>
      <c r="N27" s="230"/>
      <c r="O27" s="300"/>
      <c r="P27" s="300" t="e">
        <f>IF(A27="","",COUNTIFS('Liste AT'!$E$7:$E$165,A27,'Liste AT'!$K$7:$K$165,"=trajet"))</f>
        <v>#REF!</v>
      </c>
      <c r="Q27" s="300" t="e">
        <f>IF(A20="","",COUNTIFS('Liste AT'!$E$7:$E$135,A20,'Liste AT'!R25:R308,"=conducteur témoin d'un accident de personne")+COUNTIFS('Liste AT'!$E$7:$E$135,A20,'Liste AT'!R25:R308,"=agent témoin sauf conducteur"))</f>
        <v>#VALUE!</v>
      </c>
      <c r="R27" s="300" t="e">
        <f>IF(A27="","",COUNTIFS('Liste AT'!$E$7:$E$165,A27,'Liste AT'!$AB$7:$AB$165,"=oui"))</f>
        <v>#REF!</v>
      </c>
      <c r="S27" s="300"/>
      <c r="T27" s="300" t="e">
        <f>IF(A27="","",COUNTIFS('Liste AT'!$E$7:$E$165,A27,'Liste AT'!$K$7:$K$165,"=trajet",'Liste AT'!$L$7:$L$165,"=avec arrêt"))</f>
        <v>#REF!</v>
      </c>
      <c r="U27" s="300"/>
      <c r="V27" s="300" t="e">
        <f>IF(A27="","",SUMIFS('Liste AT'!$O$7:$O$165,'Liste AT'!$E$7:$E$165,A27,'Liste AT'!$K$7:$K$165,"travail"))</f>
        <v>#REF!</v>
      </c>
    </row>
    <row r="28" spans="1:22" hidden="1" x14ac:dyDescent="0.25">
      <c r="A28" s="322" t="e">
        <f>IF('Listes déroulantes'!#REF!="","",'Listes déroulantes'!#REF!)</f>
        <v>#REF!</v>
      </c>
      <c r="B28" s="182" t="e">
        <f>IF(A28="","",VLOOKUP(A28,'Listes déroulantes'!$A$3:$B$55,2,FALSE ))</f>
        <v>#REF!</v>
      </c>
      <c r="C28" s="183" t="e">
        <f>IF(A28="","",IF(E28="NON", "01/01/2019",INDEX('Liste AT'!$I$1:$I$165,(MAX(IF('Liste AT'!$E$7:$E$165=A28,ROW('Liste AT'!$E$7:$E$165)))),1)))</f>
        <v>#REF!</v>
      </c>
      <c r="D28" s="184" t="str">
        <f t="shared" ca="1" si="8"/>
        <v/>
      </c>
      <c r="E28" s="327" t="e">
        <f>IF(A28="","",IFERROR(VLOOKUP(A28,'Liste AT'!$E$7:$E$165,1,FALSE),"NON"))</f>
        <v>#REF!</v>
      </c>
      <c r="F28" s="327" t="e">
        <f>IF(A28="","",COUNTIF('Liste AT'!$E$7:$E$165,E28))</f>
        <v>#REF!</v>
      </c>
      <c r="G28" s="327" t="e">
        <f>IF(A28="","",SUMIF('Liste AT'!$E$7:$E$165,A28,'Liste AT'!$P$7:$P$165))</f>
        <v>#REF!</v>
      </c>
      <c r="H28" s="185" t="e">
        <f t="shared" si="4"/>
        <v>#REF!</v>
      </c>
      <c r="I28" s="185" t="e">
        <f t="shared" si="9"/>
        <v>#REF!</v>
      </c>
      <c r="J28" s="327" t="e">
        <f>IF(A28="","",COUNTIFS('Liste AT'!$E$7:$E$165,A28,'Liste AT'!$L$7:$L$165,"avec arrêt"))</f>
        <v>#REF!</v>
      </c>
      <c r="K28" s="327" t="e">
        <f t="shared" si="6"/>
        <v>#REF!</v>
      </c>
      <c r="L28" s="230" t="e">
        <f t="shared" si="7"/>
        <v>#REF!</v>
      </c>
      <c r="M28" s="230" t="e">
        <f ca="1">IF(A28="","",INDEX(INDIRECT("Effectifs!E" &amp;#REF! &amp; ":P" &amp;#REF!),MATCH(-1,INDIRECT("Effectifs!E" &amp;#REF! &amp; ":P" &amp;#REF!),-1)))</f>
        <v>#REF!</v>
      </c>
      <c r="N28" s="230"/>
      <c r="O28" s="300"/>
      <c r="P28" s="300" t="e">
        <f>IF(A28="","",COUNTIFS('Liste AT'!$E$7:$E$165,A28,'Liste AT'!$K$7:$K$165,"=trajet"))</f>
        <v>#REF!</v>
      </c>
      <c r="Q28" s="300" t="e">
        <f>IF(A21="","",COUNTIFS('Liste AT'!$E$7:$E$135,A21,'Liste AT'!R26:R309,"=conducteur témoin d'un accident de personne")+COUNTIFS('Liste AT'!$E$7:$E$135,A21,'Liste AT'!R26:R309,"=agent témoin sauf conducteur"))</f>
        <v>#VALUE!</v>
      </c>
      <c r="R28" s="300" t="e">
        <f>IF(A28="","",COUNTIFS('Liste AT'!$E$7:$E$165,A28,'Liste AT'!$AB$7:$AB$165,"=oui"))</f>
        <v>#REF!</v>
      </c>
      <c r="S28" s="300"/>
      <c r="T28" s="300" t="e">
        <f>IF(A28="","",COUNTIFS('Liste AT'!$E$7:$E$165,A28,'Liste AT'!$K$7:$K$165,"=trajet",'Liste AT'!$L$7:$L$165,"=avec arrêt"))</f>
        <v>#REF!</v>
      </c>
      <c r="U28" s="300"/>
      <c r="V28" s="300" t="e">
        <f>IF(A28="","",SUMIFS('Liste AT'!$O$7:$O$165,'Liste AT'!$E$7:$E$165,A28,'Liste AT'!$K$7:$K$165,"travail"))</f>
        <v>#REF!</v>
      </c>
    </row>
    <row r="29" spans="1:22" x14ac:dyDescent="0.25">
      <c r="A29" s="322" t="str">
        <f>IF('Listes déroulantes'!A25="","",'Listes déroulantes'!A25)</f>
        <v/>
      </c>
      <c r="B29" s="182" t="str">
        <f>IF(A29="","",VLOOKUP(A29,'Listes déroulantes'!$A$3:$B$55,2,FALSE ))</f>
        <v/>
      </c>
      <c r="C29" s="183" t="str">
        <f>IF(A29="","",IF(E29="NON", "01/01/2019",INDEX('Liste AT'!$I$1:$I$165,(MAX(IF('Liste AT'!$E$7:$E$165=A29,ROW('Liste AT'!$E$7:$E$165)))),1)))</f>
        <v/>
      </c>
      <c r="D29" s="184" t="str">
        <f t="shared" ca="1" si="8"/>
        <v/>
      </c>
      <c r="E29" s="327" t="str">
        <f>IF(A29="","",IFERROR(VLOOKUP(A29,'Liste AT'!$E$7:$E$165,1,FALSE),"NON"))</f>
        <v/>
      </c>
      <c r="F29" s="327" t="str">
        <f>IF(A29="","",COUNTIF('Liste AT'!$E$7:$E$165,E29))</f>
        <v/>
      </c>
      <c r="G29" s="327" t="str">
        <f>IF(A29="","",SUMIF('Liste AT'!$E$7:$E$165,A29,'Liste AT'!$O$7:$O$165))</f>
        <v/>
      </c>
      <c r="H29" s="185" t="str">
        <f t="shared" ref="H29:H41" si="10">IF(A29="","",J29*1000000/(M29*(1607*$W$1/12)))</f>
        <v/>
      </c>
      <c r="I29" s="185" t="str">
        <f t="shared" si="9"/>
        <v/>
      </c>
      <c r="J29" s="327" t="str">
        <f>IF(A29="","",COUNTIFS('Liste AT'!$E$7:$E$165,A29,'Liste AT'!$L$7:$L$165,"avec arrêt"))</f>
        <v/>
      </c>
      <c r="K29" s="327" t="str">
        <f t="shared" si="6"/>
        <v/>
      </c>
      <c r="L29" s="230" t="str">
        <f t="shared" si="7"/>
        <v/>
      </c>
      <c r="M29" s="230" t="str">
        <f ca="1">IF(A29="","",INDEX(INDIRECT("Effectifs!E" &amp;#REF! &amp; ":P" &amp;#REF!),MATCH(-1,INDIRECT("Effectifs!E" &amp;#REF! &amp; ":P" &amp;#REF!),-1)))</f>
        <v/>
      </c>
      <c r="N29" s="230"/>
      <c r="O29" s="300"/>
      <c r="P29" s="300" t="str">
        <f>IF(A29="","",COUNTIFS('Liste AT'!$E$7:$E$165,A29,'Liste AT'!$K$7:$K$165,"=trajet"))</f>
        <v/>
      </c>
      <c r="Q29" s="300"/>
      <c r="R29" s="300" t="str">
        <f>IF(A29="","",COUNTIFS('Liste AT'!$E$7:$E$165,A29,'Liste AT'!$AB$7:$AB$165,"=oui"))</f>
        <v/>
      </c>
      <c r="S29" s="300"/>
      <c r="T29" s="300" t="str">
        <f>IF(A29="","",COUNTIFS('Liste AT'!$E$7:$E$165,A29,'Liste AT'!$K$7:$K$165,"=trajet",'Liste AT'!$L$7:$L$165,"=avec arrêt"))</f>
        <v/>
      </c>
      <c r="U29" s="300"/>
      <c r="V29" s="300" t="str">
        <f>IF(A29="","",SUMIFS('Liste AT'!$O$7:$O$165,'Liste AT'!$E$7:$E$165,A29,'Liste AT'!$K$7:$K$165,"travail"))</f>
        <v/>
      </c>
    </row>
    <row r="30" spans="1:22" x14ac:dyDescent="0.25">
      <c r="A30" s="322" t="str">
        <f>IF('Listes déroulantes'!A26="","",'Listes déroulantes'!A26)</f>
        <v/>
      </c>
      <c r="B30" s="182" t="str">
        <f>IF(A30="","",VLOOKUP(A30,'Listes déroulantes'!$A$3:$B$55,2,FALSE ))</f>
        <v/>
      </c>
      <c r="C30" s="183" t="str">
        <f>IF(A30="","",IF(E30="NON", "01/01/2019",INDEX('Liste AT'!$I$1:$I$165,(MAX(IF('Liste AT'!$E$7:$E$165=A30,ROW('Liste AT'!$E$7:$E$165)))),1)))</f>
        <v/>
      </c>
      <c r="D30" s="184" t="str">
        <f t="shared" ca="1" si="8"/>
        <v/>
      </c>
      <c r="E30" s="327" t="str">
        <f>IF(A30="","",IFERROR(VLOOKUP(A30,'Liste AT'!$E$7:$E$165,1,FALSE),"NON"))</f>
        <v/>
      </c>
      <c r="F30" s="327" t="str">
        <f>IF(A30="","",COUNTIF('Liste AT'!$E$7:$E$165,E30))</f>
        <v/>
      </c>
      <c r="G30" s="327" t="str">
        <f>IF(A30="","",SUMIF('Liste AT'!$E$7:$E$165,A30,'Liste AT'!$O$7:$O$165))</f>
        <v/>
      </c>
      <c r="H30" s="185" t="str">
        <f t="shared" si="10"/>
        <v/>
      </c>
      <c r="I30" s="185" t="str">
        <f t="shared" si="9"/>
        <v/>
      </c>
      <c r="J30" s="327" t="str">
        <f>IF(A30="","",COUNTIFS('Liste AT'!$E$7:$E$165,A30,'Liste AT'!$L$7:$L$165,"avec arrêt"))</f>
        <v/>
      </c>
      <c r="K30" s="327" t="str">
        <f t="shared" si="6"/>
        <v/>
      </c>
      <c r="L30" s="230" t="str">
        <f t="shared" si="7"/>
        <v/>
      </c>
      <c r="M30" s="230" t="str">
        <f ca="1">IF(A30="","",INDEX(INDIRECT("Effectifs!E" &amp;#REF! &amp; ":P" &amp;#REF!),MATCH(-1,INDIRECT("Effectifs!E" &amp;#REF! &amp; ":P" &amp;#REF!),-1)))</f>
        <v/>
      </c>
      <c r="N30" s="230"/>
      <c r="O30" s="300"/>
      <c r="P30" s="300" t="str">
        <f>IF(A30="","",COUNTIFS('Liste AT'!$E$7:$E$165,A30,'Liste AT'!$K$7:$K$165,"=trajet"))</f>
        <v/>
      </c>
      <c r="Q30" s="300"/>
      <c r="R30" s="300" t="str">
        <f>IF(A30="","",COUNTIFS('Liste AT'!$E$7:$E$165,A30,'Liste AT'!$AB$7:$AB$165,"=oui"))</f>
        <v/>
      </c>
      <c r="S30" s="300"/>
      <c r="T30" s="300" t="str">
        <f>IF(A30="","",COUNTIFS('Liste AT'!$E$7:$E$165,A30,'Liste AT'!$K$7:$K$165,"=trajet",'Liste AT'!$L$7:$L$165,"=avec arrêt"))</f>
        <v/>
      </c>
      <c r="U30" s="300"/>
      <c r="V30" s="300" t="str">
        <f>IF(A30="","",SUMIFS('Liste AT'!$O$7:$O$165,'Liste AT'!$E$7:$E$165,A30,'Liste AT'!$K$7:$K$165,"travail"))</f>
        <v/>
      </c>
    </row>
    <row r="31" spans="1:22" x14ac:dyDescent="0.25">
      <c r="A31" s="322" t="str">
        <f>IF('Listes déroulantes'!A27="","",'Listes déroulantes'!A27)</f>
        <v/>
      </c>
      <c r="B31" s="182" t="str">
        <f>IF(A31="","",VLOOKUP(A31,'Listes déroulantes'!$A$3:$B$55,2,FALSE ))</f>
        <v/>
      </c>
      <c r="C31" s="183" t="str">
        <f>IF(A31="","",IF(E31="NON", "01/01/2019",INDEX('Liste AT'!$I$1:$I$165,(MAX(IF('Liste AT'!$E$7:$E$165=A31,ROW('Liste AT'!$E$7:$E$165)))),1)))</f>
        <v/>
      </c>
      <c r="D31" s="184" t="str">
        <f t="shared" ca="1" si="8"/>
        <v/>
      </c>
      <c r="E31" s="327" t="str">
        <f>IF(A31="","",IFERROR(VLOOKUP(A31,'Liste AT'!$E$7:$E$165,1,FALSE),"NON"))</f>
        <v/>
      </c>
      <c r="F31" s="327" t="str">
        <f>IF(A31="","",COUNTIF('Liste AT'!$E$7:$E$165,E31))</f>
        <v/>
      </c>
      <c r="G31" s="327" t="str">
        <f>IF(A31="","",SUMIF('Liste AT'!$E$7:$E$165,A31,'Liste AT'!$O$7:$O$165))</f>
        <v/>
      </c>
      <c r="H31" s="185" t="str">
        <f t="shared" si="10"/>
        <v/>
      </c>
      <c r="I31" s="185" t="str">
        <f t="shared" si="9"/>
        <v/>
      </c>
      <c r="J31" s="327" t="str">
        <f>IF(A31="","",COUNTIFS('Liste AT'!$E$7:$E$165,A31,'Liste AT'!$L$7:$L$165,"avec arrêt"))</f>
        <v/>
      </c>
      <c r="K31" s="327" t="str">
        <f t="shared" si="6"/>
        <v/>
      </c>
      <c r="L31" s="230" t="str">
        <f t="shared" si="7"/>
        <v/>
      </c>
      <c r="M31" s="230" t="str">
        <f ca="1">IF(A31="","",INDEX(INDIRECT("Effectifs!E" &amp;#REF! &amp; ":P" &amp;#REF!),MATCH(-1,INDIRECT("Effectifs!E" &amp;#REF! &amp; ":P" &amp;#REF!),-1)))</f>
        <v/>
      </c>
      <c r="N31" s="230"/>
      <c r="O31" s="300"/>
      <c r="P31" s="300" t="str">
        <f>IF(A31="","",COUNTIFS('Liste AT'!$E$7:$E$165,A31,'Liste AT'!$K$7:$K$165,"=trajet"))</f>
        <v/>
      </c>
      <c r="Q31" s="300"/>
      <c r="R31" s="300" t="str">
        <f>IF(A31="","",COUNTIFS('Liste AT'!$E$7:$E$165,A31,'Liste AT'!$AB$7:$AB$165,"=oui"))</f>
        <v/>
      </c>
      <c r="S31" s="300"/>
      <c r="T31" s="300" t="str">
        <f>IF(A31="","",COUNTIFS('Liste AT'!$E$7:$E$165,A31,'Liste AT'!$K$7:$K$165,"=trajet",'Liste AT'!$L$7:$L$165,"=avec arrêt"))</f>
        <v/>
      </c>
      <c r="U31" s="300"/>
      <c r="V31" s="300" t="str">
        <f>IF(A31="","",SUMIFS('Liste AT'!$O$7:$O$165,'Liste AT'!$E$7:$E$165,A31,'Liste AT'!$K$7:$K$165,"travail"))</f>
        <v/>
      </c>
    </row>
    <row r="32" spans="1:22" x14ac:dyDescent="0.25">
      <c r="A32" s="322" t="str">
        <f>IF('Listes déroulantes'!A28="","",'Listes déroulantes'!A28)</f>
        <v/>
      </c>
      <c r="B32" s="182" t="str">
        <f>IF(A32="","",VLOOKUP(A32,'Listes déroulantes'!$A$3:$B$55,2,FALSE ))</f>
        <v/>
      </c>
      <c r="C32" s="183" t="str">
        <f>IF(A32="","",IF(E32="NON", "01/01/2019",INDEX('Liste AT'!$I$1:$I$165,(MAX(IF('Liste AT'!$E$7:$E$165=A32,ROW('Liste AT'!$E$7:$E$165)))),1)))</f>
        <v/>
      </c>
      <c r="D32" s="184" t="str">
        <f t="shared" ca="1" si="8"/>
        <v/>
      </c>
      <c r="E32" s="327" t="str">
        <f>IF(A32="","",IFERROR(VLOOKUP(A32,'Liste AT'!$E$7:$E$165,1,FALSE),"NON"))</f>
        <v/>
      </c>
      <c r="F32" s="327" t="str">
        <f>IF(A32="","",COUNTIF('Liste AT'!$E$7:$E$165,E32))</f>
        <v/>
      </c>
      <c r="G32" s="327" t="str">
        <f>IF(A32="","",SUMIF('Liste AT'!$E$7:$E$165,A32,'Liste AT'!$O$7:$O$165))</f>
        <v/>
      </c>
      <c r="H32" s="185" t="str">
        <f t="shared" si="10"/>
        <v/>
      </c>
      <c r="I32" s="185" t="str">
        <f t="shared" si="9"/>
        <v/>
      </c>
      <c r="J32" s="327" t="str">
        <f>IF(A32="","",COUNTIFS('Liste AT'!$E$7:$E$165,A32,'Liste AT'!$L$7:$L$165,"avec arrêt"))</f>
        <v/>
      </c>
      <c r="K32" s="327" t="str">
        <f t="shared" si="6"/>
        <v/>
      </c>
      <c r="L32" s="230" t="str">
        <f t="shared" ref="L32:L41" si="11">IF(A32="","",(J32-T32)*1000000/(M32*(1607*$W$1/12)))</f>
        <v/>
      </c>
      <c r="M32" s="230" t="str">
        <f ca="1">IF(A32="","",INDEX(INDIRECT("Effectifs!E" &amp;#REF! &amp; ":P" &amp;#REF!),MATCH(-1,INDIRECT("Effectifs!E" &amp;#REF! &amp; ":P" &amp;#REF!),-1)))</f>
        <v/>
      </c>
      <c r="N32" s="230"/>
      <c r="O32" s="300"/>
      <c r="P32" s="300" t="str">
        <f>IF(A32="","",COUNTIFS('Liste AT'!$E$7:$E$165,A32,'Liste AT'!$K$7:$K$165,"=trajet"))</f>
        <v/>
      </c>
      <c r="Q32" s="300"/>
      <c r="R32" s="300" t="str">
        <f>IF(A32="","",COUNTIFS('Liste AT'!$E$7:$E$165,A32,'Liste AT'!$AB$7:$AB$165,"=oui"))</f>
        <v/>
      </c>
      <c r="S32" s="300"/>
      <c r="T32" s="300" t="str">
        <f>IF(A32="","",COUNTIFS('Liste AT'!$E$7:$E$165,A32,'Liste AT'!$K$7:$K$165,"=trajet",'Liste AT'!$L$7:$L$165,"=avec arrêt"))</f>
        <v/>
      </c>
      <c r="U32" s="300"/>
      <c r="V32" s="300" t="str">
        <f>IF(A32="","",SUMIFS('Liste AT'!$O$7:$O$165,'Liste AT'!$E$7:$E$165,A32,'Liste AT'!$K$7:$K$165,"travail"))</f>
        <v/>
      </c>
    </row>
    <row r="33" spans="1:22" x14ac:dyDescent="0.25">
      <c r="A33" s="322" t="str">
        <f>IF('Listes déroulantes'!A29="","",'Listes déroulantes'!A29)</f>
        <v/>
      </c>
      <c r="B33" s="182" t="str">
        <f>IF(A33="","",VLOOKUP(A33,'Listes déroulantes'!$A$3:$B$55,2,FALSE ))</f>
        <v/>
      </c>
      <c r="C33" s="183" t="str">
        <f>IF(A33="","",IF(E33="NON", "01/01/2019",INDEX('Liste AT'!$I$1:$I$165,(MAX(IF('Liste AT'!$E$7:$E$165=A33,ROW('Liste AT'!$E$7:$E$165)))),1)))</f>
        <v/>
      </c>
      <c r="D33" s="184" t="str">
        <f t="shared" ca="1" si="8"/>
        <v/>
      </c>
      <c r="E33" s="327" t="str">
        <f>IF(A33="","",IFERROR(VLOOKUP(A33,'Liste AT'!$E$7:$E$165,1,FALSE),"NON"))</f>
        <v/>
      </c>
      <c r="F33" s="327" t="str">
        <f>IF(A33="","",COUNTIF('Liste AT'!$E$7:$E$165,E33))</f>
        <v/>
      </c>
      <c r="G33" s="327" t="str">
        <f>IF(A33="","",SUMIF('Liste AT'!$E$7:$E$165,A33,'Liste AT'!$O$7:$O$165))</f>
        <v/>
      </c>
      <c r="H33" s="185" t="str">
        <f t="shared" si="10"/>
        <v/>
      </c>
      <c r="I33" s="185" t="str">
        <f t="shared" si="9"/>
        <v/>
      </c>
      <c r="J33" s="327" t="str">
        <f>IF(A33="","",COUNTIFS('Liste AT'!$E$7:$E$165,A33,'Liste AT'!$L$7:$L$165,"avec arrêt"))</f>
        <v/>
      </c>
      <c r="K33" s="327" t="str">
        <f t="shared" si="6"/>
        <v/>
      </c>
      <c r="L33" s="230" t="str">
        <f t="shared" si="11"/>
        <v/>
      </c>
      <c r="M33" s="230" t="str">
        <f ca="1">IF(A33="","",INDEX(INDIRECT("Effectifs!E" &amp;#REF! &amp; ":P" &amp;#REF!),MATCH(-1,INDIRECT("Effectifs!E" &amp;#REF! &amp; ":P" &amp;#REF!),-1)))</f>
        <v/>
      </c>
      <c r="N33" s="230"/>
      <c r="O33" s="300"/>
      <c r="P33" s="300" t="str">
        <f>IF(A33="","",COUNTIFS('Liste AT'!$E$7:$E$165,A33,'Liste AT'!$K$7:$K$165,"=trajet"))</f>
        <v/>
      </c>
      <c r="Q33" s="300"/>
      <c r="R33" s="300" t="str">
        <f>IF(A33="","",COUNTIFS('Liste AT'!$E$7:$E$165,A33,'Liste AT'!$AB$7:$AB$165,"=oui"))</f>
        <v/>
      </c>
      <c r="S33" s="300"/>
      <c r="T33" s="300" t="str">
        <f>IF(A33="","",COUNTIFS('Liste AT'!$E$7:$E$165,A33,'Liste AT'!$K$7:$K$165,"=trajet",'Liste AT'!$L$7:$L$165,"=avec arrêt"))</f>
        <v/>
      </c>
      <c r="U33" s="300"/>
      <c r="V33" s="300" t="str">
        <f>IF(A33="","",SUMIFS('Liste AT'!$O$7:$O$165,'Liste AT'!$E$7:$E$165,A33,'Liste AT'!$K$7:$K$165,"travail"))</f>
        <v/>
      </c>
    </row>
    <row r="34" spans="1:22" ht="21.75" customHeight="1" x14ac:dyDescent="0.25">
      <c r="A34" s="322" t="str">
        <f>IF('Listes déroulantes'!A30="","",'Listes déroulantes'!A30)</f>
        <v/>
      </c>
      <c r="B34" s="182" t="str">
        <f>IF(A34="","",VLOOKUP(A34,'Listes déroulantes'!$A$3:$B$55,2,FALSE ))</f>
        <v/>
      </c>
      <c r="C34" s="183" t="str">
        <f>IF(A34="","",IF(E34="NON", "01/01/2019",INDEX('Liste AT'!$I$1:$I$165,(MAX(IF('Liste AT'!$E$7:$E$165=A34,ROW('Liste AT'!$E$7:$E$165)))),1)))</f>
        <v/>
      </c>
      <c r="D34" s="184" t="str">
        <f t="shared" ca="1" si="8"/>
        <v/>
      </c>
      <c r="E34" s="327" t="str">
        <f>IF(A34="","",IFERROR(VLOOKUP(A34,'Liste AT'!$E$7:$E$165,1,FALSE),"NON"))</f>
        <v/>
      </c>
      <c r="F34" s="327" t="str">
        <f>IF(A34="","",COUNTIF('Liste AT'!$E$7:$E$165,E34))</f>
        <v/>
      </c>
      <c r="G34" s="327" t="str">
        <f>IF(A34="","",SUMIF('Liste AT'!$E$7:$E$165,A34,'Liste AT'!$O$7:$O$165))</f>
        <v/>
      </c>
      <c r="H34" s="185" t="str">
        <f t="shared" si="10"/>
        <v/>
      </c>
      <c r="I34" s="185" t="str">
        <f t="shared" si="9"/>
        <v/>
      </c>
      <c r="J34" s="327" t="str">
        <f>IF(A34="","",COUNTIFS('Liste AT'!$E$7:$E$165,A34,'Liste AT'!$L$7:$L$165,"avec arrêt"))</f>
        <v/>
      </c>
      <c r="K34" s="327" t="str">
        <f t="shared" si="6"/>
        <v/>
      </c>
      <c r="L34" s="230" t="str">
        <f t="shared" si="11"/>
        <v/>
      </c>
      <c r="M34" s="230" t="str">
        <f ca="1">IF(A34="","",INDEX(INDIRECT("Effectifs!E" &amp;#REF! &amp; ":P" &amp;#REF!),MATCH(-1,INDIRECT("Effectifs!E" &amp;#REF! &amp; ":P" &amp;#REF!),-1)))</f>
        <v/>
      </c>
      <c r="N34" s="230"/>
      <c r="O34" s="300"/>
      <c r="P34" s="300" t="str">
        <f>IF(A34="","",COUNTIFS('Liste AT'!$E$7:$E$165,A34,'Liste AT'!$K$7:$K$165,"=trajet"))</f>
        <v/>
      </c>
      <c r="Q34" s="300"/>
      <c r="R34" s="300" t="str">
        <f>IF(A34="","",COUNTIFS('Liste AT'!$E$7:$E$165,A34,'Liste AT'!$AB$7:$AB$165,"=oui"))</f>
        <v/>
      </c>
      <c r="S34" s="300"/>
      <c r="T34" s="300" t="str">
        <f>IF(A34="","",COUNTIFS('Liste AT'!$E$7:$E$165,A34,'Liste AT'!$K$7:$K$165,"=trajet",'Liste AT'!$L$7:$L$165,"=avec arrêt"))</f>
        <v/>
      </c>
      <c r="U34" s="300"/>
      <c r="V34" s="300" t="str">
        <f>IF(A34="","",SUMIFS('Liste AT'!$O$7:$O$165,'Liste AT'!$E$7:$E$165,A34,'Liste AT'!$K$7:$K$165,"travail"))</f>
        <v/>
      </c>
    </row>
    <row r="35" spans="1:22" x14ac:dyDescent="0.25">
      <c r="A35" s="322" t="str">
        <f>IF('Listes déroulantes'!A31="","",'Listes déroulantes'!A31)</f>
        <v/>
      </c>
      <c r="B35" s="182" t="str">
        <f>IF(A35="","",VLOOKUP(A35,'Listes déroulantes'!$A$3:$B$55,2,FALSE ))</f>
        <v/>
      </c>
      <c r="C35" s="183" t="str">
        <f>IF(A35="","",IF(E35="NON", "01/01/2019",INDEX('Liste AT'!$I$1:$I$165,(MAX(IF('Liste AT'!$E$7:$E$165=A35,ROW('Liste AT'!$E$7:$E$165)))),1)))</f>
        <v/>
      </c>
      <c r="D35" s="184" t="str">
        <f t="shared" ca="1" si="8"/>
        <v/>
      </c>
      <c r="E35" s="327" t="str">
        <f>IF(A35="","",IFERROR(VLOOKUP(A35,'Liste AT'!$E$7:$E$165,1,FALSE),"NON"))</f>
        <v/>
      </c>
      <c r="F35" s="327" t="str">
        <f>IF(A35="","",COUNTIF('Liste AT'!$E$7:$E$165,E35))</f>
        <v/>
      </c>
      <c r="G35" s="327" t="str">
        <f>IF(A35="","",SUMIF('Liste AT'!$E$7:$E$165,A35,'Liste AT'!$O$7:$O$165))</f>
        <v/>
      </c>
      <c r="H35" s="185" t="str">
        <f t="shared" si="10"/>
        <v/>
      </c>
      <c r="I35" s="185" t="str">
        <f t="shared" si="9"/>
        <v/>
      </c>
      <c r="J35" s="327" t="str">
        <f>IF(A35="","",COUNTIFS('Liste AT'!$E$7:$E$165,A35,'Liste AT'!$L$7:$L$165,"avec arrêt"))</f>
        <v/>
      </c>
      <c r="K35" s="327" t="str">
        <f t="shared" si="6"/>
        <v/>
      </c>
      <c r="L35" s="230" t="str">
        <f t="shared" si="11"/>
        <v/>
      </c>
      <c r="M35" s="230" t="str">
        <f ca="1">IF(A35="","",INDEX(INDIRECT("Effectifs!E" &amp;#REF! &amp; ":P" &amp;#REF!),MATCH(-1,INDIRECT("Effectifs!E" &amp;#REF! &amp; ":P" &amp;#REF!),-1)))</f>
        <v/>
      </c>
      <c r="N35" s="230"/>
      <c r="O35" s="300"/>
      <c r="P35" s="300" t="str">
        <f>IF(A35="","",COUNTIFS('Liste AT'!$E$7:$E$165,A35,'Liste AT'!$K$7:$K$165,"=trajet"))</f>
        <v/>
      </c>
      <c r="Q35" s="300"/>
      <c r="R35" s="300" t="str">
        <f>IF(A35="","",COUNTIFS('Liste AT'!$E$7:$E$165,A35,'Liste AT'!$AB$7:$AB$165,"=oui"))</f>
        <v/>
      </c>
      <c r="S35" s="300"/>
      <c r="T35" s="300" t="str">
        <f>IF(A35="","",COUNTIFS('Liste AT'!$E$7:$E$165,A35,'Liste AT'!$K$7:$K$165,"=trajet",'Liste AT'!$L$7:$L$165,"=avec arrêt"))</f>
        <v/>
      </c>
      <c r="U35" s="300"/>
      <c r="V35" s="300" t="str">
        <f>IF(A35="","",SUMIFS('Liste AT'!$O$7:$O$165,'Liste AT'!$E$7:$E$165,A35,'Liste AT'!$K$7:$K$165,"travail"))</f>
        <v/>
      </c>
    </row>
    <row r="36" spans="1:22" x14ac:dyDescent="0.25">
      <c r="A36" s="322" t="str">
        <f>IF('Listes déroulantes'!A32="","",'Listes déroulantes'!A32)</f>
        <v/>
      </c>
      <c r="B36" s="182" t="str">
        <f>IF(A36="","",VLOOKUP(A36,'Listes déroulantes'!$A$3:$B$55,2,FALSE ))</f>
        <v/>
      </c>
      <c r="C36" s="183" t="str">
        <f t="array" ref="C36">IF(A36="","",IF(E36="NON", "01/01/2018",INDEX('Liste AT'!$I$1:$I$165,(MAX(IF('Liste AT'!$E$7:$E$165=A36,ROW('Liste AT'!$E$7:$E$165)))),1)))</f>
        <v/>
      </c>
      <c r="D36" s="184" t="str">
        <f t="shared" ca="1" si="8"/>
        <v/>
      </c>
      <c r="E36" s="327" t="str">
        <f>IF(A36="","",IFERROR(VLOOKUP(A36,'Liste AT'!$E$7:$E$165,1,FALSE),"NON"))</f>
        <v/>
      </c>
      <c r="F36" s="327" t="str">
        <f>IF(A36="","",COUNTIF('Liste AT'!$E$7:$E$165,E36))</f>
        <v/>
      </c>
      <c r="G36" s="327" t="str">
        <f>IF(A36="","",SUMIF('Liste AT'!$E$7:$E$165,A36,'Liste AT'!$O$7:$O$165))</f>
        <v/>
      </c>
      <c r="H36" s="185" t="str">
        <f t="shared" si="10"/>
        <v/>
      </c>
      <c r="I36" s="185" t="str">
        <f t="shared" si="9"/>
        <v/>
      </c>
      <c r="J36" s="327" t="str">
        <f>IF(A36="","",COUNTIFS('Liste AT'!$E$7:$E$165,A36,'Liste AT'!$L$7:$L$165,"avec arrêt"))</f>
        <v/>
      </c>
      <c r="K36" s="327" t="str">
        <f t="shared" si="6"/>
        <v/>
      </c>
      <c r="L36" s="230" t="str">
        <f t="shared" si="11"/>
        <v/>
      </c>
      <c r="M36" s="230" t="str">
        <f ca="1">IF(A36="","",INDEX(INDIRECT("Effectifs!E" &amp;#REF! &amp; ":P" &amp;#REF!),MATCH(-1,INDIRECT("Effectifs!E" &amp;#REF! &amp; ":P" &amp;#REF!),-1)))</f>
        <v/>
      </c>
      <c r="N36" s="230"/>
      <c r="O36" s="300"/>
      <c r="P36" s="300" t="str">
        <f>IF(A36="","",COUNTIFS('Liste AT'!$E$7:$E$165,A36,'Liste AT'!$K$7:$K$165,"=trajet"))</f>
        <v/>
      </c>
      <c r="Q36" s="300"/>
      <c r="R36" s="300" t="str">
        <f>IF(A36="","",COUNTIFS('Liste AT'!$E$7:$E$165,A36,'Liste AT'!$AB$7:$AB$165,"=oui"))</f>
        <v/>
      </c>
      <c r="S36" s="300"/>
      <c r="T36" s="300" t="str">
        <f>IF(A36="","",COUNTIFS('Liste AT'!$E$7:$E$165,A36,'Liste AT'!$K$7:$K$165,"=trajet",'Liste AT'!$L$7:$L$165,"=avec arrêt"))</f>
        <v/>
      </c>
      <c r="U36" s="300"/>
      <c r="V36" s="300" t="str">
        <f>IF(A36="","",SUMIFS('Liste AT'!$O$7:$O$165,'Liste AT'!$E$7:$E$165,A36,'Liste AT'!$K$7:$K$165,"travail"))</f>
        <v/>
      </c>
    </row>
    <row r="37" spans="1:22" x14ac:dyDescent="0.25">
      <c r="A37" s="322" t="str">
        <f>IF('Listes déroulantes'!A33="","",'Listes déroulantes'!A33)</f>
        <v/>
      </c>
      <c r="B37" s="182" t="str">
        <f>IF(A37="","",VLOOKUP(A37,'Listes déroulantes'!$A$3:$B$55,2,FALSE ))</f>
        <v/>
      </c>
      <c r="C37" s="183" t="str">
        <f t="array" ref="C37">IF(A37="","",IF(E37="NON", "01/01/2018",INDEX('Liste AT'!$I$1:$I$165,(MAX(IF('Liste AT'!$E$7:$E$165=A37,ROW('Liste AT'!$E$7:$E$165)))),1)))</f>
        <v/>
      </c>
      <c r="D37" s="184" t="str">
        <f t="shared" ca="1" si="8"/>
        <v/>
      </c>
      <c r="E37" s="327" t="str">
        <f>IF(A37="","",IFERROR(VLOOKUP(A37,'Liste AT'!$E$7:$E$165,1,FALSE),"NON"))</f>
        <v/>
      </c>
      <c r="F37" s="327" t="str">
        <f>IF(A37="","",COUNTIF('Liste AT'!$E$7:$E$165,E37))</f>
        <v/>
      </c>
      <c r="G37" s="327" t="str">
        <f>IF(A37="","",SUMIF('Liste AT'!$E$7:$E$165,A37,'Liste AT'!$O$7:$O$165))</f>
        <v/>
      </c>
      <c r="H37" s="185" t="str">
        <f t="shared" si="10"/>
        <v/>
      </c>
      <c r="I37" s="185" t="str">
        <f t="shared" si="9"/>
        <v/>
      </c>
      <c r="J37" s="327" t="str">
        <f>IF(A37="","",COUNTIFS('Liste AT'!$E$7:$E$165,A37,'Liste AT'!$L$7:$L$165,"avec arrêt"))</f>
        <v/>
      </c>
      <c r="K37" s="327" t="str">
        <f t="shared" si="6"/>
        <v/>
      </c>
      <c r="L37" s="230" t="str">
        <f t="shared" si="11"/>
        <v/>
      </c>
      <c r="M37" s="230" t="str">
        <f ca="1">IF(A37="","",INDEX(INDIRECT("Effectifs!E" &amp;#REF! &amp; ":P" &amp;#REF!),MATCH(-1,INDIRECT("Effectifs!E" &amp;#REF! &amp; ":P" &amp;#REF!),-1)))</f>
        <v/>
      </c>
      <c r="N37" s="230"/>
      <c r="O37" s="300"/>
      <c r="P37" s="300" t="str">
        <f>IF(A37="","",COUNTIFS('Liste AT'!$E$7:$E$165,A37,'Liste AT'!$K$7:$K$165,"=trajet"))</f>
        <v/>
      </c>
      <c r="Q37" s="300"/>
      <c r="R37" s="300" t="str">
        <f>IF(A37="","",COUNTIFS('Liste AT'!$E$7:$E$165,A37,'Liste AT'!$AB$7:$AB$165,"=oui"))</f>
        <v/>
      </c>
      <c r="S37" s="300"/>
      <c r="T37" s="300" t="str">
        <f>IF(A37="","",COUNTIFS('Liste AT'!$E$7:$E$165,A37,'Liste AT'!$K$7:$K$165,"=trajet",'Liste AT'!$L$7:$L$165,"=avec arrêt"))</f>
        <v/>
      </c>
      <c r="U37" s="300"/>
      <c r="V37" s="300" t="str">
        <f>IF(A37="","",SUMIFS('Liste AT'!$O$7:$O$165,'Liste AT'!$E$7:$E$165,A37,'Liste AT'!$K$7:$K$165,"travail"))</f>
        <v/>
      </c>
    </row>
    <row r="38" spans="1:22" x14ac:dyDescent="0.25">
      <c r="A38" s="322" t="str">
        <f>IF('Listes déroulantes'!A34="","",'Listes déroulantes'!A34)</f>
        <v/>
      </c>
      <c r="B38" s="182" t="str">
        <f>IF(A38="","",VLOOKUP(A38,'Listes déroulantes'!$A$3:$B$55,2,FALSE ))</f>
        <v/>
      </c>
      <c r="C38" s="183" t="str">
        <f t="array" ref="C38">IF(A38="","",IF(E38="NON", "01/01/2018",INDEX('Liste AT'!$I$1:$I$165,(MAX(IF('Liste AT'!$E$7:$E$165=A38,ROW('Liste AT'!$E$7:$E$165)))),1)))</f>
        <v/>
      </c>
      <c r="D38" s="184" t="str">
        <f t="shared" ca="1" si="8"/>
        <v/>
      </c>
      <c r="E38" s="327" t="str">
        <f>IF(A38="","",IFERROR(VLOOKUP(A38,'Liste AT'!$E$7:$E$165,1,FALSE),"NON"))</f>
        <v/>
      </c>
      <c r="F38" s="327" t="str">
        <f>IF(A38="","",COUNTIF('Liste AT'!$E$7:$E$165,E38))</f>
        <v/>
      </c>
      <c r="G38" s="327" t="str">
        <f>IF(A38="","",SUMIF('Liste AT'!$E$7:$E$165,A38,'Liste AT'!$O$7:$O$165))</f>
        <v/>
      </c>
      <c r="H38" s="185" t="str">
        <f t="shared" si="10"/>
        <v/>
      </c>
      <c r="I38" s="185" t="str">
        <f t="shared" si="9"/>
        <v/>
      </c>
      <c r="J38" s="327" t="str">
        <f>IF(A38="","",COUNTIFS('Liste AT'!$E$7:$E$165,A38,'Liste AT'!$L$7:$L$165,"avec arrêt"))</f>
        <v/>
      </c>
      <c r="K38" s="327" t="str">
        <f t="shared" si="6"/>
        <v/>
      </c>
      <c r="L38" s="230" t="str">
        <f t="shared" si="11"/>
        <v/>
      </c>
      <c r="M38" s="230" t="str">
        <f ca="1">IF(A38="","",INDEX(INDIRECT("Effectifs!E" &amp;#REF! &amp; ":P" &amp;#REF!),MATCH(-1,INDIRECT("Effectifs!E" &amp;#REF! &amp; ":P" &amp;#REF!),-1)))</f>
        <v/>
      </c>
      <c r="N38" s="230"/>
      <c r="O38" s="300"/>
      <c r="P38" s="300" t="str">
        <f>IF(A38="","",COUNTIFS('Liste AT'!$E$7:$E$165,A38,'Liste AT'!$K$7:$K$165,"=trajet"))</f>
        <v/>
      </c>
      <c r="Q38" s="300"/>
      <c r="R38" s="300" t="str">
        <f>IF(A38="","",COUNTIFS('Liste AT'!$E$7:$E$165,A38,'Liste AT'!$AB$7:$AB$165,"=oui"))</f>
        <v/>
      </c>
      <c r="S38" s="300"/>
      <c r="T38" s="300" t="str">
        <f>IF(A38="","",COUNTIFS('Liste AT'!$E$7:$E$165,A38,'Liste AT'!$K$7:$K$165,"=trajet",'Liste AT'!$L$7:$L$165,"=avec arrêt"))</f>
        <v/>
      </c>
      <c r="U38" s="300"/>
      <c r="V38" s="300" t="str">
        <f>IF(A38="","",SUMIFS('Liste AT'!$O$7:$O$165,'Liste AT'!$E$7:$E$165,A38,'Liste AT'!$K$7:$K$165,"travail"))</f>
        <v/>
      </c>
    </row>
    <row r="39" spans="1:22" x14ac:dyDescent="0.25">
      <c r="A39" s="322" t="str">
        <f>IF('Listes déroulantes'!A35="","",'Listes déroulantes'!A35)</f>
        <v/>
      </c>
      <c r="B39" s="182" t="str">
        <f>IF(A39="","",VLOOKUP(A39,'Listes déroulantes'!$A$3:$B$55,2,FALSE ))</f>
        <v/>
      </c>
      <c r="C39" s="183" t="str">
        <f t="array" ref="C39">IF(A39="","",IF(E39="NON", "01/01/2018",INDEX('Liste AT'!$I$1:$I$165,(MAX(IF('Liste AT'!$E$7:$E$165=A39,ROW('Liste AT'!$E$7:$E$165)))),1)))</f>
        <v/>
      </c>
      <c r="D39" s="184" t="str">
        <f t="shared" ca="1" si="8"/>
        <v/>
      </c>
      <c r="E39" s="327" t="str">
        <f>IF(A39="","",IFERROR(VLOOKUP(A39,'Liste AT'!$E$7:$E$165,1,FALSE),"NON"))</f>
        <v/>
      </c>
      <c r="F39" s="327" t="str">
        <f>IF(A39="","",COUNTIF('Liste AT'!$E$7:$E$165,E39))</f>
        <v/>
      </c>
      <c r="G39" s="327" t="str">
        <f>IF(A39="","",SUMIF('Liste AT'!$E$7:$E$165,A39,'Liste AT'!$O$7:$O$165))</f>
        <v/>
      </c>
      <c r="H39" s="185" t="str">
        <f t="shared" si="10"/>
        <v/>
      </c>
      <c r="I39" s="185" t="str">
        <f t="shared" si="9"/>
        <v/>
      </c>
      <c r="J39" s="327" t="str">
        <f>IF(A39="","",COUNTIFS('Liste AT'!$E$7:$E$165,A39,'Liste AT'!$L$7:$L$165,"avec arrêt"))</f>
        <v/>
      </c>
      <c r="K39" s="327" t="str">
        <f t="shared" si="6"/>
        <v/>
      </c>
      <c r="L39" s="230" t="str">
        <f t="shared" si="11"/>
        <v/>
      </c>
      <c r="M39" s="230" t="str">
        <f ca="1">IF(A39="","",INDEX(INDIRECT("Effectifs!E" &amp;#REF! &amp; ":P" &amp;#REF!),MATCH(-1,INDIRECT("Effectifs!E" &amp;#REF! &amp; ":P" &amp;#REF!),-1)))</f>
        <v/>
      </c>
      <c r="N39" s="230"/>
      <c r="O39" s="300"/>
      <c r="P39" s="300" t="str">
        <f>IF(A39="","",COUNTIFS('Liste AT'!$E$7:$E$165,A39,'Liste AT'!$K$7:$K$165,"=trajet"))</f>
        <v/>
      </c>
      <c r="Q39" s="300"/>
      <c r="R39" s="300" t="str">
        <f>IF(A39="","",COUNTIFS('Liste AT'!$E$7:$E$165,A39,'Liste AT'!$AB$7:$AB$165,"=oui"))</f>
        <v/>
      </c>
      <c r="S39" s="300"/>
      <c r="T39" s="300" t="str">
        <f>IF(A39="","",COUNTIFS('Liste AT'!$E$7:$E$165,A39,'Liste AT'!$K$7:$K$165,"=trajet",'Liste AT'!$L$7:$L$165,"=avec arrêt"))</f>
        <v/>
      </c>
      <c r="U39" s="300"/>
      <c r="V39" s="300" t="str">
        <f>IF(A39="","",SUMIFS('Liste AT'!$O$7:$O$165,'Liste AT'!$E$7:$E$165,A39,'Liste AT'!$K$7:$K$165,"travail"))</f>
        <v/>
      </c>
    </row>
    <row r="40" spans="1:22" x14ac:dyDescent="0.25">
      <c r="A40" s="322" t="str">
        <f>IF('Listes déroulantes'!A36="","",'Listes déroulantes'!A36)</f>
        <v/>
      </c>
      <c r="B40" s="93"/>
      <c r="C40" s="183" t="str">
        <f t="array" ref="C40">IF(A40="","",IF(E40="NON", "01/01/2018",INDEX('Liste AT'!$I$1:$I$165,(MAX(IF('Liste AT'!$E$7:$E$165=A40,ROW('Liste AT'!$E$7:$E$165)))),1)))</f>
        <v/>
      </c>
      <c r="D40" s="184" t="str">
        <f t="shared" ca="1" si="8"/>
        <v/>
      </c>
      <c r="E40" s="327" t="str">
        <f>IF(A40="","",IFERROR(VLOOKUP(A40,'Liste AT'!$E$7:$E$165,1,FALSE),"NON"))</f>
        <v/>
      </c>
      <c r="F40" s="327" t="str">
        <f>IF(A40="","",COUNTIF('Liste AT'!$E$7:$E$165,E40))</f>
        <v/>
      </c>
      <c r="G40" s="327" t="str">
        <f>IF(A40="","",SUMIF('Liste AT'!$E$7:$E$165,A40,'Liste AT'!$O$7:$O$165))</f>
        <v/>
      </c>
      <c r="H40" s="185" t="str">
        <f t="shared" si="10"/>
        <v/>
      </c>
      <c r="I40" s="185" t="str">
        <f t="shared" si="9"/>
        <v/>
      </c>
      <c r="J40" s="327" t="str">
        <f>IF(A40="","",COUNTIFS('Liste AT'!$E$7:$E$165,A40,'Liste AT'!$L$7:$L$165,"avec arrêt"))</f>
        <v/>
      </c>
      <c r="K40" s="327" t="str">
        <f t="shared" si="6"/>
        <v/>
      </c>
      <c r="L40" s="230" t="str">
        <f t="shared" si="11"/>
        <v/>
      </c>
      <c r="M40" s="230" t="str">
        <f ca="1">IF(A40="","",INDEX(INDIRECT("Effectifs!E" &amp;#REF! &amp; ":P" &amp;#REF!),MATCH(-1,INDIRECT("Effectifs!E" &amp;#REF! &amp; ":P" &amp;#REF!),-1)))</f>
        <v/>
      </c>
      <c r="N40" s="230"/>
      <c r="O40" s="300"/>
      <c r="P40" s="300" t="str">
        <f>IF(A40="","",COUNTIFS('Liste AT'!$E$7:$E$165,A40,'Liste AT'!$K$7:$K$165,"=trajet"))</f>
        <v/>
      </c>
      <c r="Q40" s="300"/>
      <c r="R40" s="300" t="str">
        <f>IF(A40="","",COUNTIFS('Liste AT'!$E$7:$E$165,A40,'Liste AT'!$AB$7:$AB$165,"=oui"))</f>
        <v/>
      </c>
      <c r="S40" s="300"/>
      <c r="T40" s="300" t="str">
        <f>IF(A40="","",COUNTIFS('Liste AT'!$E$7:$E$165,A40,'Liste AT'!$K$7:$K$165,"=trajet",'Liste AT'!$L$7:$L$165,"=avec arrêt"))</f>
        <v/>
      </c>
      <c r="U40" s="300"/>
      <c r="V40" s="300" t="str">
        <f>IF(A40="","",SUMIFS('Liste AT'!$O$7:$O$165,'Liste AT'!$E$7:$E$165,A40,'Liste AT'!$K$7:$K$165,"travail"))</f>
        <v/>
      </c>
    </row>
    <row r="41" spans="1:22" x14ac:dyDescent="0.25">
      <c r="A41" s="322" t="str">
        <f>IF('Listes déroulantes'!A37="","",'Listes déroulantes'!A37)</f>
        <v/>
      </c>
      <c r="B41" s="93"/>
      <c r="C41" s="183" t="str">
        <f t="array" ref="C41">IF(A41="","",IF(E41="NON", "01/01/2018",INDEX('Liste AT'!$I$1:$I$165,(MAX(IF('Liste AT'!$E$7:$E$165=A41,ROW('Liste AT'!$E$7:$E$165)))),1)))</f>
        <v/>
      </c>
      <c r="D41" s="184" t="str">
        <f t="shared" ca="1" si="8"/>
        <v/>
      </c>
      <c r="E41" s="327" t="str">
        <f>IF(A41="","",IFERROR(VLOOKUP(A41,'Liste AT'!$E$7:$E$165,1,FALSE),"NON"))</f>
        <v/>
      </c>
      <c r="F41" s="327" t="str">
        <f>IF(A41="","",COUNTIF('Liste AT'!$E$7:$E$165,E41))</f>
        <v/>
      </c>
      <c r="G41" s="327" t="str">
        <f>IF(A41="","",SUMIF('Liste AT'!$E$7:$E$165,A41,'Liste AT'!$O$7:$O$165))</f>
        <v/>
      </c>
      <c r="H41" s="185" t="str">
        <f t="shared" si="10"/>
        <v/>
      </c>
      <c r="I41" s="185" t="str">
        <f t="shared" si="9"/>
        <v/>
      </c>
      <c r="J41" s="327" t="str">
        <f>IF(A41="","",COUNTIFS('Liste AT'!$E$7:$E$165,A41,'Liste AT'!$L$7:$L$165,"avec arrêt"))</f>
        <v/>
      </c>
      <c r="K41" s="327" t="str">
        <f t="shared" si="6"/>
        <v/>
      </c>
      <c r="L41" s="230" t="str">
        <f t="shared" si="11"/>
        <v/>
      </c>
      <c r="M41" s="230" t="str">
        <f ca="1">IF(A41="","",INDEX(INDIRECT("Effectifs!E" &amp;#REF! &amp; ":P" &amp;#REF!),MATCH(-1,INDIRECT("Effectifs!E" &amp;#REF! &amp; ":P" &amp;#REF!),-1)))</f>
        <v/>
      </c>
      <c r="N41" s="230"/>
      <c r="O41" s="300"/>
      <c r="P41" s="300" t="str">
        <f>IF(A41="","",COUNTIFS('Liste AT'!$E$7:$E$165,A41,'Liste AT'!$K$7:$K$165,"=trajet"))</f>
        <v/>
      </c>
      <c r="Q41" s="300"/>
      <c r="R41" s="300" t="str">
        <f>IF(A41="","",COUNTIFS('Liste AT'!$E$7:$E$165,A41,'Liste AT'!$AB$7:$AB$165,"=oui"))</f>
        <v/>
      </c>
      <c r="S41" s="300"/>
      <c r="T41" s="300"/>
      <c r="U41" s="300"/>
      <c r="V41" s="300" t="e">
        <f>SUMIFS('Liste AT'!$O$7:$O$165,'Liste AT'!#REF!,A41,'Liste AT'!$K$7:$K$165,"travail")</f>
        <v>#REF!</v>
      </c>
    </row>
    <row r="42" spans="1:22" x14ac:dyDescent="0.25">
      <c r="A42" s="322" t="str">
        <f>IF('Listes déroulantes'!A38="","",'Listes déroulantes'!A38)</f>
        <v/>
      </c>
      <c r="B42" s="93"/>
      <c r="C42" s="93"/>
      <c r="D42" s="93"/>
      <c r="E42" s="327"/>
      <c r="F42" s="327"/>
      <c r="G42" s="327"/>
      <c r="H42" s="93"/>
      <c r="I42" s="93"/>
      <c r="J42" s="327"/>
      <c r="K42" s="327"/>
      <c r="L42" s="230"/>
      <c r="M42" s="93"/>
      <c r="N42" s="230"/>
      <c r="O42" s="300"/>
      <c r="P42" s="300"/>
      <c r="Q42" s="300"/>
      <c r="R42" s="300"/>
      <c r="S42" s="300"/>
      <c r="T42" s="300"/>
      <c r="U42" s="300"/>
      <c r="V42" s="300" t="e">
        <f>SUMIFS('Liste AT'!$O$7:$O$165,'Liste AT'!#REF!,A42,'Liste AT'!$K$7:$K$165,"travail")</f>
        <v>#REF!</v>
      </c>
    </row>
    <row r="43" spans="1:22" x14ac:dyDescent="0.25">
      <c r="A43" s="322" t="str">
        <f>IF('Listes déroulantes'!A39="","",'Listes déroulantes'!A39)</f>
        <v/>
      </c>
      <c r="B43" s="93"/>
      <c r="C43" s="93"/>
      <c r="D43" s="93"/>
      <c r="E43" s="327"/>
      <c r="F43" s="327"/>
      <c r="G43" s="327"/>
      <c r="H43" s="93"/>
      <c r="I43" s="93"/>
      <c r="J43" s="327"/>
      <c r="K43" s="327"/>
      <c r="L43" s="230"/>
      <c r="M43" s="93"/>
      <c r="N43" s="230"/>
      <c r="O43" s="300"/>
      <c r="P43" s="300"/>
      <c r="Q43" s="300"/>
      <c r="R43" s="300"/>
      <c r="S43" s="300"/>
      <c r="T43" s="300"/>
      <c r="U43" s="300"/>
      <c r="V43" s="300" t="e">
        <f>SUMIFS('Liste AT'!$O$7:$O$165,'Liste AT'!#REF!,A43,'Liste AT'!$K$7:$K$165,"travail")</f>
        <v>#REF!</v>
      </c>
    </row>
    <row r="44" spans="1:22" x14ac:dyDescent="0.25">
      <c r="A44" s="322"/>
      <c r="B44" s="93"/>
      <c r="C44" s="93"/>
      <c r="D44" s="93"/>
      <c r="E44" s="327"/>
      <c r="F44" s="327"/>
      <c r="G44" s="327"/>
      <c r="H44" s="93"/>
      <c r="I44" s="93"/>
      <c r="J44" s="327"/>
      <c r="K44" s="327"/>
      <c r="L44" s="230"/>
      <c r="M44" s="93"/>
      <c r="N44" s="230"/>
      <c r="O44" s="300"/>
      <c r="P44" s="300"/>
      <c r="Q44" s="300"/>
      <c r="R44" s="300"/>
      <c r="S44" s="300"/>
      <c r="T44" s="300"/>
      <c r="U44" s="300"/>
      <c r="V44" s="300" t="e">
        <f>SUMIFS('Liste AT'!$O$7:$O$165,'Liste AT'!#REF!,A44,'Liste AT'!$K$7:$K$165,"travail")</f>
        <v>#REF!</v>
      </c>
    </row>
    <row r="45" spans="1:22" x14ac:dyDescent="0.25">
      <c r="A45" s="324"/>
      <c r="B45" s="93"/>
      <c r="C45" s="93"/>
      <c r="D45" s="93"/>
      <c r="E45" s="327"/>
      <c r="F45" s="327"/>
      <c r="G45" s="327"/>
      <c r="H45" s="93"/>
      <c r="I45" s="93"/>
      <c r="J45" s="327"/>
      <c r="K45" s="327"/>
      <c r="L45" s="230"/>
      <c r="M45" s="93"/>
      <c r="N45" s="230"/>
      <c r="O45" s="300"/>
      <c r="P45" s="300"/>
      <c r="Q45" s="300"/>
      <c r="R45" s="300"/>
      <c r="S45" s="300"/>
      <c r="T45" s="300"/>
      <c r="U45" s="300"/>
      <c r="V45" s="300" t="e">
        <f>SUMIFS('Liste AT'!$O$7:$O$165,'Liste AT'!#REF!,A45,'Liste AT'!$K$7:$K$165,"travail")</f>
        <v>#REF!</v>
      </c>
    </row>
    <row r="46" spans="1:22" x14ac:dyDescent="0.25">
      <c r="A46" s="324"/>
      <c r="B46" s="93"/>
      <c r="C46" s="93"/>
      <c r="D46" s="93"/>
      <c r="E46" s="327"/>
      <c r="F46" s="327"/>
      <c r="G46" s="327"/>
      <c r="H46" s="93"/>
      <c r="I46" s="93"/>
      <c r="J46" s="327"/>
      <c r="K46" s="327"/>
      <c r="L46" s="230"/>
      <c r="M46" s="93"/>
      <c r="N46" s="230"/>
      <c r="O46" s="300"/>
      <c r="P46" s="300"/>
      <c r="Q46" s="300"/>
      <c r="R46" s="300"/>
      <c r="S46" s="300"/>
      <c r="T46" s="300"/>
      <c r="U46" s="300"/>
      <c r="V46" s="300" t="e">
        <f>SUMIFS('Liste AT'!$O$7:$O$165,'Liste AT'!#REF!,A46,'Liste AT'!$K$7:$K$165,"travail")</f>
        <v>#REF!</v>
      </c>
    </row>
    <row r="47" spans="1:22" x14ac:dyDescent="0.25">
      <c r="A47" s="324"/>
      <c r="B47" s="93"/>
      <c r="C47" s="93"/>
      <c r="D47" s="93"/>
      <c r="E47" s="327"/>
      <c r="F47" s="327"/>
      <c r="G47" s="327"/>
      <c r="H47" s="93"/>
      <c r="I47" s="93"/>
      <c r="J47" s="327"/>
      <c r="K47" s="327"/>
      <c r="L47" s="230"/>
      <c r="M47" s="93"/>
      <c r="N47" s="230"/>
      <c r="O47" s="300"/>
      <c r="P47" s="300"/>
      <c r="Q47" s="300"/>
      <c r="R47" s="300"/>
      <c r="S47" s="300"/>
      <c r="T47" s="300"/>
      <c r="U47" s="300"/>
      <c r="V47" s="300" t="e">
        <f>SUMIFS('Liste AT'!$O$7:$O$165,'Liste AT'!#REF!,A47,'Liste AT'!$K$7:$K$165,"travail")</f>
        <v>#REF!</v>
      </c>
    </row>
    <row r="48" spans="1:22" x14ac:dyDescent="0.25">
      <c r="A48" s="324"/>
      <c r="B48" s="93"/>
      <c r="C48" s="93"/>
      <c r="D48" s="93"/>
      <c r="E48" s="327"/>
      <c r="F48" s="327"/>
      <c r="G48" s="327"/>
      <c r="H48" s="93"/>
      <c r="I48" s="93"/>
      <c r="J48" s="327"/>
      <c r="K48" s="327"/>
      <c r="L48" s="230"/>
      <c r="M48" s="93"/>
      <c r="N48" s="230"/>
      <c r="O48" s="300"/>
      <c r="P48" s="300"/>
      <c r="Q48" s="300"/>
      <c r="R48" s="300"/>
      <c r="S48" s="300"/>
      <c r="T48" s="300"/>
      <c r="U48" s="300"/>
      <c r="V48" s="300" t="e">
        <f>SUMIFS('Liste AT'!$O$7:$O$165,'Liste AT'!#REF!,A48,'Liste AT'!$K$7:$K$165,"travail")</f>
        <v>#REF!</v>
      </c>
    </row>
    <row r="49" spans="1:22" x14ac:dyDescent="0.25">
      <c r="A49" s="324"/>
      <c r="B49" s="93"/>
      <c r="C49" s="93"/>
      <c r="D49" s="93"/>
      <c r="E49" s="327"/>
      <c r="F49" s="327"/>
      <c r="G49" s="327"/>
      <c r="H49" s="93"/>
      <c r="I49" s="93"/>
      <c r="J49" s="327"/>
      <c r="K49" s="327"/>
      <c r="L49" s="230"/>
      <c r="M49" s="93"/>
      <c r="N49" s="230"/>
      <c r="O49" s="300"/>
      <c r="P49" s="300"/>
      <c r="Q49" s="300"/>
      <c r="R49" s="300"/>
      <c r="S49" s="300"/>
      <c r="T49" s="300"/>
      <c r="U49" s="300"/>
      <c r="V49" s="300" t="e">
        <f>SUMIFS('Liste AT'!$O$7:$O$165,'Liste AT'!#REF!,A49,'Liste AT'!$K$7:$K$165,"travail")</f>
        <v>#REF!</v>
      </c>
    </row>
    <row r="50" spans="1:22" x14ac:dyDescent="0.25">
      <c r="A50" s="324"/>
      <c r="B50" s="93"/>
      <c r="C50" s="93"/>
      <c r="D50" s="93"/>
      <c r="E50" s="327"/>
      <c r="F50" s="327"/>
      <c r="G50" s="327"/>
      <c r="H50" s="93"/>
      <c r="I50" s="93"/>
      <c r="J50" s="327"/>
      <c r="K50" s="327"/>
      <c r="L50" s="230"/>
      <c r="M50" s="93"/>
      <c r="N50" s="230"/>
      <c r="O50" s="300"/>
      <c r="P50" s="300"/>
      <c r="Q50" s="300"/>
      <c r="R50" s="300"/>
      <c r="S50" s="300"/>
      <c r="T50" s="300"/>
      <c r="U50" s="300"/>
      <c r="V50" s="300" t="e">
        <f>SUMIFS('Liste AT'!$O$7:$O$165,'Liste AT'!#REF!,A50,'Liste AT'!$K$7:$K$165,"travail")</f>
        <v>#REF!</v>
      </c>
    </row>
    <row r="51" spans="1:22" x14ac:dyDescent="0.25">
      <c r="A51" s="324"/>
      <c r="B51" s="93"/>
      <c r="C51" s="93"/>
      <c r="D51" s="93"/>
      <c r="E51" s="327"/>
      <c r="F51" s="327"/>
      <c r="G51" s="327"/>
      <c r="H51" s="93"/>
      <c r="I51" s="93"/>
      <c r="J51" s="327"/>
      <c r="K51" s="327"/>
      <c r="L51" s="230"/>
      <c r="M51" s="93"/>
      <c r="N51" s="230"/>
      <c r="O51" s="300"/>
      <c r="P51" s="300"/>
      <c r="Q51" s="300"/>
      <c r="R51" s="300"/>
      <c r="S51" s="300"/>
      <c r="T51" s="300"/>
      <c r="U51" s="300"/>
      <c r="V51" s="300" t="e">
        <f>SUMIFS('Liste AT'!$O$7:$O$165,'Liste AT'!#REF!,A51,'Liste AT'!$K$7:$K$165,"travail")</f>
        <v>#REF!</v>
      </c>
    </row>
    <row r="52" spans="1:22" x14ac:dyDescent="0.25">
      <c r="A52" s="325" t="s">
        <v>1188</v>
      </c>
      <c r="B52" s="186" t="e">
        <f>IF(A52="","",VLOOKUP(A52,'Listes déroulantes'!$A$3:$B$39,2,FALSE ))</f>
        <v>#N/A</v>
      </c>
      <c r="C52" s="187" t="e">
        <f>MAX(C2:C35)</f>
        <v>#REF!</v>
      </c>
      <c r="D52" s="173">
        <f ca="1">MIN(D2:D35)</f>
        <v>42</v>
      </c>
      <c r="E52" s="329"/>
      <c r="F52" s="329">
        <f>SUM(F2:F5)</f>
        <v>0</v>
      </c>
      <c r="G52" s="329">
        <f>SUM(G2:G5)</f>
        <v>0</v>
      </c>
      <c r="H52" s="173" t="e">
        <f ca="1">((J52-T52)*1000000/(M52*(1607*$W$1/12)))</f>
        <v>#VALUE!</v>
      </c>
      <c r="I52" s="173" t="e">
        <f ca="1">G52*1000/(M52*(1607*$W$1/12))</f>
        <v>#REF!</v>
      </c>
      <c r="J52" s="329" t="e">
        <f>SUM(J2:J5)</f>
        <v>#VALUE!</v>
      </c>
      <c r="K52" s="329" t="e">
        <f>SUM(K2:K5)</f>
        <v>#VALUE!</v>
      </c>
      <c r="L52" s="230" t="e">
        <f ca="1">(J52-T52)*1000000/(M52*(1607*$W$1/12))</f>
        <v>#VALUE!</v>
      </c>
      <c r="M52" s="173" t="e">
        <f ca="1">SUM(M2:M5)</f>
        <v>#REF!</v>
      </c>
      <c r="N52" s="294" t="e">
        <f ca="1">((J52-T52)*1000)/M52</f>
        <v>#VALUE!</v>
      </c>
      <c r="O52" s="331"/>
      <c r="P52" s="331"/>
      <c r="Q52" s="331"/>
      <c r="R52" s="300" t="e">
        <f>DCOUNT('Liste AT'!$B$6:$AH$58,,#REF!)</f>
        <v>#REF!</v>
      </c>
      <c r="S52" s="300"/>
      <c r="T52" s="300">
        <f>COUNTIFS('Liste AT'!L7:L65,"avec arrêt",'Liste AT'!K7:K65,"trajet")</f>
        <v>0</v>
      </c>
      <c r="U52" s="300"/>
      <c r="V52" s="300" t="e">
        <f>SUM(V2:V5)</f>
        <v>#VALUE!</v>
      </c>
    </row>
    <row r="53" spans="1:22" x14ac:dyDescent="0.25">
      <c r="A53" s="324"/>
      <c r="B53" s="93"/>
      <c r="C53" s="93"/>
      <c r="D53" s="93"/>
      <c r="E53" s="327"/>
      <c r="F53" s="327"/>
      <c r="G53" s="327"/>
      <c r="H53" s="93"/>
      <c r="I53" s="93"/>
      <c r="J53" s="327"/>
      <c r="K53" s="327"/>
      <c r="L53" s="93"/>
      <c r="M53" s="93"/>
      <c r="N53" s="230"/>
      <c r="O53" s="300"/>
      <c r="P53" s="300"/>
      <c r="Q53" s="300"/>
      <c r="R53" s="300"/>
      <c r="S53" s="300"/>
      <c r="T53" s="300"/>
      <c r="U53" s="300"/>
      <c r="V53" s="300" t="e">
        <f>SUMIFS('Liste AT'!$O$7:$O$165,'Liste AT'!#REF!,A53,'Liste AT'!$K$7:$K$165,"travail")</f>
        <v>#REF!</v>
      </c>
    </row>
    <row r="54" spans="1:22" x14ac:dyDescent="0.25">
      <c r="A54" s="324"/>
      <c r="B54" s="93"/>
      <c r="C54" s="93"/>
      <c r="D54" s="93"/>
      <c r="E54" s="327"/>
      <c r="F54" s="327"/>
      <c r="G54" s="327"/>
      <c r="H54" s="93"/>
      <c r="I54" s="93"/>
      <c r="J54" s="327"/>
      <c r="K54" s="327"/>
      <c r="L54" s="93"/>
      <c r="M54" s="93"/>
      <c r="N54" s="230"/>
      <c r="O54" s="300"/>
      <c r="P54" s="300"/>
      <c r="Q54" s="300"/>
      <c r="R54" s="300"/>
      <c r="S54" s="300"/>
      <c r="T54" s="300"/>
      <c r="U54" s="300"/>
      <c r="V54" s="300" t="e">
        <f>SUMIFS('Liste AT'!$O$7:$O$165,'Liste AT'!#REF!,A54,'Liste AT'!$K$7:$K$165,"travail")</f>
        <v>#REF!</v>
      </c>
    </row>
    <row r="55" spans="1:22" x14ac:dyDescent="0.25">
      <c r="A55" s="324"/>
      <c r="B55" s="93"/>
      <c r="C55" s="93"/>
      <c r="D55" s="93"/>
      <c r="E55" s="327"/>
      <c r="F55" s="327"/>
      <c r="G55" s="327"/>
      <c r="H55" s="93"/>
      <c r="I55" s="93"/>
      <c r="J55" s="327"/>
      <c r="K55" s="327"/>
      <c r="L55" s="93"/>
      <c r="M55" s="93"/>
      <c r="N55" s="230"/>
      <c r="O55" s="300"/>
      <c r="P55" s="300"/>
      <c r="Q55" s="300"/>
      <c r="R55" s="300"/>
      <c r="S55" s="300"/>
      <c r="T55" s="300"/>
      <c r="U55" s="300"/>
      <c r="V55" s="300" t="e">
        <f>SUMIFS('Liste AT'!$O$7:$O$165,'Liste AT'!#REF!,A55,'Liste AT'!$K$7:$K$165,"travail")</f>
        <v>#REF!</v>
      </c>
    </row>
    <row r="56" spans="1:22" x14ac:dyDescent="0.25">
      <c r="A56" s="324"/>
      <c r="B56" s="93"/>
      <c r="C56" s="93"/>
      <c r="D56" s="93"/>
      <c r="E56" s="327"/>
      <c r="F56" s="327"/>
      <c r="G56" s="327"/>
      <c r="H56" s="93"/>
      <c r="I56" s="93"/>
      <c r="J56" s="327"/>
      <c r="K56" s="327"/>
      <c r="L56" s="93"/>
      <c r="M56" s="93"/>
      <c r="N56" s="230"/>
      <c r="O56" s="300"/>
      <c r="P56" s="300"/>
      <c r="Q56" s="300"/>
      <c r="R56" s="300"/>
      <c r="S56" s="300"/>
      <c r="T56" s="300"/>
      <c r="U56" s="300"/>
      <c r="V56" s="300" t="e">
        <f>SUMIFS('Liste AT'!$O$7:$O$165,'Liste AT'!#REF!,A56,'Liste AT'!$K$7:$K$165,"travail")</f>
        <v>#REF!</v>
      </c>
    </row>
    <row r="57" spans="1:22" x14ac:dyDescent="0.25">
      <c r="A57" s="324"/>
      <c r="B57" s="93"/>
      <c r="C57" s="93"/>
      <c r="D57" s="93"/>
      <c r="E57" s="327"/>
      <c r="F57" s="327"/>
      <c r="G57" s="327"/>
      <c r="H57" s="93"/>
      <c r="I57" s="93"/>
      <c r="J57" s="327"/>
      <c r="K57" s="327"/>
      <c r="L57" s="93"/>
      <c r="M57" s="93"/>
      <c r="N57" s="230"/>
      <c r="O57" s="300"/>
      <c r="P57" s="300"/>
      <c r="Q57" s="300"/>
      <c r="R57" s="300"/>
      <c r="S57" s="300"/>
      <c r="T57" s="300"/>
      <c r="U57" s="300"/>
      <c r="V57" s="300" t="e">
        <f>SUMIFS('Liste AT'!$O$7:$O$165,'Liste AT'!#REF!,A57,'Liste AT'!$K$7:$K$165,"travail")</f>
        <v>#REF!</v>
      </c>
    </row>
    <row r="58" spans="1:22" x14ac:dyDescent="0.25">
      <c r="A58" s="324"/>
      <c r="B58" s="93"/>
      <c r="C58" s="93"/>
      <c r="D58" s="93"/>
      <c r="E58" s="327"/>
      <c r="F58" s="327"/>
      <c r="G58" s="327"/>
      <c r="H58" s="93"/>
      <c r="I58" s="93"/>
      <c r="J58" s="327"/>
      <c r="K58" s="327"/>
      <c r="L58" s="93"/>
      <c r="M58" s="93"/>
      <c r="N58" s="230"/>
      <c r="O58" s="300"/>
      <c r="P58" s="300"/>
      <c r="Q58" s="300"/>
      <c r="R58" s="300"/>
      <c r="S58" s="300"/>
      <c r="T58" s="300"/>
      <c r="U58" s="300"/>
      <c r="V58" s="300" t="e">
        <f>SUMIFS('Liste AT'!$O$7:$O$165,'Liste AT'!#REF!,A58,'Liste AT'!$K$7:$K$165,"travail")</f>
        <v>#REF!</v>
      </c>
    </row>
    <row r="59" spans="1:22" x14ac:dyDescent="0.25">
      <c r="A59" s="324"/>
      <c r="B59" s="93"/>
      <c r="C59" s="93"/>
      <c r="D59" s="93"/>
      <c r="E59" s="327"/>
      <c r="F59" s="327"/>
      <c r="G59" s="327"/>
      <c r="H59" s="93"/>
      <c r="I59" s="93"/>
      <c r="J59" s="327"/>
      <c r="K59" s="327"/>
      <c r="L59" s="93"/>
      <c r="M59" s="93"/>
      <c r="N59" s="230"/>
      <c r="O59" s="300"/>
      <c r="P59" s="300"/>
      <c r="Q59" s="300"/>
      <c r="R59" s="300"/>
      <c r="S59" s="300"/>
      <c r="T59" s="300"/>
      <c r="U59" s="300"/>
      <c r="V59" s="300" t="e">
        <f>SUMIFS('Liste AT'!$O$7:$O$165,'Liste AT'!#REF!,A59,'Liste AT'!$K$7:$K$165,"travail")</f>
        <v>#REF!</v>
      </c>
    </row>
    <row r="60" spans="1:22" x14ac:dyDescent="0.25">
      <c r="A60" s="324"/>
      <c r="B60" s="93"/>
      <c r="C60" s="93"/>
      <c r="D60" s="93"/>
      <c r="E60" s="327"/>
      <c r="F60" s="327"/>
      <c r="G60" s="327"/>
      <c r="H60" s="93"/>
      <c r="I60" s="93"/>
      <c r="J60" s="327"/>
      <c r="K60" s="327"/>
      <c r="L60" s="93"/>
      <c r="M60" s="93"/>
      <c r="N60" s="230"/>
      <c r="O60" s="300"/>
      <c r="P60" s="300"/>
      <c r="Q60" s="300"/>
      <c r="R60" s="300"/>
      <c r="S60" s="300"/>
      <c r="T60" s="300"/>
      <c r="U60" s="300"/>
      <c r="V60" s="300" t="e">
        <f>SUMIFS('Liste AT'!$O$7:$O$165,'Liste AT'!#REF!,A60,'Liste AT'!$K$7:$K$165,"travail")</f>
        <v>#REF!</v>
      </c>
    </row>
    <row r="61" spans="1:22" x14ac:dyDescent="0.25">
      <c r="A61" s="324"/>
      <c r="B61" s="93"/>
      <c r="C61" s="93"/>
      <c r="D61" s="93"/>
      <c r="E61" s="327"/>
      <c r="F61" s="327"/>
      <c r="G61" s="327"/>
      <c r="H61" s="93"/>
      <c r="I61" s="93"/>
      <c r="J61" s="327"/>
      <c r="K61" s="327"/>
      <c r="L61" s="93"/>
      <c r="M61" s="93"/>
      <c r="N61" s="230"/>
      <c r="O61" s="300"/>
      <c r="P61" s="300"/>
      <c r="Q61" s="300"/>
      <c r="R61" s="300"/>
      <c r="S61" s="300"/>
      <c r="T61" s="300"/>
      <c r="U61" s="335"/>
      <c r="V61" s="301" t="e">
        <f>SUMIFS('Liste AT'!$O$7:$O$165,'Liste AT'!#REF!,A61,'Liste AT'!$K$7:$K$165,"travail")</f>
        <v>#REF!</v>
      </c>
    </row>
    <row r="62" spans="1:22" x14ac:dyDescent="0.25">
      <c r="A62" s="324"/>
      <c r="B62" s="93"/>
      <c r="C62" s="93"/>
      <c r="D62" s="93"/>
      <c r="E62" s="327"/>
      <c r="F62" s="327"/>
      <c r="G62" s="327"/>
      <c r="H62" s="93"/>
      <c r="I62" s="93"/>
      <c r="J62" s="327"/>
      <c r="K62" s="327"/>
      <c r="L62" s="93"/>
      <c r="M62" s="93"/>
      <c r="N62" s="230"/>
      <c r="O62" s="300"/>
      <c r="P62" s="300"/>
      <c r="Q62" s="300"/>
      <c r="R62" s="300"/>
      <c r="S62" s="300"/>
      <c r="T62" s="300"/>
      <c r="U62" s="335"/>
      <c r="V62" s="301" t="e">
        <f>SUMIFS('Liste AT'!$O$7:$O$165,'Liste AT'!#REF!,A62,'Liste AT'!$K$7:$K$165,"travail")</f>
        <v>#REF!</v>
      </c>
    </row>
    <row r="63" spans="1:22" x14ac:dyDescent="0.25">
      <c r="A63" s="324"/>
      <c r="B63" s="93"/>
      <c r="C63" s="93"/>
      <c r="D63" s="93"/>
      <c r="E63" s="327"/>
      <c r="F63" s="327"/>
      <c r="G63" s="327"/>
      <c r="H63" s="93"/>
      <c r="I63" s="93"/>
      <c r="J63" s="327"/>
      <c r="K63" s="327"/>
      <c r="L63" s="93"/>
      <c r="M63" s="93"/>
      <c r="N63" s="230"/>
      <c r="O63" s="300"/>
      <c r="P63" s="300"/>
      <c r="Q63" s="300"/>
      <c r="R63" s="300"/>
      <c r="S63" s="300"/>
      <c r="T63" s="300"/>
      <c r="U63" s="335"/>
      <c r="V63" s="301" t="e">
        <f>SUMIFS('Liste AT'!$O$7:$O$165,'Liste AT'!#REF!,A63,'Liste AT'!$K$7:$K$165,"travail")</f>
        <v>#REF!</v>
      </c>
    </row>
    <row r="64" spans="1:22" x14ac:dyDescent="0.25">
      <c r="A64" s="324"/>
      <c r="B64" s="93"/>
      <c r="C64" s="93"/>
      <c r="D64" s="93"/>
      <c r="E64" s="327"/>
      <c r="F64" s="327"/>
      <c r="G64" s="327"/>
      <c r="H64" s="93"/>
      <c r="I64" s="93"/>
      <c r="J64" s="327"/>
      <c r="K64" s="327"/>
      <c r="L64" s="93"/>
      <c r="M64" s="93"/>
      <c r="N64" s="230"/>
      <c r="O64" s="300"/>
      <c r="P64" s="300"/>
      <c r="Q64" s="300"/>
      <c r="R64" s="300"/>
      <c r="S64" s="300"/>
      <c r="T64" s="300"/>
      <c r="U64" s="335"/>
      <c r="V64" s="301" t="e">
        <f>SUMIFS('Liste AT'!$O$7:$O$165,'Liste AT'!#REF!,A64,'Liste AT'!$K$7:$K$165,"travail")</f>
        <v>#REF!</v>
      </c>
    </row>
    <row r="65" spans="1:22" x14ac:dyDescent="0.25">
      <c r="A65" s="324"/>
      <c r="B65" s="93"/>
      <c r="C65" s="93"/>
      <c r="D65" s="93"/>
      <c r="E65" s="327"/>
      <c r="F65" s="327"/>
      <c r="G65" s="327"/>
      <c r="H65" s="93"/>
      <c r="I65" s="93"/>
      <c r="J65" s="327"/>
      <c r="K65" s="327"/>
      <c r="L65" s="93"/>
      <c r="M65" s="93"/>
      <c r="N65" s="230"/>
      <c r="O65" s="300"/>
      <c r="P65" s="300"/>
      <c r="Q65" s="300"/>
      <c r="R65" s="300"/>
      <c r="S65" s="300"/>
      <c r="T65" s="300"/>
      <c r="U65" s="335"/>
      <c r="V65" s="301" t="e">
        <f>SUMIFS('Liste AT'!$O$7:$O$165,'Liste AT'!#REF!,A65,'Liste AT'!$K$7:$K$165,"travail")</f>
        <v>#REF!</v>
      </c>
    </row>
    <row r="66" spans="1:22" x14ac:dyDescent="0.25">
      <c r="A66" s="324"/>
      <c r="B66" s="93"/>
      <c r="C66" s="93"/>
      <c r="D66" s="93"/>
      <c r="E66" s="327"/>
      <c r="F66" s="327"/>
      <c r="G66" s="327"/>
      <c r="H66" s="93"/>
      <c r="I66" s="93"/>
      <c r="J66" s="327"/>
      <c r="K66" s="327"/>
      <c r="L66" s="93"/>
      <c r="M66" s="93"/>
      <c r="N66" s="230"/>
      <c r="O66" s="300"/>
      <c r="P66" s="300"/>
      <c r="Q66" s="300"/>
      <c r="R66" s="300"/>
      <c r="S66" s="300"/>
      <c r="T66" s="300"/>
      <c r="U66" s="335"/>
      <c r="V66" s="301" t="e">
        <f>SUMIFS('Liste AT'!$O$7:$O$165,'Liste AT'!#REF!,A66,'Liste AT'!$K$7:$K$165,"travail")</f>
        <v>#REF!</v>
      </c>
    </row>
    <row r="67" spans="1:22" x14ac:dyDescent="0.25">
      <c r="A67" s="324"/>
      <c r="B67" s="93"/>
      <c r="C67" s="93"/>
      <c r="D67" s="93"/>
      <c r="E67" s="327"/>
      <c r="F67" s="327"/>
      <c r="G67" s="327"/>
      <c r="H67" s="93"/>
      <c r="I67" s="93"/>
      <c r="J67" s="327"/>
      <c r="K67" s="327"/>
      <c r="L67" s="93"/>
      <c r="M67" s="93"/>
      <c r="N67" s="230"/>
      <c r="O67" s="300"/>
      <c r="P67" s="300"/>
      <c r="Q67" s="300"/>
      <c r="R67" s="300"/>
      <c r="S67" s="300"/>
      <c r="T67" s="300"/>
      <c r="U67" s="335"/>
      <c r="V67" s="301" t="e">
        <f>SUMIFS('Liste AT'!$O$7:$O$165,'Liste AT'!#REF!,A67,'Liste AT'!$K$7:$K$165,"travail")</f>
        <v>#REF!</v>
      </c>
    </row>
    <row r="68" spans="1:22" x14ac:dyDescent="0.25">
      <c r="A68" s="324"/>
      <c r="B68" s="93"/>
      <c r="C68" s="93"/>
      <c r="D68" s="93"/>
      <c r="E68" s="327"/>
      <c r="F68" s="327"/>
      <c r="G68" s="327"/>
      <c r="H68" s="93"/>
      <c r="I68" s="93"/>
      <c r="J68" s="327"/>
      <c r="K68" s="327"/>
      <c r="L68" s="93"/>
      <c r="M68" s="93"/>
      <c r="N68" s="230"/>
      <c r="O68" s="300"/>
      <c r="P68" s="300"/>
      <c r="Q68" s="300"/>
      <c r="R68" s="300"/>
      <c r="S68" s="300"/>
      <c r="T68" s="300"/>
      <c r="U68" s="335"/>
      <c r="V68" s="301" t="e">
        <f>SUMIFS('Liste AT'!$O$7:$O$165,'Liste AT'!#REF!,A68,'Liste AT'!$K$7:$K$165,"travail")</f>
        <v>#REF!</v>
      </c>
    </row>
    <row r="69" spans="1:22" x14ac:dyDescent="0.25">
      <c r="A69" s="324"/>
      <c r="B69" s="93"/>
      <c r="C69" s="93"/>
      <c r="D69" s="93"/>
      <c r="E69" s="327"/>
      <c r="F69" s="327"/>
      <c r="G69" s="327"/>
      <c r="H69" s="93"/>
      <c r="I69" s="93"/>
      <c r="J69" s="327"/>
      <c r="K69" s="327"/>
      <c r="L69" s="93"/>
      <c r="M69" s="93"/>
      <c r="N69" s="230"/>
      <c r="O69" s="300"/>
      <c r="P69" s="300"/>
      <c r="Q69" s="300"/>
      <c r="R69" s="300"/>
      <c r="S69" s="300"/>
      <c r="T69" s="300"/>
      <c r="U69" s="335"/>
      <c r="V69" s="301" t="e">
        <f>SUMIFS('Liste AT'!$O$7:$O$165,'Liste AT'!#REF!,A69,'Liste AT'!$K$7:$K$165,"travail")</f>
        <v>#REF!</v>
      </c>
    </row>
    <row r="70" spans="1:22" x14ac:dyDescent="0.25">
      <c r="A70" s="324"/>
      <c r="B70" s="93"/>
      <c r="C70" s="93"/>
      <c r="D70" s="93"/>
      <c r="E70" s="327"/>
      <c r="F70" s="327"/>
      <c r="G70" s="327"/>
      <c r="H70" s="93"/>
      <c r="I70" s="93"/>
      <c r="J70" s="327"/>
      <c r="K70" s="327"/>
      <c r="L70" s="93"/>
      <c r="M70" s="93"/>
      <c r="N70" s="230"/>
      <c r="O70" s="300"/>
      <c r="P70" s="300"/>
      <c r="Q70" s="300"/>
      <c r="R70" s="300"/>
      <c r="S70" s="300"/>
      <c r="T70" s="300"/>
      <c r="U70" s="335"/>
      <c r="V70" s="301" t="e">
        <f>SUMIFS('Liste AT'!$O$7:$O$165,'Liste AT'!#REF!,A70,'Liste AT'!$K$7:$K$165,"travail")</f>
        <v>#REF!</v>
      </c>
    </row>
    <row r="71" spans="1:22" x14ac:dyDescent="0.25">
      <c r="A71" s="324"/>
      <c r="B71" s="93"/>
      <c r="C71" s="93"/>
      <c r="D71" s="93"/>
      <c r="E71" s="327"/>
      <c r="F71" s="327"/>
      <c r="G71" s="327"/>
      <c r="H71" s="93"/>
      <c r="I71" s="93"/>
      <c r="J71" s="327"/>
      <c r="K71" s="327"/>
      <c r="L71" s="93"/>
      <c r="M71" s="93"/>
      <c r="N71" s="230"/>
      <c r="O71" s="300"/>
      <c r="P71" s="300"/>
      <c r="Q71" s="300"/>
      <c r="R71" s="300"/>
      <c r="S71" s="300"/>
      <c r="T71" s="300"/>
      <c r="U71" s="335"/>
      <c r="V71" s="301" t="e">
        <f>SUMIFS('Liste AT'!$O$7:$O$165,'Liste AT'!#REF!,A71,'Liste AT'!$K$7:$K$165,"travail")</f>
        <v>#REF!</v>
      </c>
    </row>
    <row r="72" spans="1:22" x14ac:dyDescent="0.25">
      <c r="A72" s="324"/>
      <c r="B72" s="93"/>
      <c r="C72" s="93"/>
      <c r="D72" s="93"/>
      <c r="E72" s="327"/>
      <c r="F72" s="327"/>
      <c r="G72" s="327"/>
      <c r="H72" s="93"/>
      <c r="I72" s="93"/>
      <c r="J72" s="327"/>
      <c r="K72" s="327"/>
      <c r="L72" s="93"/>
      <c r="M72" s="93"/>
      <c r="N72" s="230"/>
      <c r="O72" s="300"/>
      <c r="P72" s="300"/>
      <c r="Q72" s="300"/>
      <c r="R72" s="300"/>
      <c r="S72" s="300"/>
      <c r="T72" s="300"/>
      <c r="U72" s="335"/>
    </row>
    <row r="73" spans="1:22" x14ac:dyDescent="0.25">
      <c r="A73" s="324"/>
      <c r="B73" s="93"/>
      <c r="C73" s="93"/>
      <c r="D73" s="93"/>
      <c r="E73" s="327"/>
      <c r="F73" s="327"/>
      <c r="G73" s="327"/>
      <c r="H73" s="93"/>
      <c r="I73" s="93"/>
      <c r="J73" s="327"/>
      <c r="K73" s="327"/>
      <c r="L73" s="93"/>
      <c r="M73" s="93"/>
      <c r="N73" s="230"/>
      <c r="O73" s="300"/>
      <c r="P73" s="300"/>
      <c r="Q73" s="300"/>
      <c r="R73" s="300"/>
      <c r="S73" s="335"/>
    </row>
    <row r="74" spans="1:22" x14ac:dyDescent="0.25">
      <c r="A74" s="324"/>
      <c r="B74" s="93"/>
      <c r="C74" s="93"/>
      <c r="D74" s="93"/>
      <c r="E74" s="327"/>
      <c r="F74" s="327"/>
      <c r="G74" s="327"/>
      <c r="H74" s="93"/>
      <c r="I74" s="93"/>
      <c r="J74" s="327"/>
      <c r="K74" s="327"/>
      <c r="L74" s="93"/>
      <c r="M74" s="93"/>
      <c r="N74" s="230"/>
      <c r="O74" s="300"/>
      <c r="P74" s="300"/>
      <c r="Q74" s="300"/>
      <c r="R74" s="300"/>
      <c r="S74" s="335"/>
    </row>
    <row r="75" spans="1:22" x14ac:dyDescent="0.25">
      <c r="A75" s="324"/>
      <c r="B75" s="93"/>
      <c r="C75" s="93"/>
      <c r="D75" s="93"/>
      <c r="E75" s="327"/>
      <c r="F75" s="327"/>
      <c r="G75" s="327"/>
      <c r="H75" s="93"/>
      <c r="I75" s="93"/>
      <c r="J75" s="327"/>
      <c r="K75" s="327"/>
      <c r="L75" s="93"/>
      <c r="M75" s="93"/>
      <c r="N75" s="230"/>
      <c r="O75" s="300"/>
      <c r="P75" s="300"/>
      <c r="Q75" s="300"/>
      <c r="R75" s="300"/>
      <c r="S75" s="335"/>
    </row>
    <row r="76" spans="1:22" x14ac:dyDescent="0.25">
      <c r="A76" s="324"/>
      <c r="B76" s="93"/>
      <c r="C76" s="93"/>
      <c r="D76" s="93"/>
      <c r="E76" s="327"/>
      <c r="F76" s="327"/>
      <c r="G76" s="327"/>
      <c r="H76" s="93"/>
      <c r="I76" s="93"/>
      <c r="J76" s="327"/>
      <c r="K76" s="327"/>
      <c r="L76" s="93"/>
      <c r="M76" s="93"/>
      <c r="N76" s="230"/>
      <c r="O76" s="300"/>
      <c r="P76" s="300"/>
      <c r="Q76" s="300"/>
      <c r="R76" s="300"/>
      <c r="S76" s="335"/>
    </row>
    <row r="77" spans="1:22" x14ac:dyDescent="0.25">
      <c r="A77" s="324"/>
      <c r="B77" s="93"/>
      <c r="C77" s="93"/>
      <c r="D77" s="93"/>
      <c r="E77" s="327"/>
      <c r="F77" s="327"/>
      <c r="G77" s="327"/>
      <c r="H77" s="93"/>
      <c r="I77" s="93"/>
      <c r="J77" s="327"/>
      <c r="K77" s="327"/>
      <c r="L77" s="93"/>
      <c r="M77" s="93"/>
      <c r="N77" s="230"/>
      <c r="O77" s="300"/>
      <c r="P77" s="300"/>
      <c r="Q77" s="300"/>
      <c r="R77" s="300"/>
      <c r="S77" s="335"/>
    </row>
    <row r="78" spans="1:22" x14ac:dyDescent="0.25">
      <c r="A78" s="324"/>
      <c r="B78" s="93"/>
      <c r="C78" s="93"/>
      <c r="D78" s="93"/>
      <c r="E78" s="327"/>
      <c r="F78" s="327"/>
      <c r="G78" s="327"/>
      <c r="H78" s="93"/>
      <c r="I78" s="93"/>
      <c r="J78" s="327"/>
      <c r="K78" s="327"/>
      <c r="L78" s="93"/>
      <c r="M78" s="93"/>
      <c r="N78" s="230"/>
      <c r="O78" s="300"/>
      <c r="P78" s="300"/>
      <c r="Q78" s="300"/>
      <c r="R78" s="300"/>
      <c r="S78" s="335"/>
    </row>
    <row r="79" spans="1:22" x14ac:dyDescent="0.25">
      <c r="A79" s="324"/>
      <c r="B79" s="93"/>
      <c r="C79" s="93"/>
      <c r="D79" s="93"/>
      <c r="E79" s="327"/>
      <c r="F79" s="327"/>
      <c r="G79" s="327"/>
      <c r="H79" s="93"/>
      <c r="I79" s="93"/>
      <c r="J79" s="327"/>
      <c r="K79" s="327"/>
      <c r="L79" s="93"/>
      <c r="M79" s="93"/>
      <c r="N79" s="230"/>
      <c r="O79" s="300"/>
      <c r="P79" s="300"/>
      <c r="Q79" s="300"/>
      <c r="R79" s="300"/>
      <c r="S79" s="335"/>
    </row>
    <row r="80" spans="1:22" x14ac:dyDescent="0.25">
      <c r="A80" s="324"/>
      <c r="B80" s="93"/>
      <c r="C80" s="93"/>
      <c r="D80" s="93"/>
      <c r="E80" s="327"/>
      <c r="F80" s="327"/>
      <c r="G80" s="327"/>
      <c r="H80" s="93"/>
      <c r="I80" s="93"/>
      <c r="J80" s="327"/>
      <c r="K80" s="327"/>
      <c r="L80" s="93"/>
      <c r="M80" s="93"/>
      <c r="N80" s="230"/>
      <c r="O80" s="300"/>
      <c r="P80" s="300"/>
      <c r="Q80" s="300"/>
      <c r="R80" s="300"/>
      <c r="S80" s="335"/>
    </row>
    <row r="81" spans="1:19" x14ac:dyDescent="0.25">
      <c r="A81" s="324"/>
      <c r="B81" s="93"/>
      <c r="C81" s="93"/>
      <c r="D81" s="93"/>
      <c r="E81" s="327"/>
      <c r="F81" s="327"/>
      <c r="G81" s="327"/>
      <c r="H81" s="93"/>
      <c r="I81" s="93"/>
      <c r="J81" s="327"/>
      <c r="K81" s="327"/>
      <c r="L81" s="93"/>
      <c r="M81" s="93"/>
      <c r="N81" s="230"/>
      <c r="O81" s="300"/>
      <c r="P81" s="300"/>
      <c r="Q81" s="300"/>
      <c r="R81" s="300"/>
      <c r="S81" s="335"/>
    </row>
    <row r="82" spans="1:19" x14ac:dyDescent="0.25">
      <c r="A82" s="324"/>
      <c r="B82" s="93"/>
      <c r="C82" s="93"/>
      <c r="D82" s="93"/>
      <c r="E82" s="327"/>
      <c r="F82" s="327"/>
      <c r="G82" s="327"/>
      <c r="H82" s="93"/>
      <c r="I82" s="93"/>
      <c r="J82" s="327"/>
      <c r="K82" s="327"/>
      <c r="L82" s="93"/>
      <c r="M82" s="93"/>
      <c r="N82" s="230"/>
      <c r="O82" s="300"/>
      <c r="P82" s="300"/>
      <c r="Q82" s="300"/>
      <c r="R82" s="300"/>
      <c r="S82" s="335"/>
    </row>
    <row r="83" spans="1:19" x14ac:dyDescent="0.25">
      <c r="A83" s="324"/>
      <c r="B83" s="93"/>
      <c r="C83" s="93"/>
      <c r="D83" s="93"/>
      <c r="E83" s="327"/>
      <c r="F83" s="327"/>
      <c r="G83" s="327"/>
      <c r="H83" s="93"/>
      <c r="I83" s="93"/>
      <c r="J83" s="327"/>
      <c r="K83" s="327"/>
      <c r="L83" s="93"/>
      <c r="M83" s="93"/>
      <c r="N83" s="230"/>
      <c r="O83" s="300"/>
      <c r="P83" s="300"/>
      <c r="Q83" s="300"/>
      <c r="R83" s="300"/>
      <c r="S83" s="335"/>
    </row>
    <row r="84" spans="1:19" x14ac:dyDescent="0.25">
      <c r="A84" s="324"/>
      <c r="B84" s="93"/>
      <c r="C84" s="93"/>
      <c r="D84" s="93"/>
      <c r="E84" s="327"/>
      <c r="F84" s="327"/>
      <c r="G84" s="327"/>
      <c r="H84" s="93"/>
      <c r="I84" s="93"/>
      <c r="J84" s="327"/>
      <c r="K84" s="327"/>
      <c r="L84" s="93"/>
      <c r="M84" s="93"/>
      <c r="N84" s="230"/>
      <c r="O84" s="300"/>
      <c r="P84" s="300"/>
      <c r="Q84" s="300"/>
      <c r="R84" s="300"/>
      <c r="S84" s="335"/>
    </row>
    <row r="85" spans="1:19" x14ac:dyDescent="0.25">
      <c r="A85" s="324"/>
      <c r="B85" s="93"/>
      <c r="C85" s="93"/>
      <c r="D85" s="93"/>
      <c r="E85" s="327"/>
      <c r="F85" s="327"/>
      <c r="G85" s="327"/>
      <c r="H85" s="93"/>
      <c r="I85" s="93"/>
      <c r="J85" s="327"/>
      <c r="K85" s="327"/>
      <c r="L85" s="93"/>
      <c r="M85" s="93"/>
      <c r="N85" s="230"/>
      <c r="O85" s="300"/>
      <c r="P85" s="300"/>
      <c r="Q85" s="300"/>
      <c r="R85" s="300"/>
      <c r="S85" s="335"/>
    </row>
    <row r="86" spans="1:19" x14ac:dyDescent="0.25">
      <c r="A86" s="324"/>
      <c r="B86" s="93"/>
      <c r="C86" s="93"/>
      <c r="D86" s="93"/>
      <c r="E86" s="327"/>
      <c r="F86" s="327"/>
      <c r="G86" s="327"/>
      <c r="H86" s="93"/>
      <c r="I86" s="93"/>
      <c r="J86" s="327"/>
      <c r="K86" s="327"/>
      <c r="L86" s="93"/>
      <c r="M86" s="93"/>
      <c r="N86" s="230"/>
      <c r="O86" s="300"/>
      <c r="P86" s="300"/>
      <c r="Q86" s="300"/>
      <c r="R86" s="300"/>
      <c r="S86" s="335"/>
    </row>
    <row r="87" spans="1:19" x14ac:dyDescent="0.25">
      <c r="A87" s="324"/>
      <c r="B87" s="93"/>
      <c r="C87" s="93"/>
      <c r="D87" s="93"/>
      <c r="E87" s="327"/>
      <c r="F87" s="327"/>
      <c r="G87" s="327"/>
      <c r="H87" s="93"/>
      <c r="I87" s="93"/>
      <c r="J87" s="327"/>
      <c r="K87" s="327"/>
      <c r="L87" s="93"/>
      <c r="M87" s="93"/>
      <c r="N87" s="230"/>
      <c r="O87" s="300"/>
      <c r="P87" s="300"/>
      <c r="Q87" s="300"/>
      <c r="R87" s="300"/>
      <c r="S87" s="335"/>
    </row>
    <row r="88" spans="1:19" x14ac:dyDescent="0.25">
      <c r="A88" s="324"/>
      <c r="B88" s="93"/>
      <c r="C88" s="93"/>
      <c r="D88" s="93"/>
      <c r="E88" s="327"/>
      <c r="F88" s="327"/>
      <c r="G88" s="327"/>
      <c r="H88" s="93"/>
      <c r="I88" s="93"/>
      <c r="J88" s="327"/>
      <c r="K88" s="327"/>
      <c r="L88" s="93"/>
      <c r="M88" s="93"/>
      <c r="N88" s="230"/>
      <c r="O88" s="300"/>
      <c r="P88" s="300"/>
      <c r="Q88" s="300"/>
      <c r="R88" s="300"/>
      <c r="S88" s="335"/>
    </row>
    <row r="89" spans="1:19" x14ac:dyDescent="0.25">
      <c r="A89" s="324"/>
      <c r="B89" s="93"/>
      <c r="C89" s="93"/>
      <c r="D89" s="93"/>
      <c r="E89" s="327"/>
      <c r="F89" s="327"/>
      <c r="G89" s="327"/>
      <c r="H89" s="93"/>
      <c r="I89" s="93"/>
      <c r="J89" s="327"/>
      <c r="K89" s="327"/>
      <c r="L89" s="93"/>
      <c r="M89" s="93"/>
      <c r="N89" s="230"/>
      <c r="O89" s="300"/>
      <c r="P89" s="300"/>
      <c r="Q89" s="300"/>
      <c r="R89" s="300"/>
      <c r="S89" s="335"/>
    </row>
    <row r="90" spans="1:19" x14ac:dyDescent="0.25">
      <c r="A90" s="324"/>
      <c r="B90" s="93"/>
      <c r="C90" s="93"/>
      <c r="D90" s="93"/>
      <c r="E90" s="327"/>
      <c r="F90" s="327"/>
      <c r="G90" s="327"/>
      <c r="H90" s="93"/>
      <c r="I90" s="93"/>
      <c r="J90" s="327"/>
      <c r="K90" s="327"/>
      <c r="L90" s="93"/>
      <c r="M90" s="93"/>
      <c r="N90" s="230"/>
      <c r="O90" s="300"/>
      <c r="P90" s="300"/>
      <c r="Q90" s="300"/>
      <c r="R90" s="300"/>
      <c r="S90" s="335"/>
    </row>
    <row r="91" spans="1:19" x14ac:dyDescent="0.25">
      <c r="A91" s="324"/>
      <c r="B91" s="93"/>
      <c r="C91" s="93"/>
      <c r="D91" s="93"/>
      <c r="E91" s="327"/>
      <c r="F91" s="327"/>
      <c r="G91" s="327"/>
      <c r="H91" s="93"/>
      <c r="I91" s="93"/>
      <c r="J91" s="327"/>
      <c r="K91" s="327"/>
      <c r="L91" s="93"/>
      <c r="M91" s="93"/>
      <c r="N91" s="230"/>
      <c r="O91" s="300"/>
      <c r="P91" s="300"/>
      <c r="Q91" s="300"/>
      <c r="R91" s="300"/>
      <c r="S91" s="335"/>
    </row>
    <row r="92" spans="1:19" x14ac:dyDescent="0.25">
      <c r="A92" s="324"/>
      <c r="B92" s="93"/>
      <c r="C92" s="93"/>
      <c r="D92" s="93"/>
      <c r="E92" s="327"/>
      <c r="F92" s="327"/>
      <c r="G92" s="327"/>
      <c r="H92" s="93"/>
      <c r="I92" s="93"/>
      <c r="J92" s="327"/>
      <c r="K92" s="327"/>
      <c r="L92" s="93"/>
      <c r="M92" s="93"/>
      <c r="N92" s="230"/>
      <c r="O92" s="300"/>
      <c r="P92" s="300"/>
      <c r="Q92" s="300"/>
      <c r="R92" s="300"/>
      <c r="S92" s="335"/>
    </row>
    <row r="93" spans="1:19" x14ac:dyDescent="0.25">
      <c r="A93" s="324"/>
      <c r="B93" s="93"/>
      <c r="C93" s="93"/>
      <c r="D93" s="93"/>
      <c r="E93" s="327"/>
      <c r="F93" s="327"/>
      <c r="G93" s="327"/>
      <c r="H93" s="93"/>
      <c r="I93" s="93"/>
      <c r="J93" s="327"/>
      <c r="K93" s="327"/>
      <c r="L93" s="93"/>
      <c r="M93" s="93"/>
      <c r="N93" s="230"/>
      <c r="O93" s="300"/>
      <c r="P93" s="300"/>
      <c r="Q93" s="300"/>
      <c r="R93" s="300"/>
      <c r="S93" s="335"/>
    </row>
    <row r="94" spans="1:19" x14ac:dyDescent="0.25">
      <c r="A94" s="324"/>
      <c r="B94" s="93"/>
      <c r="C94" s="93"/>
      <c r="D94" s="93"/>
      <c r="E94" s="327"/>
      <c r="F94" s="327"/>
      <c r="G94" s="327"/>
      <c r="H94" s="93"/>
      <c r="I94" s="93"/>
      <c r="J94" s="327"/>
      <c r="K94" s="327"/>
      <c r="L94" s="93"/>
      <c r="M94" s="93"/>
      <c r="N94" s="230"/>
      <c r="O94" s="300"/>
      <c r="P94" s="300"/>
      <c r="Q94" s="300"/>
      <c r="R94" s="300"/>
      <c r="S94" s="335"/>
    </row>
    <row r="95" spans="1:19" x14ac:dyDescent="0.25">
      <c r="A95" s="324"/>
      <c r="B95" s="93"/>
      <c r="C95" s="93"/>
      <c r="D95" s="93"/>
      <c r="E95" s="327"/>
      <c r="F95" s="327"/>
      <c r="G95" s="327"/>
      <c r="H95" s="93"/>
      <c r="I95" s="93"/>
      <c r="J95" s="327"/>
      <c r="K95" s="327"/>
      <c r="L95" s="93"/>
      <c r="M95" s="93"/>
      <c r="N95" s="230"/>
      <c r="O95" s="300"/>
      <c r="P95" s="300"/>
      <c r="Q95" s="300"/>
      <c r="R95" s="300"/>
      <c r="S95" s="335"/>
    </row>
    <row r="96" spans="1:19" x14ac:dyDescent="0.25">
      <c r="A96" s="324"/>
      <c r="B96" s="93"/>
      <c r="C96" s="93"/>
      <c r="D96" s="93"/>
      <c r="E96" s="327"/>
      <c r="F96" s="327"/>
      <c r="G96" s="327"/>
      <c r="H96" s="93"/>
      <c r="I96" s="93"/>
      <c r="J96" s="327"/>
      <c r="K96" s="327"/>
      <c r="L96" s="93"/>
      <c r="M96" s="93"/>
      <c r="N96" s="230"/>
      <c r="O96" s="300"/>
      <c r="P96" s="300"/>
      <c r="Q96" s="300"/>
      <c r="R96" s="300"/>
      <c r="S96" s="335"/>
    </row>
    <row r="97" spans="1:19" x14ac:dyDescent="0.25">
      <c r="A97" s="324"/>
      <c r="B97" s="93"/>
      <c r="C97" s="93"/>
      <c r="D97" s="93"/>
      <c r="E97" s="327"/>
      <c r="F97" s="327"/>
      <c r="G97" s="327"/>
      <c r="H97" s="93"/>
      <c r="I97" s="93"/>
      <c r="J97" s="327"/>
      <c r="K97" s="327"/>
      <c r="L97" s="93"/>
      <c r="M97" s="93"/>
      <c r="N97" s="230"/>
      <c r="O97" s="300"/>
      <c r="P97" s="300"/>
      <c r="Q97" s="300"/>
      <c r="R97" s="300"/>
      <c r="S97" s="335"/>
    </row>
    <row r="98" spans="1:19" x14ac:dyDescent="0.25">
      <c r="A98" s="324"/>
      <c r="B98" s="93"/>
      <c r="C98" s="93"/>
      <c r="D98" s="93"/>
      <c r="E98" s="327"/>
      <c r="F98" s="327"/>
      <c r="G98" s="327"/>
      <c r="H98" s="93"/>
      <c r="I98" s="93"/>
      <c r="J98" s="327"/>
      <c r="K98" s="327"/>
      <c r="L98" s="93"/>
      <c r="M98" s="93"/>
      <c r="N98" s="230"/>
      <c r="O98" s="300"/>
      <c r="P98" s="300"/>
      <c r="Q98" s="300"/>
      <c r="R98" s="300"/>
      <c r="S98" s="335"/>
    </row>
    <row r="99" spans="1:19" x14ac:dyDescent="0.25">
      <c r="A99" s="324"/>
      <c r="B99" s="93"/>
      <c r="C99" s="93"/>
      <c r="D99" s="93"/>
      <c r="E99" s="327"/>
      <c r="F99" s="327"/>
      <c r="G99" s="327"/>
      <c r="H99" s="93"/>
      <c r="I99" s="93"/>
      <c r="J99" s="327"/>
      <c r="K99" s="327"/>
      <c r="L99" s="93"/>
      <c r="M99" s="93"/>
      <c r="N99" s="230"/>
      <c r="O99" s="300"/>
      <c r="P99" s="300"/>
      <c r="Q99" s="300"/>
      <c r="R99" s="300"/>
      <c r="S99" s="335"/>
    </row>
  </sheetData>
  <autoFilter ref="A1:R1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dataValidations count="1">
    <dataValidation type="list" allowBlank="1" showInputMessage="1" showErrorMessage="1" sqref="A2:A7">
      <formula1>UO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déroulantes'!$I$24:$I$35</xm:f>
          </x14:formula1>
          <xm:sqref>X2</xm:sqref>
        </x14:dataValidation>
        <x14:dataValidation type="list" allowBlank="1" showInputMessage="1" showErrorMessage="1">
          <x14:formula1>
            <xm:f>'Listes déroulantes'!$A$2:$A$14</xm:f>
          </x14:formula1>
          <xm:sqref>A9:A33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38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mois_stat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2020-02-11T09:20:16Z</cp:lastPrinted>
  <dcterms:created xsi:type="dcterms:W3CDTF">2013-01-07T18:08:43Z</dcterms:created>
  <dcterms:modified xsi:type="dcterms:W3CDTF">2020-02-12T14:39:42Z</dcterms:modified>
</cp:coreProperties>
</file>