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https://d.docs.live.net/c807a3d74329d51a/Bureau/"/>
    </mc:Choice>
  </mc:AlternateContent>
  <xr:revisionPtr revIDLastSave="0" documentId="8_{7B0B7FAA-5C1C-4665-A8E9-3AA5AD740EB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Calculateur " sheetId="4" r:id="rId1"/>
    <sheet name="FA 49" sheetId="2" r:id="rId2"/>
    <sheet name="TNT" sheetId="7" r:id="rId3"/>
    <sheet name="Geodis  EXPRESS 24H" sheetId="3" r:id="rId4"/>
    <sheet name="Geodis Messagerie 48h" sheetId="10" r:id="rId5"/>
    <sheet name="Jamin Trasport" sheetId="9" r:id="rId6"/>
    <sheet name="Chronopost" sheetId="1" r:id="rId7"/>
    <sheet name="Colissimo" sheetId="8" r:id="rId8"/>
    <sheet name="BD DÉpart Geodis" sheetId="6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1" i="4" l="1"/>
  <c r="C11" i="4" s="1"/>
  <c r="C17" i="4"/>
  <c r="L101" i="10"/>
  <c r="L102" i="10"/>
  <c r="L103" i="10"/>
  <c r="L104" i="10"/>
  <c r="L105" i="10"/>
  <c r="L106" i="10"/>
  <c r="L107" i="10"/>
  <c r="L108" i="10"/>
  <c r="L109" i="10"/>
  <c r="L110" i="10"/>
  <c r="K101" i="10"/>
  <c r="K102" i="10"/>
  <c r="K103" i="10"/>
  <c r="K104" i="10"/>
  <c r="K105" i="10"/>
  <c r="K106" i="10"/>
  <c r="K107" i="10"/>
  <c r="K108" i="10"/>
  <c r="K109" i="10"/>
  <c r="K110" i="10"/>
  <c r="J101" i="10"/>
  <c r="J102" i="10"/>
  <c r="J103" i="10"/>
  <c r="J104" i="10"/>
  <c r="J105" i="10"/>
  <c r="J106" i="10"/>
  <c r="J107" i="10"/>
  <c r="J108" i="10"/>
  <c r="J109" i="10"/>
  <c r="J110" i="10"/>
  <c r="I101" i="10"/>
  <c r="I102" i="10"/>
  <c r="I103" i="10"/>
  <c r="I104" i="10"/>
  <c r="I105" i="10"/>
  <c r="I106" i="10"/>
  <c r="I107" i="10"/>
  <c r="I108" i="10"/>
  <c r="I109" i="10"/>
  <c r="I110" i="10"/>
  <c r="L100" i="10"/>
  <c r="K100" i="10"/>
  <c r="J100" i="10"/>
  <c r="I100" i="10"/>
  <c r="L91" i="10"/>
  <c r="L92" i="10"/>
  <c r="L93" i="10"/>
  <c r="L94" i="10"/>
  <c r="L95" i="10"/>
  <c r="L96" i="10"/>
  <c r="L97" i="10"/>
  <c r="L98" i="10"/>
  <c r="L99" i="10"/>
  <c r="K91" i="10"/>
  <c r="K92" i="10"/>
  <c r="K93" i="10"/>
  <c r="K94" i="10"/>
  <c r="K95" i="10"/>
  <c r="K96" i="10"/>
  <c r="K97" i="10"/>
  <c r="K98" i="10"/>
  <c r="K99" i="10"/>
  <c r="J91" i="10"/>
  <c r="J92" i="10"/>
  <c r="J93" i="10"/>
  <c r="J94" i="10"/>
  <c r="J95" i="10"/>
  <c r="J96" i="10"/>
  <c r="J97" i="10"/>
  <c r="J98" i="10"/>
  <c r="J99" i="10"/>
  <c r="I91" i="10"/>
  <c r="I92" i="10"/>
  <c r="I93" i="10"/>
  <c r="I94" i="10"/>
  <c r="I95" i="10"/>
  <c r="I96" i="10"/>
  <c r="I97" i="10"/>
  <c r="I98" i="10"/>
  <c r="I99" i="10"/>
  <c r="L90" i="10"/>
  <c r="K90" i="10"/>
  <c r="J90" i="10"/>
  <c r="I90" i="10"/>
  <c r="L81" i="10"/>
  <c r="L82" i="10"/>
  <c r="L83" i="10"/>
  <c r="L84" i="10"/>
  <c r="L85" i="10"/>
  <c r="L86" i="10"/>
  <c r="L87" i="10"/>
  <c r="L88" i="10"/>
  <c r="L89" i="10"/>
  <c r="K81" i="10"/>
  <c r="K82" i="10"/>
  <c r="K83" i="10"/>
  <c r="K84" i="10"/>
  <c r="K85" i="10"/>
  <c r="K86" i="10"/>
  <c r="K87" i="10"/>
  <c r="K88" i="10"/>
  <c r="K89" i="10"/>
  <c r="J81" i="10"/>
  <c r="J82" i="10"/>
  <c r="J83" i="10"/>
  <c r="J84" i="10"/>
  <c r="J85" i="10"/>
  <c r="J86" i="10"/>
  <c r="J87" i="10"/>
  <c r="J88" i="10"/>
  <c r="J89" i="10"/>
  <c r="I81" i="10"/>
  <c r="I82" i="10"/>
  <c r="I83" i="10"/>
  <c r="I84" i="10"/>
  <c r="I85" i="10"/>
  <c r="I86" i="10"/>
  <c r="I87" i="10"/>
  <c r="I88" i="10"/>
  <c r="I89" i="10"/>
  <c r="L80" i="10"/>
  <c r="K80" i="10"/>
  <c r="J80" i="10"/>
  <c r="I80" i="10"/>
  <c r="L71" i="10"/>
  <c r="L72" i="10"/>
  <c r="L73" i="10"/>
  <c r="L74" i="10"/>
  <c r="L75" i="10"/>
  <c r="L76" i="10"/>
  <c r="L77" i="10"/>
  <c r="L78" i="10"/>
  <c r="L79" i="10"/>
  <c r="K71" i="10"/>
  <c r="K72" i="10"/>
  <c r="K73" i="10"/>
  <c r="K74" i="10"/>
  <c r="K75" i="10"/>
  <c r="K76" i="10"/>
  <c r="K77" i="10"/>
  <c r="K78" i="10"/>
  <c r="K79" i="10"/>
  <c r="J71" i="10"/>
  <c r="J72" i="10"/>
  <c r="J73" i="10"/>
  <c r="J74" i="10"/>
  <c r="J75" i="10"/>
  <c r="J76" i="10"/>
  <c r="J77" i="10"/>
  <c r="J78" i="10"/>
  <c r="J79" i="10"/>
  <c r="I71" i="10"/>
  <c r="I72" i="10"/>
  <c r="I73" i="10"/>
  <c r="I74" i="10"/>
  <c r="I75" i="10"/>
  <c r="I76" i="10"/>
  <c r="I77" i="10"/>
  <c r="I78" i="10"/>
  <c r="I79" i="10"/>
  <c r="L70" i="10"/>
  <c r="K70" i="10"/>
  <c r="J70" i="10"/>
  <c r="I70" i="10"/>
  <c r="L61" i="10"/>
  <c r="L62" i="10"/>
  <c r="L63" i="10"/>
  <c r="L64" i="10"/>
  <c r="L65" i="10"/>
  <c r="L66" i="10"/>
  <c r="L67" i="10"/>
  <c r="L68" i="10"/>
  <c r="L69" i="10"/>
  <c r="K61" i="10"/>
  <c r="K62" i="10"/>
  <c r="K63" i="10"/>
  <c r="K64" i="10"/>
  <c r="K65" i="10"/>
  <c r="K66" i="10"/>
  <c r="K67" i="10"/>
  <c r="K68" i="10"/>
  <c r="K69" i="10"/>
  <c r="J61" i="10"/>
  <c r="J62" i="10"/>
  <c r="J63" i="10"/>
  <c r="J64" i="10"/>
  <c r="J65" i="10"/>
  <c r="J66" i="10"/>
  <c r="J67" i="10"/>
  <c r="J68" i="10"/>
  <c r="J69" i="10"/>
  <c r="I61" i="10"/>
  <c r="I62" i="10"/>
  <c r="I63" i="10"/>
  <c r="I64" i="10"/>
  <c r="I65" i="10"/>
  <c r="I66" i="10"/>
  <c r="I67" i="10"/>
  <c r="I68" i="10"/>
  <c r="I69" i="10"/>
  <c r="L60" i="10"/>
  <c r="K60" i="10"/>
  <c r="J60" i="10"/>
  <c r="I60" i="10"/>
  <c r="L51" i="10"/>
  <c r="L52" i="10"/>
  <c r="L53" i="10"/>
  <c r="L54" i="10"/>
  <c r="L55" i="10"/>
  <c r="L56" i="10"/>
  <c r="L57" i="10"/>
  <c r="L58" i="10"/>
  <c r="L59" i="10"/>
  <c r="K51" i="10"/>
  <c r="K52" i="10"/>
  <c r="K53" i="10"/>
  <c r="K54" i="10"/>
  <c r="K55" i="10"/>
  <c r="K56" i="10"/>
  <c r="K57" i="10"/>
  <c r="K58" i="10"/>
  <c r="K59" i="10"/>
  <c r="J51" i="10"/>
  <c r="J52" i="10"/>
  <c r="J53" i="10"/>
  <c r="J54" i="10"/>
  <c r="J55" i="10"/>
  <c r="J56" i="10"/>
  <c r="J57" i="10"/>
  <c r="J58" i="10"/>
  <c r="J59" i="10"/>
  <c r="L50" i="10"/>
  <c r="K50" i="10"/>
  <c r="J50" i="10"/>
  <c r="I51" i="10"/>
  <c r="I52" i="10"/>
  <c r="I53" i="10"/>
  <c r="I54" i="10"/>
  <c r="I55" i="10"/>
  <c r="I56" i="10"/>
  <c r="I57" i="10"/>
  <c r="I58" i="10"/>
  <c r="I59" i="10"/>
  <c r="I50" i="10"/>
  <c r="L41" i="10"/>
  <c r="L42" i="10"/>
  <c r="L43" i="10"/>
  <c r="L44" i="10"/>
  <c r="L45" i="10"/>
  <c r="L46" i="10"/>
  <c r="L47" i="10"/>
  <c r="L48" i="10"/>
  <c r="L49" i="10"/>
  <c r="K41" i="10"/>
  <c r="K42" i="10"/>
  <c r="K43" i="10"/>
  <c r="K44" i="10"/>
  <c r="K45" i="10"/>
  <c r="K46" i="10"/>
  <c r="K47" i="10"/>
  <c r="K48" i="10"/>
  <c r="K49" i="10"/>
  <c r="J41" i="10"/>
  <c r="J42" i="10"/>
  <c r="J43" i="10"/>
  <c r="J44" i="10"/>
  <c r="J45" i="10"/>
  <c r="J46" i="10"/>
  <c r="J47" i="10"/>
  <c r="J48" i="10"/>
  <c r="J49" i="10"/>
  <c r="I41" i="10"/>
  <c r="I42" i="10"/>
  <c r="I43" i="10"/>
  <c r="I44" i="10"/>
  <c r="I45" i="10"/>
  <c r="I46" i="10"/>
  <c r="I47" i="10"/>
  <c r="I48" i="10"/>
  <c r="I49" i="10"/>
  <c r="L40" i="10"/>
  <c r="K40" i="10"/>
  <c r="J40" i="10"/>
  <c r="I40" i="10"/>
  <c r="L31" i="10"/>
  <c r="L32" i="10"/>
  <c r="L33" i="10"/>
  <c r="L34" i="10"/>
  <c r="L35" i="10"/>
  <c r="L36" i="10"/>
  <c r="L37" i="10"/>
  <c r="L38" i="10"/>
  <c r="L39" i="10"/>
  <c r="K31" i="10"/>
  <c r="K32" i="10"/>
  <c r="K33" i="10"/>
  <c r="K34" i="10"/>
  <c r="K35" i="10"/>
  <c r="K36" i="10"/>
  <c r="K37" i="10"/>
  <c r="K38" i="10"/>
  <c r="K39" i="10"/>
  <c r="J31" i="10"/>
  <c r="J32" i="10"/>
  <c r="J33" i="10"/>
  <c r="J34" i="10"/>
  <c r="J35" i="10"/>
  <c r="J36" i="10"/>
  <c r="J37" i="10"/>
  <c r="J38" i="10"/>
  <c r="J39" i="10"/>
  <c r="I31" i="10"/>
  <c r="I32" i="10"/>
  <c r="I33" i="10"/>
  <c r="I34" i="10"/>
  <c r="I35" i="10"/>
  <c r="I36" i="10"/>
  <c r="I37" i="10"/>
  <c r="I38" i="10"/>
  <c r="I39" i="10"/>
  <c r="L30" i="10"/>
  <c r="K30" i="10"/>
  <c r="J30" i="10"/>
  <c r="I30" i="10"/>
  <c r="L26" i="10"/>
  <c r="L27" i="10"/>
  <c r="L28" i="10"/>
  <c r="L29" i="10"/>
  <c r="L25" i="10"/>
  <c r="K26" i="10"/>
  <c r="K27" i="10"/>
  <c r="K28" i="10"/>
  <c r="K29" i="10"/>
  <c r="K25" i="10"/>
  <c r="J26" i="10"/>
  <c r="J27" i="10"/>
  <c r="J28" i="10"/>
  <c r="J29" i="10"/>
  <c r="J25" i="10"/>
  <c r="I26" i="10"/>
  <c r="I27" i="10"/>
  <c r="I28" i="10"/>
  <c r="I29" i="10"/>
  <c r="I25" i="10"/>
  <c r="H101" i="10"/>
  <c r="H102" i="10"/>
  <c r="H103" i="10"/>
  <c r="H104" i="10"/>
  <c r="H105" i="10"/>
  <c r="H106" i="10"/>
  <c r="H107" i="10"/>
  <c r="H108" i="10"/>
  <c r="H109" i="10"/>
  <c r="H110" i="10"/>
  <c r="H100" i="10"/>
  <c r="H99" i="10"/>
  <c r="H91" i="10"/>
  <c r="H92" i="10"/>
  <c r="H93" i="10"/>
  <c r="H94" i="10"/>
  <c r="H95" i="10"/>
  <c r="H96" i="10"/>
  <c r="H97" i="10"/>
  <c r="H98" i="10"/>
  <c r="H90" i="10"/>
  <c r="H81" i="10"/>
  <c r="H82" i="10"/>
  <c r="H83" i="10"/>
  <c r="H84" i="10"/>
  <c r="H85" i="10"/>
  <c r="H86" i="10"/>
  <c r="H87" i="10"/>
  <c r="H88" i="10"/>
  <c r="H89" i="10"/>
  <c r="H80" i="10"/>
  <c r="H71" i="10"/>
  <c r="H72" i="10"/>
  <c r="H73" i="10"/>
  <c r="H74" i="10"/>
  <c r="H75" i="10"/>
  <c r="H76" i="10"/>
  <c r="H77" i="10"/>
  <c r="H78" i="10"/>
  <c r="H79" i="10"/>
  <c r="H70" i="10"/>
  <c r="H61" i="10"/>
  <c r="H62" i="10"/>
  <c r="H63" i="10"/>
  <c r="H64" i="10"/>
  <c r="H65" i="10"/>
  <c r="H66" i="10"/>
  <c r="H67" i="10"/>
  <c r="H68" i="10"/>
  <c r="H69" i="10"/>
  <c r="H60" i="10"/>
  <c r="H51" i="10"/>
  <c r="H52" i="10"/>
  <c r="H53" i="10"/>
  <c r="H54" i="10"/>
  <c r="H55" i="10"/>
  <c r="H56" i="10"/>
  <c r="H57" i="10"/>
  <c r="H58" i="10"/>
  <c r="H59" i="10"/>
  <c r="H50" i="10"/>
  <c r="H41" i="10"/>
  <c r="H42" i="10"/>
  <c r="H43" i="10"/>
  <c r="H44" i="10"/>
  <c r="H45" i="10"/>
  <c r="H46" i="10"/>
  <c r="H47" i="10"/>
  <c r="H48" i="10"/>
  <c r="H49" i="10"/>
  <c r="H40" i="10"/>
  <c r="H31" i="10"/>
  <c r="H32" i="10"/>
  <c r="H33" i="10"/>
  <c r="H34" i="10"/>
  <c r="H35" i="10"/>
  <c r="H36" i="10"/>
  <c r="H37" i="10"/>
  <c r="H38" i="10"/>
  <c r="H39" i="10"/>
  <c r="H30" i="10"/>
  <c r="H26" i="10"/>
  <c r="H27" i="10"/>
  <c r="H28" i="10"/>
  <c r="H29" i="10"/>
  <c r="H25" i="10"/>
  <c r="G101" i="10"/>
  <c r="G102" i="10"/>
  <c r="G103" i="10"/>
  <c r="G104" i="10"/>
  <c r="G105" i="10"/>
  <c r="G106" i="10"/>
  <c r="G107" i="10"/>
  <c r="G108" i="10"/>
  <c r="G109" i="10"/>
  <c r="G110" i="10"/>
  <c r="G100" i="10"/>
  <c r="G91" i="10"/>
  <c r="G92" i="10"/>
  <c r="G93" i="10"/>
  <c r="G94" i="10"/>
  <c r="G95" i="10"/>
  <c r="G96" i="10"/>
  <c r="G97" i="10"/>
  <c r="G98" i="10"/>
  <c r="G99" i="10"/>
  <c r="G90" i="10"/>
  <c r="G89" i="10"/>
  <c r="G81" i="10"/>
  <c r="G82" i="10"/>
  <c r="G83" i="10"/>
  <c r="G84" i="10"/>
  <c r="G85" i="10"/>
  <c r="G86" i="10"/>
  <c r="G87" i="10"/>
  <c r="G88" i="10"/>
  <c r="G80" i="10"/>
  <c r="G71" i="10"/>
  <c r="G72" i="10"/>
  <c r="G73" i="10"/>
  <c r="G74" i="10"/>
  <c r="G75" i="10"/>
  <c r="G76" i="10"/>
  <c r="G77" i="10"/>
  <c r="G78" i="10"/>
  <c r="G79" i="10"/>
  <c r="G70" i="10"/>
  <c r="G61" i="10"/>
  <c r="G62" i="10"/>
  <c r="G63" i="10"/>
  <c r="G64" i="10"/>
  <c r="G65" i="10"/>
  <c r="G66" i="10"/>
  <c r="G67" i="10"/>
  <c r="G68" i="10"/>
  <c r="G69" i="10"/>
  <c r="G60" i="10"/>
  <c r="G51" i="10"/>
  <c r="G52" i="10"/>
  <c r="G53" i="10"/>
  <c r="G54" i="10"/>
  <c r="G55" i="10"/>
  <c r="G56" i="10"/>
  <c r="G57" i="10"/>
  <c r="G58" i="10"/>
  <c r="G59" i="10"/>
  <c r="G50" i="10"/>
  <c r="G41" i="10"/>
  <c r="G42" i="10"/>
  <c r="G43" i="10"/>
  <c r="G44" i="10"/>
  <c r="G45" i="10"/>
  <c r="G46" i="10"/>
  <c r="G47" i="10"/>
  <c r="G48" i="10"/>
  <c r="G49" i="10"/>
  <c r="G40" i="10"/>
  <c r="G31" i="10"/>
  <c r="G32" i="10"/>
  <c r="G33" i="10"/>
  <c r="G34" i="10"/>
  <c r="G35" i="10"/>
  <c r="G36" i="10"/>
  <c r="G37" i="10"/>
  <c r="G38" i="10"/>
  <c r="G39" i="10"/>
  <c r="G30" i="10"/>
  <c r="G26" i="10"/>
  <c r="G27" i="10"/>
  <c r="G28" i="10"/>
  <c r="G29" i="10"/>
  <c r="G25" i="10"/>
  <c r="F101" i="10"/>
  <c r="F102" i="10"/>
  <c r="F103" i="10"/>
  <c r="F104" i="10"/>
  <c r="F105" i="10"/>
  <c r="F106" i="10"/>
  <c r="F107" i="10"/>
  <c r="F108" i="10"/>
  <c r="F109" i="10"/>
  <c r="F110" i="10"/>
  <c r="F100" i="10"/>
  <c r="F91" i="10"/>
  <c r="F92" i="10"/>
  <c r="F93" i="10"/>
  <c r="F94" i="10"/>
  <c r="F95" i="10"/>
  <c r="F96" i="10"/>
  <c r="F97" i="10"/>
  <c r="F98" i="10"/>
  <c r="F99" i="10"/>
  <c r="F90" i="10"/>
  <c r="F81" i="10"/>
  <c r="F82" i="10"/>
  <c r="F83" i="10"/>
  <c r="F84" i="10"/>
  <c r="F85" i="10"/>
  <c r="F86" i="10"/>
  <c r="F87" i="10"/>
  <c r="F88" i="10"/>
  <c r="F89" i="10"/>
  <c r="F80" i="10"/>
  <c r="F71" i="10"/>
  <c r="F72" i="10"/>
  <c r="F73" i="10"/>
  <c r="F74" i="10"/>
  <c r="F75" i="10"/>
  <c r="F76" i="10"/>
  <c r="F77" i="10"/>
  <c r="F78" i="10"/>
  <c r="F79" i="10"/>
  <c r="F70" i="10"/>
  <c r="F61" i="10"/>
  <c r="F62" i="10"/>
  <c r="F63" i="10"/>
  <c r="F64" i="10"/>
  <c r="F65" i="10"/>
  <c r="F66" i="10"/>
  <c r="F67" i="10"/>
  <c r="F68" i="10"/>
  <c r="F69" i="10"/>
  <c r="F60" i="10"/>
  <c r="F51" i="10"/>
  <c r="F52" i="10"/>
  <c r="F53" i="10"/>
  <c r="F54" i="10"/>
  <c r="F55" i="10"/>
  <c r="F56" i="10"/>
  <c r="F57" i="10"/>
  <c r="F58" i="10"/>
  <c r="F59" i="10"/>
  <c r="F50" i="10"/>
  <c r="F41" i="10"/>
  <c r="F42" i="10"/>
  <c r="F43" i="10"/>
  <c r="F44" i="10"/>
  <c r="F45" i="10"/>
  <c r="F46" i="10"/>
  <c r="F47" i="10"/>
  <c r="F48" i="10"/>
  <c r="F49" i="10"/>
  <c r="F40" i="10"/>
  <c r="F31" i="10"/>
  <c r="F32" i="10"/>
  <c r="F33" i="10"/>
  <c r="F34" i="10"/>
  <c r="F35" i="10"/>
  <c r="F36" i="10"/>
  <c r="F37" i="10"/>
  <c r="F38" i="10"/>
  <c r="F39" i="10"/>
  <c r="F30" i="10"/>
  <c r="F26" i="10"/>
  <c r="F27" i="10"/>
  <c r="F28" i="10"/>
  <c r="F29" i="10"/>
  <c r="F25" i="10"/>
  <c r="E101" i="10"/>
  <c r="E102" i="10"/>
  <c r="E103" i="10"/>
  <c r="E104" i="10"/>
  <c r="E105" i="10"/>
  <c r="E106" i="10"/>
  <c r="E107" i="10"/>
  <c r="E108" i="10"/>
  <c r="E109" i="10"/>
  <c r="E110" i="10"/>
  <c r="E100" i="10"/>
  <c r="E91" i="10"/>
  <c r="E92" i="10"/>
  <c r="E93" i="10"/>
  <c r="E94" i="10"/>
  <c r="E95" i="10"/>
  <c r="E96" i="10"/>
  <c r="E97" i="10"/>
  <c r="E98" i="10"/>
  <c r="E99" i="10"/>
  <c r="E90" i="10"/>
  <c r="E81" i="10"/>
  <c r="E82" i="10"/>
  <c r="E83" i="10"/>
  <c r="E84" i="10"/>
  <c r="E85" i="10"/>
  <c r="E86" i="10"/>
  <c r="E87" i="10"/>
  <c r="E88" i="10"/>
  <c r="E89" i="10"/>
  <c r="E80" i="10"/>
  <c r="E71" i="10"/>
  <c r="E72" i="10"/>
  <c r="E73" i="10"/>
  <c r="E74" i="10"/>
  <c r="E75" i="10"/>
  <c r="E76" i="10"/>
  <c r="E77" i="10"/>
  <c r="E78" i="10"/>
  <c r="E79" i="10"/>
  <c r="E70" i="10"/>
  <c r="E61" i="10"/>
  <c r="E62" i="10"/>
  <c r="E63" i="10"/>
  <c r="E64" i="10"/>
  <c r="E65" i="10"/>
  <c r="E66" i="10"/>
  <c r="E67" i="10"/>
  <c r="E68" i="10"/>
  <c r="E69" i="10"/>
  <c r="E60" i="10"/>
  <c r="E51" i="10"/>
  <c r="E52" i="10"/>
  <c r="E53" i="10"/>
  <c r="E54" i="10"/>
  <c r="E55" i="10"/>
  <c r="E56" i="10"/>
  <c r="E57" i="10"/>
  <c r="E58" i="10"/>
  <c r="E59" i="10"/>
  <c r="E50" i="10"/>
  <c r="E41" i="10"/>
  <c r="E42" i="10"/>
  <c r="E43" i="10"/>
  <c r="E44" i="10"/>
  <c r="E45" i="10"/>
  <c r="E46" i="10"/>
  <c r="E47" i="10"/>
  <c r="E48" i="10"/>
  <c r="E49" i="10"/>
  <c r="E40" i="10"/>
  <c r="E31" i="10"/>
  <c r="E32" i="10"/>
  <c r="E33" i="10"/>
  <c r="E34" i="10"/>
  <c r="E35" i="10"/>
  <c r="E36" i="10"/>
  <c r="E37" i="10"/>
  <c r="E38" i="10"/>
  <c r="E39" i="10"/>
  <c r="E30" i="10"/>
  <c r="E26" i="10"/>
  <c r="E27" i="10"/>
  <c r="E28" i="10"/>
  <c r="E29" i="10"/>
  <c r="E25" i="10"/>
  <c r="D101" i="10"/>
  <c r="D102" i="10"/>
  <c r="D103" i="10"/>
  <c r="D104" i="10"/>
  <c r="D105" i="10"/>
  <c r="D106" i="10"/>
  <c r="D107" i="10"/>
  <c r="D108" i="10"/>
  <c r="D109" i="10"/>
  <c r="D110" i="10"/>
  <c r="D100" i="10"/>
  <c r="D91" i="10"/>
  <c r="D92" i="10"/>
  <c r="D93" i="10"/>
  <c r="D94" i="10"/>
  <c r="D95" i="10"/>
  <c r="D96" i="10"/>
  <c r="D97" i="10"/>
  <c r="D98" i="10"/>
  <c r="D99" i="10"/>
  <c r="D90" i="10"/>
  <c r="D81" i="10"/>
  <c r="D82" i="10"/>
  <c r="D83" i="10"/>
  <c r="D84" i="10"/>
  <c r="D85" i="10"/>
  <c r="D86" i="10"/>
  <c r="D87" i="10"/>
  <c r="D88" i="10"/>
  <c r="D89" i="10"/>
  <c r="D80" i="10"/>
  <c r="D71" i="10"/>
  <c r="D72" i="10"/>
  <c r="D73" i="10"/>
  <c r="D74" i="10"/>
  <c r="D75" i="10"/>
  <c r="D76" i="10"/>
  <c r="D77" i="10"/>
  <c r="D78" i="10"/>
  <c r="D79" i="10"/>
  <c r="D70" i="10"/>
  <c r="D61" i="10"/>
  <c r="D62" i="10"/>
  <c r="D63" i="10"/>
  <c r="D64" i="10"/>
  <c r="D65" i="10"/>
  <c r="D66" i="10"/>
  <c r="D67" i="10"/>
  <c r="D68" i="10"/>
  <c r="D69" i="10"/>
  <c r="D60" i="10"/>
  <c r="D51" i="10"/>
  <c r="D52" i="10"/>
  <c r="D53" i="10"/>
  <c r="D54" i="10"/>
  <c r="D55" i="10"/>
  <c r="D56" i="10"/>
  <c r="D57" i="10"/>
  <c r="D58" i="10"/>
  <c r="D59" i="10"/>
  <c r="D50" i="10"/>
  <c r="D41" i="10"/>
  <c r="D42" i="10"/>
  <c r="D43" i="10"/>
  <c r="D44" i="10"/>
  <c r="D45" i="10"/>
  <c r="D46" i="10"/>
  <c r="D47" i="10"/>
  <c r="D48" i="10"/>
  <c r="D49" i="10"/>
  <c r="D40" i="10"/>
  <c r="D31" i="10"/>
  <c r="D32" i="10"/>
  <c r="D33" i="10"/>
  <c r="D34" i="10"/>
  <c r="D35" i="10"/>
  <c r="D36" i="10"/>
  <c r="D37" i="10"/>
  <c r="D38" i="10"/>
  <c r="D39" i="10"/>
  <c r="D30" i="10"/>
  <c r="D26" i="10"/>
  <c r="D27" i="10"/>
  <c r="D28" i="10"/>
  <c r="D29" i="10"/>
  <c r="D25" i="10"/>
  <c r="L21" i="10"/>
  <c r="L22" i="10"/>
  <c r="L23" i="10"/>
  <c r="L24" i="10"/>
  <c r="L20" i="10"/>
  <c r="K21" i="10"/>
  <c r="K22" i="10"/>
  <c r="K23" i="10"/>
  <c r="K24" i="10"/>
  <c r="K20" i="10"/>
  <c r="J21" i="10"/>
  <c r="J22" i="10"/>
  <c r="J23" i="10"/>
  <c r="J24" i="10"/>
  <c r="J20" i="10"/>
  <c r="H22" i="10"/>
  <c r="H23" i="10"/>
  <c r="H24" i="10"/>
  <c r="H20" i="10"/>
  <c r="H21" i="10"/>
  <c r="I20" i="10"/>
  <c r="I21" i="10"/>
  <c r="I22" i="10"/>
  <c r="I23" i="10"/>
  <c r="I24" i="10"/>
  <c r="G21" i="10"/>
  <c r="G22" i="10"/>
  <c r="G23" i="10"/>
  <c r="G24" i="10"/>
  <c r="G20" i="10"/>
  <c r="F21" i="10"/>
  <c r="F22" i="10"/>
  <c r="F23" i="10"/>
  <c r="F24" i="10"/>
  <c r="F20" i="10"/>
  <c r="E21" i="10"/>
  <c r="E22" i="10"/>
  <c r="E23" i="10"/>
  <c r="E24" i="10"/>
  <c r="E20" i="10"/>
  <c r="D21" i="10"/>
  <c r="D22" i="10"/>
  <c r="D23" i="10"/>
  <c r="D24" i="10"/>
  <c r="D20" i="10"/>
  <c r="L16" i="10"/>
  <c r="L17" i="10"/>
  <c r="L18" i="10"/>
  <c r="L19" i="10"/>
  <c r="L15" i="10"/>
  <c r="K16" i="10"/>
  <c r="K17" i="10"/>
  <c r="K18" i="10"/>
  <c r="K19" i="10"/>
  <c r="K15" i="10"/>
  <c r="J16" i="10"/>
  <c r="J17" i="10"/>
  <c r="J18" i="10"/>
  <c r="J19" i="10"/>
  <c r="J15" i="10"/>
  <c r="I16" i="10"/>
  <c r="I17" i="10"/>
  <c r="I18" i="10"/>
  <c r="I19" i="10"/>
  <c r="I15" i="10"/>
  <c r="H16" i="10"/>
  <c r="H17" i="10"/>
  <c r="H18" i="10"/>
  <c r="H19" i="10"/>
  <c r="H15" i="10"/>
  <c r="G16" i="10"/>
  <c r="G17" i="10"/>
  <c r="G18" i="10"/>
  <c r="G19" i="10"/>
  <c r="G15" i="10"/>
  <c r="F16" i="10"/>
  <c r="F17" i="10"/>
  <c r="F18" i="10"/>
  <c r="F19" i="10"/>
  <c r="F15" i="10"/>
  <c r="E16" i="10"/>
  <c r="E17" i="10"/>
  <c r="E18" i="10"/>
  <c r="E19" i="10"/>
  <c r="E15" i="10"/>
  <c r="D16" i="10"/>
  <c r="D17" i="10"/>
  <c r="D18" i="10"/>
  <c r="D19" i="10"/>
  <c r="D15" i="10"/>
  <c r="L12" i="10"/>
  <c r="L13" i="10"/>
  <c r="L14" i="10"/>
  <c r="L11" i="10"/>
  <c r="K12" i="10"/>
  <c r="K13" i="10"/>
  <c r="K14" i="10"/>
  <c r="K11" i="10"/>
  <c r="J12" i="10"/>
  <c r="J13" i="10"/>
  <c r="J14" i="10"/>
  <c r="J11" i="10"/>
  <c r="I12" i="10"/>
  <c r="I13" i="10"/>
  <c r="I14" i="10"/>
  <c r="I11" i="10"/>
  <c r="H12" i="10"/>
  <c r="H13" i="10"/>
  <c r="H14" i="10"/>
  <c r="H11" i="10"/>
  <c r="G12" i="10"/>
  <c r="G13" i="10"/>
  <c r="G14" i="10"/>
  <c r="G11" i="10"/>
  <c r="F12" i="10"/>
  <c r="F13" i="10"/>
  <c r="F14" i="10"/>
  <c r="F11" i="10"/>
  <c r="E12" i="10"/>
  <c r="E13" i="10"/>
  <c r="E14" i="10"/>
  <c r="E11" i="10"/>
  <c r="D12" i="10"/>
  <c r="D13" i="10"/>
  <c r="D14" i="10"/>
  <c r="D11" i="10"/>
  <c r="C11" i="10"/>
  <c r="B101" i="10"/>
  <c r="B102" i="10"/>
  <c r="B103" i="10"/>
  <c r="B104" i="10"/>
  <c r="B105" i="10"/>
  <c r="B106" i="10"/>
  <c r="B107" i="10"/>
  <c r="B108" i="10"/>
  <c r="B109" i="10"/>
  <c r="B110" i="10"/>
  <c r="B100" i="10"/>
  <c r="B91" i="10"/>
  <c r="B92" i="10"/>
  <c r="B93" i="10"/>
  <c r="B94" i="10"/>
  <c r="B95" i="10"/>
  <c r="B96" i="10"/>
  <c r="B97" i="10"/>
  <c r="B98" i="10"/>
  <c r="B99" i="10"/>
  <c r="B90" i="10"/>
  <c r="B89" i="10"/>
  <c r="B81" i="10"/>
  <c r="B82" i="10"/>
  <c r="B83" i="10"/>
  <c r="B84" i="10"/>
  <c r="B85" i="10"/>
  <c r="B86" i="10"/>
  <c r="B87" i="10"/>
  <c r="B88" i="10"/>
  <c r="B80" i="10"/>
  <c r="B71" i="10"/>
  <c r="B72" i="10"/>
  <c r="B73" i="10"/>
  <c r="B74" i="10"/>
  <c r="B75" i="10"/>
  <c r="B76" i="10"/>
  <c r="B77" i="10"/>
  <c r="B78" i="10"/>
  <c r="B79" i="10"/>
  <c r="B70" i="10"/>
  <c r="B61" i="10"/>
  <c r="B62" i="10"/>
  <c r="B63" i="10"/>
  <c r="B64" i="10"/>
  <c r="B65" i="10"/>
  <c r="B66" i="10"/>
  <c r="B67" i="10"/>
  <c r="B68" i="10"/>
  <c r="B69" i="10"/>
  <c r="B60" i="10"/>
  <c r="B51" i="10"/>
  <c r="B52" i="10"/>
  <c r="B53" i="10"/>
  <c r="B54" i="10"/>
  <c r="B55" i="10"/>
  <c r="B56" i="10"/>
  <c r="B57" i="10"/>
  <c r="B58" i="10"/>
  <c r="B59" i="10"/>
  <c r="B50" i="10"/>
  <c r="B41" i="10"/>
  <c r="B42" i="10"/>
  <c r="B43" i="10"/>
  <c r="B44" i="10"/>
  <c r="B45" i="10"/>
  <c r="B46" i="10"/>
  <c r="B47" i="10"/>
  <c r="B48" i="10"/>
  <c r="B49" i="10"/>
  <c r="B40" i="10"/>
  <c r="B31" i="10"/>
  <c r="B32" i="10"/>
  <c r="B33" i="10"/>
  <c r="B34" i="10"/>
  <c r="B35" i="10"/>
  <c r="B36" i="10"/>
  <c r="B37" i="10"/>
  <c r="B38" i="10"/>
  <c r="B39" i="10"/>
  <c r="B30" i="10"/>
  <c r="B26" i="10"/>
  <c r="B27" i="10"/>
  <c r="B28" i="10"/>
  <c r="B29" i="10"/>
  <c r="B25" i="10"/>
  <c r="B21" i="10"/>
  <c r="B22" i="10"/>
  <c r="B23" i="10"/>
  <c r="B24" i="10"/>
  <c r="B20" i="10"/>
  <c r="B16" i="10"/>
  <c r="B17" i="10"/>
  <c r="B18" i="10"/>
  <c r="B19" i="10"/>
  <c r="B15" i="10"/>
  <c r="B12" i="10"/>
  <c r="B13" i="10"/>
  <c r="B14" i="10"/>
  <c r="B11" i="10"/>
  <c r="C81" i="10"/>
  <c r="C82" i="10"/>
  <c r="C83" i="10"/>
  <c r="C84" i="10"/>
  <c r="C85" i="10"/>
  <c r="C86" i="10"/>
  <c r="C87" i="10"/>
  <c r="C88" i="10"/>
  <c r="C89" i="10"/>
  <c r="C80" i="10"/>
  <c r="C71" i="10"/>
  <c r="C72" i="10"/>
  <c r="C73" i="10"/>
  <c r="C74" i="10"/>
  <c r="C75" i="10"/>
  <c r="C76" i="10"/>
  <c r="C77" i="10"/>
  <c r="C78" i="10"/>
  <c r="C79" i="10"/>
  <c r="C70" i="10"/>
  <c r="C61" i="10"/>
  <c r="C62" i="10"/>
  <c r="C63" i="10"/>
  <c r="C64" i="10"/>
  <c r="C65" i="10"/>
  <c r="C66" i="10"/>
  <c r="C67" i="10"/>
  <c r="C68" i="10"/>
  <c r="C69" i="10"/>
  <c r="C60" i="10"/>
  <c r="C51" i="10"/>
  <c r="C52" i="10"/>
  <c r="C53" i="10"/>
  <c r="C54" i="10"/>
  <c r="C55" i="10"/>
  <c r="C56" i="10"/>
  <c r="C57" i="10"/>
  <c r="C58" i="10"/>
  <c r="C59" i="10"/>
  <c r="C50" i="10"/>
  <c r="C41" i="10"/>
  <c r="C42" i="10"/>
  <c r="C43" i="10"/>
  <c r="C44" i="10"/>
  <c r="C45" i="10"/>
  <c r="C46" i="10"/>
  <c r="C47" i="10"/>
  <c r="C48" i="10"/>
  <c r="C49" i="10"/>
  <c r="C40" i="10"/>
  <c r="C31" i="10"/>
  <c r="C32" i="10"/>
  <c r="C33" i="10"/>
  <c r="C34" i="10"/>
  <c r="C35" i="10"/>
  <c r="C36" i="10"/>
  <c r="C37" i="10"/>
  <c r="C38" i="10"/>
  <c r="C39" i="10"/>
  <c r="C30" i="10"/>
  <c r="C26" i="10"/>
  <c r="C27" i="10"/>
  <c r="C28" i="10"/>
  <c r="C29" i="10"/>
  <c r="C25" i="10"/>
  <c r="C21" i="10"/>
  <c r="C22" i="10"/>
  <c r="C23" i="10"/>
  <c r="C24" i="10"/>
  <c r="C20" i="10"/>
  <c r="C16" i="10"/>
  <c r="C17" i="10"/>
  <c r="C18" i="10"/>
  <c r="C19" i="10"/>
  <c r="C15" i="10"/>
  <c r="C12" i="10"/>
  <c r="C13" i="10"/>
  <c r="C14" i="10"/>
  <c r="C101" i="10"/>
  <c r="C102" i="10"/>
  <c r="C103" i="10"/>
  <c r="C104" i="10"/>
  <c r="C105" i="10"/>
  <c r="C106" i="10"/>
  <c r="C107" i="10"/>
  <c r="C108" i="10"/>
  <c r="C109" i="10"/>
  <c r="C110" i="10"/>
  <c r="C100" i="10"/>
  <c r="C91" i="10"/>
  <c r="C92" i="10"/>
  <c r="C93" i="10"/>
  <c r="C94" i="10"/>
  <c r="C95" i="10"/>
  <c r="C96" i="10"/>
  <c r="C97" i="10"/>
  <c r="C98" i="10"/>
  <c r="C99" i="10"/>
  <c r="C90" i="10"/>
  <c r="H81" i="3" l="1"/>
  <c r="F111" i="2"/>
  <c r="F112" i="2"/>
  <c r="F113" i="2"/>
  <c r="F114" i="2"/>
  <c r="F115" i="2"/>
  <c r="F116" i="2"/>
  <c r="F117" i="2"/>
  <c r="F118" i="2"/>
  <c r="F119" i="2"/>
  <c r="F110" i="2"/>
  <c r="F101" i="2"/>
  <c r="F102" i="2"/>
  <c r="F103" i="2"/>
  <c r="F104" i="2"/>
  <c r="F105" i="2"/>
  <c r="F106" i="2"/>
  <c r="F107" i="2"/>
  <c r="F108" i="2"/>
  <c r="F109" i="2"/>
  <c r="F100" i="2"/>
  <c r="F91" i="2"/>
  <c r="F92" i="2"/>
  <c r="F93" i="2"/>
  <c r="F94" i="2"/>
  <c r="F95" i="2"/>
  <c r="F96" i="2"/>
  <c r="F97" i="2"/>
  <c r="F98" i="2"/>
  <c r="F99" i="2"/>
  <c r="F90" i="2"/>
  <c r="F81" i="2"/>
  <c r="F82" i="2"/>
  <c r="F83" i="2"/>
  <c r="F84" i="2"/>
  <c r="F85" i="2"/>
  <c r="F86" i="2"/>
  <c r="F87" i="2"/>
  <c r="F88" i="2"/>
  <c r="F89" i="2"/>
  <c r="F80" i="2"/>
  <c r="F71" i="2"/>
  <c r="F72" i="2"/>
  <c r="F73" i="2"/>
  <c r="F74" i="2"/>
  <c r="F75" i="2"/>
  <c r="F76" i="2"/>
  <c r="F77" i="2"/>
  <c r="F78" i="2"/>
  <c r="F79" i="2"/>
  <c r="F70" i="2"/>
  <c r="F61" i="2"/>
  <c r="F62" i="2"/>
  <c r="F63" i="2"/>
  <c r="F64" i="2"/>
  <c r="F65" i="2"/>
  <c r="F66" i="2"/>
  <c r="F67" i="2"/>
  <c r="F68" i="2"/>
  <c r="F69" i="2"/>
  <c r="F60" i="2"/>
  <c r="F51" i="2"/>
  <c r="F52" i="2"/>
  <c r="F53" i="2"/>
  <c r="F54" i="2"/>
  <c r="F55" i="2"/>
  <c r="F56" i="2"/>
  <c r="F57" i="2"/>
  <c r="F58" i="2"/>
  <c r="F59" i="2"/>
  <c r="F50" i="2"/>
  <c r="F41" i="2"/>
  <c r="F42" i="2"/>
  <c r="F43" i="2"/>
  <c r="F44" i="2"/>
  <c r="F45" i="2"/>
  <c r="F46" i="2"/>
  <c r="F47" i="2"/>
  <c r="F48" i="2"/>
  <c r="F49" i="2"/>
  <c r="F40" i="2"/>
  <c r="F31" i="2"/>
  <c r="F32" i="2"/>
  <c r="F33" i="2"/>
  <c r="F34" i="2"/>
  <c r="F35" i="2"/>
  <c r="F36" i="2"/>
  <c r="F37" i="2"/>
  <c r="F38" i="2"/>
  <c r="F39" i="2"/>
  <c r="F30" i="2"/>
  <c r="F21" i="2"/>
  <c r="F22" i="2"/>
  <c r="F23" i="2"/>
  <c r="F24" i="2"/>
  <c r="F25" i="2"/>
  <c r="F26" i="2"/>
  <c r="F27" i="2"/>
  <c r="F28" i="2"/>
  <c r="F29" i="2"/>
  <c r="F20" i="2"/>
  <c r="F12" i="2"/>
  <c r="F13" i="2"/>
  <c r="F14" i="2"/>
  <c r="F15" i="2"/>
  <c r="F16" i="2"/>
  <c r="F17" i="2"/>
  <c r="F18" i="2"/>
  <c r="F19" i="2"/>
  <c r="F11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1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16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1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60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35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11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1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16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1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6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40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11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1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16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1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6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40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11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1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16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09" i="2"/>
  <c r="B11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6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4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H101" i="3" l="1"/>
  <c r="H102" i="3"/>
  <c r="H103" i="3"/>
  <c r="H104" i="3"/>
  <c r="H105" i="3"/>
  <c r="H106" i="3"/>
  <c r="H107" i="3"/>
  <c r="H108" i="3"/>
  <c r="H109" i="3"/>
  <c r="H110" i="3"/>
  <c r="H100" i="3"/>
  <c r="H91" i="3"/>
  <c r="H92" i="3"/>
  <c r="H93" i="3"/>
  <c r="H94" i="3"/>
  <c r="H95" i="3"/>
  <c r="H96" i="3"/>
  <c r="H97" i="3"/>
  <c r="H98" i="3"/>
  <c r="H99" i="3"/>
  <c r="H90" i="3"/>
  <c r="H82" i="3"/>
  <c r="H83" i="3"/>
  <c r="H84" i="3"/>
  <c r="H85" i="3"/>
  <c r="H86" i="3"/>
  <c r="H87" i="3"/>
  <c r="H88" i="3"/>
  <c r="H89" i="3"/>
  <c r="H80" i="3"/>
  <c r="H71" i="3"/>
  <c r="H72" i="3"/>
  <c r="H73" i="3"/>
  <c r="H74" i="3"/>
  <c r="H75" i="3"/>
  <c r="H76" i="3"/>
  <c r="H77" i="3"/>
  <c r="H78" i="3"/>
  <c r="H79" i="3"/>
  <c r="H70" i="3"/>
  <c r="H61" i="3"/>
  <c r="H62" i="3"/>
  <c r="H63" i="3"/>
  <c r="H64" i="3"/>
  <c r="H65" i="3"/>
  <c r="H66" i="3"/>
  <c r="H67" i="3"/>
  <c r="H68" i="3"/>
  <c r="H69" i="3"/>
  <c r="H60" i="3"/>
  <c r="H51" i="3"/>
  <c r="H52" i="3"/>
  <c r="H53" i="3"/>
  <c r="H54" i="3"/>
  <c r="H55" i="3"/>
  <c r="H56" i="3"/>
  <c r="H57" i="3"/>
  <c r="H58" i="3"/>
  <c r="H59" i="3"/>
  <c r="H50" i="3"/>
  <c r="H41" i="3"/>
  <c r="H42" i="3"/>
  <c r="H43" i="3"/>
  <c r="H44" i="3"/>
  <c r="H45" i="3"/>
  <c r="H46" i="3"/>
  <c r="H47" i="3"/>
  <c r="H48" i="3"/>
  <c r="H49" i="3"/>
  <c r="H40" i="3"/>
  <c r="H31" i="3"/>
  <c r="H32" i="3"/>
  <c r="H33" i="3"/>
  <c r="H34" i="3"/>
  <c r="H35" i="3"/>
  <c r="H36" i="3"/>
  <c r="H37" i="3"/>
  <c r="H38" i="3"/>
  <c r="H39" i="3"/>
  <c r="H30" i="3"/>
  <c r="H26" i="3"/>
  <c r="H27" i="3"/>
  <c r="H28" i="3"/>
  <c r="H29" i="3"/>
  <c r="H25" i="3"/>
  <c r="H21" i="3"/>
  <c r="H22" i="3"/>
  <c r="H23" i="3"/>
  <c r="H24" i="3"/>
  <c r="H20" i="3"/>
  <c r="H16" i="3"/>
  <c r="H17" i="3"/>
  <c r="H18" i="3"/>
  <c r="H19" i="3"/>
  <c r="H15" i="3"/>
  <c r="H12" i="3"/>
  <c r="H13" i="3"/>
  <c r="H14" i="3"/>
  <c r="H11" i="3"/>
  <c r="G101" i="3"/>
  <c r="G102" i="3"/>
  <c r="G103" i="3"/>
  <c r="G104" i="3"/>
  <c r="G105" i="3"/>
  <c r="G106" i="3"/>
  <c r="G107" i="3"/>
  <c r="G108" i="3"/>
  <c r="G109" i="3"/>
  <c r="G110" i="3"/>
  <c r="G100" i="3"/>
  <c r="G91" i="3"/>
  <c r="G92" i="3"/>
  <c r="G93" i="3"/>
  <c r="G94" i="3"/>
  <c r="G95" i="3"/>
  <c r="G96" i="3"/>
  <c r="G97" i="3"/>
  <c r="G98" i="3"/>
  <c r="G99" i="3"/>
  <c r="G90" i="3"/>
  <c r="G81" i="3"/>
  <c r="G82" i="3"/>
  <c r="G83" i="3"/>
  <c r="G84" i="3"/>
  <c r="G85" i="3"/>
  <c r="G86" i="3"/>
  <c r="G87" i="3"/>
  <c r="G88" i="3"/>
  <c r="G89" i="3"/>
  <c r="G80" i="3"/>
  <c r="G71" i="3"/>
  <c r="G72" i="3"/>
  <c r="G73" i="3"/>
  <c r="G74" i="3"/>
  <c r="G75" i="3"/>
  <c r="G76" i="3"/>
  <c r="G77" i="3"/>
  <c r="G78" i="3"/>
  <c r="G79" i="3"/>
  <c r="G70" i="3"/>
  <c r="G61" i="3"/>
  <c r="G62" i="3"/>
  <c r="G63" i="3"/>
  <c r="G64" i="3"/>
  <c r="G65" i="3"/>
  <c r="G66" i="3"/>
  <c r="G67" i="3"/>
  <c r="G68" i="3"/>
  <c r="G69" i="3"/>
  <c r="G60" i="3"/>
  <c r="G51" i="3"/>
  <c r="G52" i="3"/>
  <c r="G53" i="3"/>
  <c r="G54" i="3"/>
  <c r="G55" i="3"/>
  <c r="G56" i="3"/>
  <c r="G57" i="3"/>
  <c r="G58" i="3"/>
  <c r="G59" i="3"/>
  <c r="G50" i="3"/>
  <c r="G41" i="3"/>
  <c r="G42" i="3"/>
  <c r="G43" i="3"/>
  <c r="G44" i="3"/>
  <c r="G45" i="3"/>
  <c r="G46" i="3"/>
  <c r="G47" i="3"/>
  <c r="G48" i="3"/>
  <c r="G49" i="3"/>
  <c r="G40" i="3"/>
  <c r="G31" i="3"/>
  <c r="G32" i="3"/>
  <c r="G33" i="3"/>
  <c r="G34" i="3"/>
  <c r="G35" i="3"/>
  <c r="G36" i="3"/>
  <c r="G37" i="3"/>
  <c r="G38" i="3"/>
  <c r="G39" i="3"/>
  <c r="G30" i="3"/>
  <c r="G26" i="3"/>
  <c r="G27" i="3"/>
  <c r="G28" i="3"/>
  <c r="G29" i="3"/>
  <c r="G25" i="3"/>
  <c r="G21" i="3"/>
  <c r="G22" i="3"/>
  <c r="G23" i="3"/>
  <c r="G24" i="3"/>
  <c r="G20" i="3"/>
  <c r="G16" i="3"/>
  <c r="G17" i="3"/>
  <c r="G18" i="3"/>
  <c r="G19" i="3"/>
  <c r="G15" i="3"/>
  <c r="G12" i="3"/>
  <c r="G13" i="3"/>
  <c r="G14" i="3"/>
  <c r="G11" i="3"/>
  <c r="F101" i="3"/>
  <c r="F102" i="3"/>
  <c r="F103" i="3"/>
  <c r="F104" i="3"/>
  <c r="F105" i="3"/>
  <c r="F106" i="3"/>
  <c r="F107" i="3"/>
  <c r="F108" i="3"/>
  <c r="F109" i="3"/>
  <c r="F110" i="3"/>
  <c r="F100" i="3"/>
  <c r="F91" i="3"/>
  <c r="F92" i="3"/>
  <c r="F93" i="3"/>
  <c r="F94" i="3"/>
  <c r="F95" i="3"/>
  <c r="F96" i="3"/>
  <c r="F97" i="3"/>
  <c r="F98" i="3"/>
  <c r="F99" i="3"/>
  <c r="F90" i="3"/>
  <c r="F81" i="3"/>
  <c r="F82" i="3"/>
  <c r="F83" i="3"/>
  <c r="F84" i="3"/>
  <c r="F85" i="3"/>
  <c r="F86" i="3"/>
  <c r="F87" i="3"/>
  <c r="F88" i="3"/>
  <c r="F89" i="3"/>
  <c r="F80" i="3"/>
  <c r="F71" i="3"/>
  <c r="F72" i="3"/>
  <c r="F73" i="3"/>
  <c r="F74" i="3"/>
  <c r="F75" i="3"/>
  <c r="F76" i="3"/>
  <c r="F77" i="3"/>
  <c r="F78" i="3"/>
  <c r="F79" i="3"/>
  <c r="F70" i="3"/>
  <c r="F61" i="3"/>
  <c r="F62" i="3"/>
  <c r="F63" i="3"/>
  <c r="F64" i="3"/>
  <c r="F65" i="3"/>
  <c r="F66" i="3"/>
  <c r="F67" i="3"/>
  <c r="F68" i="3"/>
  <c r="F69" i="3"/>
  <c r="F60" i="3"/>
  <c r="F51" i="3"/>
  <c r="F52" i="3"/>
  <c r="F53" i="3"/>
  <c r="F54" i="3"/>
  <c r="F55" i="3"/>
  <c r="F56" i="3"/>
  <c r="F57" i="3"/>
  <c r="F58" i="3"/>
  <c r="F59" i="3"/>
  <c r="F50" i="3"/>
  <c r="F41" i="3"/>
  <c r="F42" i="3"/>
  <c r="F43" i="3"/>
  <c r="F44" i="3"/>
  <c r="F45" i="3"/>
  <c r="F46" i="3"/>
  <c r="F47" i="3"/>
  <c r="F48" i="3"/>
  <c r="F49" i="3"/>
  <c r="F40" i="3"/>
  <c r="F31" i="3"/>
  <c r="F32" i="3"/>
  <c r="F33" i="3"/>
  <c r="F34" i="3"/>
  <c r="F35" i="3"/>
  <c r="F36" i="3"/>
  <c r="F37" i="3"/>
  <c r="F38" i="3"/>
  <c r="F39" i="3"/>
  <c r="F30" i="3"/>
  <c r="F26" i="3"/>
  <c r="F27" i="3"/>
  <c r="F28" i="3"/>
  <c r="F29" i="3"/>
  <c r="F25" i="3"/>
  <c r="F21" i="3"/>
  <c r="F22" i="3"/>
  <c r="F23" i="3"/>
  <c r="F24" i="3"/>
  <c r="F20" i="3"/>
  <c r="F16" i="3"/>
  <c r="F17" i="3"/>
  <c r="F18" i="3"/>
  <c r="F19" i="3"/>
  <c r="F15" i="3"/>
  <c r="F12" i="3"/>
  <c r="F13" i="3"/>
  <c r="F14" i="3"/>
  <c r="F11" i="3"/>
  <c r="E101" i="3"/>
  <c r="E102" i="3"/>
  <c r="E103" i="3"/>
  <c r="E104" i="3"/>
  <c r="E105" i="3"/>
  <c r="E106" i="3"/>
  <c r="E107" i="3"/>
  <c r="E108" i="3"/>
  <c r="E109" i="3"/>
  <c r="E110" i="3"/>
  <c r="E100" i="3"/>
  <c r="E91" i="3"/>
  <c r="E92" i="3"/>
  <c r="E93" i="3"/>
  <c r="E94" i="3"/>
  <c r="E95" i="3"/>
  <c r="E96" i="3"/>
  <c r="E97" i="3"/>
  <c r="E98" i="3"/>
  <c r="E99" i="3"/>
  <c r="E90" i="3"/>
  <c r="E81" i="3"/>
  <c r="E82" i="3"/>
  <c r="E83" i="3"/>
  <c r="E84" i="3"/>
  <c r="E85" i="3"/>
  <c r="E86" i="3"/>
  <c r="E87" i="3"/>
  <c r="E88" i="3"/>
  <c r="E89" i="3"/>
  <c r="E80" i="3"/>
  <c r="E71" i="3"/>
  <c r="E72" i="3"/>
  <c r="E73" i="3"/>
  <c r="E74" i="3"/>
  <c r="E75" i="3"/>
  <c r="E76" i="3"/>
  <c r="E77" i="3"/>
  <c r="E78" i="3"/>
  <c r="E79" i="3"/>
  <c r="E70" i="3"/>
  <c r="E61" i="3"/>
  <c r="E62" i="3"/>
  <c r="E63" i="3"/>
  <c r="E64" i="3"/>
  <c r="E65" i="3"/>
  <c r="E66" i="3"/>
  <c r="E67" i="3"/>
  <c r="E68" i="3"/>
  <c r="E69" i="3"/>
  <c r="E60" i="3"/>
  <c r="E51" i="3"/>
  <c r="E52" i="3"/>
  <c r="E53" i="3"/>
  <c r="E54" i="3"/>
  <c r="E55" i="3"/>
  <c r="E56" i="3"/>
  <c r="E57" i="3"/>
  <c r="E58" i="3"/>
  <c r="E59" i="3"/>
  <c r="E50" i="3"/>
  <c r="E41" i="3"/>
  <c r="E42" i="3"/>
  <c r="E43" i="3"/>
  <c r="E44" i="3"/>
  <c r="E45" i="3"/>
  <c r="E46" i="3"/>
  <c r="E47" i="3"/>
  <c r="E48" i="3"/>
  <c r="E49" i="3"/>
  <c r="E40" i="3"/>
  <c r="E31" i="3"/>
  <c r="E32" i="3"/>
  <c r="E33" i="3"/>
  <c r="E34" i="3"/>
  <c r="E35" i="3"/>
  <c r="E36" i="3"/>
  <c r="E37" i="3"/>
  <c r="E38" i="3"/>
  <c r="E39" i="3"/>
  <c r="E30" i="3"/>
  <c r="E26" i="3"/>
  <c r="E27" i="3"/>
  <c r="E28" i="3"/>
  <c r="E29" i="3"/>
  <c r="E25" i="3"/>
  <c r="E21" i="3"/>
  <c r="E22" i="3"/>
  <c r="E23" i="3"/>
  <c r="E24" i="3"/>
  <c r="E20" i="3"/>
  <c r="E16" i="3"/>
  <c r="E17" i="3"/>
  <c r="E18" i="3"/>
  <c r="E19" i="3"/>
  <c r="E15" i="3"/>
  <c r="E12" i="3"/>
  <c r="E13" i="3"/>
  <c r="E14" i="3"/>
  <c r="E11" i="3"/>
  <c r="D101" i="3"/>
  <c r="D102" i="3"/>
  <c r="D103" i="3"/>
  <c r="D104" i="3"/>
  <c r="D105" i="3"/>
  <c r="D106" i="3"/>
  <c r="D107" i="3"/>
  <c r="D108" i="3"/>
  <c r="D109" i="3"/>
  <c r="D110" i="3"/>
  <c r="D100" i="3"/>
  <c r="D91" i="3"/>
  <c r="D92" i="3"/>
  <c r="D93" i="3"/>
  <c r="D94" i="3"/>
  <c r="D95" i="3"/>
  <c r="D96" i="3"/>
  <c r="D97" i="3"/>
  <c r="D98" i="3"/>
  <c r="D99" i="3"/>
  <c r="D90" i="3"/>
  <c r="D81" i="3"/>
  <c r="D82" i="3"/>
  <c r="D83" i="3"/>
  <c r="D84" i="3"/>
  <c r="D85" i="3"/>
  <c r="D86" i="3"/>
  <c r="D87" i="3"/>
  <c r="D88" i="3"/>
  <c r="D89" i="3"/>
  <c r="D80" i="3"/>
  <c r="D71" i="3"/>
  <c r="D72" i="3"/>
  <c r="D73" i="3"/>
  <c r="D74" i="3"/>
  <c r="D75" i="3"/>
  <c r="D76" i="3"/>
  <c r="D77" i="3"/>
  <c r="D78" i="3"/>
  <c r="D79" i="3"/>
  <c r="D70" i="3"/>
  <c r="D61" i="3"/>
  <c r="D62" i="3"/>
  <c r="D63" i="3"/>
  <c r="D64" i="3"/>
  <c r="D65" i="3"/>
  <c r="D66" i="3"/>
  <c r="D67" i="3"/>
  <c r="D68" i="3"/>
  <c r="D69" i="3"/>
  <c r="D60" i="3"/>
  <c r="D51" i="3"/>
  <c r="D52" i="3"/>
  <c r="D53" i="3"/>
  <c r="D54" i="3"/>
  <c r="D55" i="3"/>
  <c r="D56" i="3"/>
  <c r="D57" i="3"/>
  <c r="D58" i="3"/>
  <c r="D59" i="3"/>
  <c r="D50" i="3"/>
  <c r="D41" i="3"/>
  <c r="D42" i="3"/>
  <c r="D43" i="3"/>
  <c r="D44" i="3"/>
  <c r="D45" i="3"/>
  <c r="D46" i="3"/>
  <c r="D47" i="3"/>
  <c r="D48" i="3"/>
  <c r="D49" i="3"/>
  <c r="D40" i="3"/>
  <c r="D31" i="3"/>
  <c r="D32" i="3"/>
  <c r="D33" i="3"/>
  <c r="D34" i="3"/>
  <c r="D35" i="3"/>
  <c r="D36" i="3"/>
  <c r="D37" i="3"/>
  <c r="D38" i="3"/>
  <c r="D39" i="3"/>
  <c r="D30" i="3"/>
  <c r="D26" i="3"/>
  <c r="D27" i="3"/>
  <c r="D28" i="3"/>
  <c r="D29" i="3"/>
  <c r="D25" i="3"/>
  <c r="D21" i="3"/>
  <c r="D22" i="3"/>
  <c r="D23" i="3"/>
  <c r="D24" i="3"/>
  <c r="D20" i="3"/>
  <c r="D16" i="3"/>
  <c r="D17" i="3"/>
  <c r="D18" i="3"/>
  <c r="D19" i="3"/>
  <c r="D15" i="3"/>
  <c r="D12" i="3"/>
  <c r="D13" i="3"/>
  <c r="D14" i="3"/>
  <c r="D11" i="3"/>
  <c r="C101" i="3"/>
  <c r="C102" i="3"/>
  <c r="C103" i="3"/>
  <c r="C104" i="3"/>
  <c r="C105" i="3"/>
  <c r="C106" i="3"/>
  <c r="C107" i="3"/>
  <c r="C108" i="3"/>
  <c r="C109" i="3"/>
  <c r="C110" i="3"/>
  <c r="C100" i="3"/>
  <c r="C91" i="3"/>
  <c r="C92" i="3"/>
  <c r="C93" i="3"/>
  <c r="C94" i="3"/>
  <c r="C95" i="3"/>
  <c r="C96" i="3"/>
  <c r="C97" i="3"/>
  <c r="C98" i="3"/>
  <c r="C99" i="3"/>
  <c r="C90" i="3"/>
  <c r="C81" i="3"/>
  <c r="C82" i="3"/>
  <c r="C83" i="3"/>
  <c r="C84" i="3"/>
  <c r="C85" i="3"/>
  <c r="C86" i="3"/>
  <c r="C87" i="3"/>
  <c r="C88" i="3"/>
  <c r="C89" i="3"/>
  <c r="C80" i="3"/>
  <c r="C71" i="3"/>
  <c r="C72" i="3"/>
  <c r="C73" i="3"/>
  <c r="C74" i="3"/>
  <c r="C75" i="3"/>
  <c r="C76" i="3"/>
  <c r="C77" i="3"/>
  <c r="C78" i="3"/>
  <c r="C79" i="3"/>
  <c r="C70" i="3"/>
  <c r="C61" i="3"/>
  <c r="C62" i="3"/>
  <c r="C63" i="3"/>
  <c r="C64" i="3"/>
  <c r="C65" i="3"/>
  <c r="C66" i="3"/>
  <c r="C67" i="3"/>
  <c r="C68" i="3"/>
  <c r="C69" i="3"/>
  <c r="C60" i="3"/>
  <c r="C51" i="3"/>
  <c r="C52" i="3"/>
  <c r="C53" i="3"/>
  <c r="C54" i="3"/>
  <c r="C55" i="3"/>
  <c r="C56" i="3"/>
  <c r="C57" i="3"/>
  <c r="C58" i="3"/>
  <c r="C59" i="3"/>
  <c r="C50" i="3"/>
  <c r="C41" i="3"/>
  <c r="C42" i="3"/>
  <c r="C43" i="3"/>
  <c r="C44" i="3"/>
  <c r="C45" i="3"/>
  <c r="C46" i="3"/>
  <c r="C47" i="3"/>
  <c r="C48" i="3"/>
  <c r="C49" i="3"/>
  <c r="C40" i="3"/>
  <c r="C31" i="3"/>
  <c r="C32" i="3"/>
  <c r="C33" i="3"/>
  <c r="C34" i="3"/>
  <c r="C35" i="3"/>
  <c r="C36" i="3"/>
  <c r="C37" i="3"/>
  <c r="C38" i="3"/>
  <c r="C39" i="3"/>
  <c r="C30" i="3"/>
  <c r="C26" i="3"/>
  <c r="C27" i="3"/>
  <c r="C28" i="3"/>
  <c r="C29" i="3"/>
  <c r="C25" i="3"/>
  <c r="C20" i="3"/>
  <c r="C21" i="3"/>
  <c r="C22" i="3"/>
  <c r="C23" i="3"/>
  <c r="C24" i="3"/>
  <c r="C16" i="3"/>
  <c r="C17" i="3"/>
  <c r="C18" i="3"/>
  <c r="C19" i="3"/>
  <c r="C15" i="3"/>
  <c r="C12" i="3"/>
  <c r="C13" i="3"/>
  <c r="C14" i="3"/>
  <c r="C11" i="3"/>
  <c r="B101" i="3"/>
  <c r="B102" i="3"/>
  <c r="B103" i="3"/>
  <c r="B104" i="3"/>
  <c r="B105" i="3"/>
  <c r="B106" i="3"/>
  <c r="B107" i="3"/>
  <c r="B108" i="3"/>
  <c r="B109" i="3"/>
  <c r="B110" i="3"/>
  <c r="B100" i="3"/>
  <c r="B91" i="3"/>
  <c r="B92" i="3"/>
  <c r="B93" i="3"/>
  <c r="B94" i="3"/>
  <c r="B95" i="3"/>
  <c r="B96" i="3"/>
  <c r="B97" i="3"/>
  <c r="B98" i="3"/>
  <c r="B99" i="3"/>
  <c r="B90" i="3"/>
  <c r="B81" i="3"/>
  <c r="B82" i="3"/>
  <c r="B83" i="3"/>
  <c r="B84" i="3"/>
  <c r="B85" i="3"/>
  <c r="B86" i="3"/>
  <c r="B87" i="3"/>
  <c r="B88" i="3"/>
  <c r="B89" i="3"/>
  <c r="B80" i="3"/>
  <c r="B71" i="3"/>
  <c r="B72" i="3"/>
  <c r="B73" i="3"/>
  <c r="B74" i="3"/>
  <c r="B75" i="3"/>
  <c r="B76" i="3"/>
  <c r="B77" i="3"/>
  <c r="B78" i="3"/>
  <c r="B79" i="3"/>
  <c r="B70" i="3"/>
  <c r="B61" i="3"/>
  <c r="B62" i="3"/>
  <c r="B63" i="3"/>
  <c r="B64" i="3"/>
  <c r="B65" i="3"/>
  <c r="B66" i="3"/>
  <c r="B67" i="3"/>
  <c r="B68" i="3"/>
  <c r="B69" i="3"/>
  <c r="B60" i="3"/>
  <c r="C16" i="4" l="1"/>
  <c r="C13" i="4" l="1"/>
  <c r="C14" i="4" s="1"/>
  <c r="C12" i="4"/>
  <c r="C15" i="4" l="1"/>
  <c r="D10" i="4"/>
  <c r="C10" i="4" s="1"/>
  <c r="C9" i="4"/>
  <c r="C7" i="4" l="1"/>
</calcChain>
</file>

<file path=xl/sharedStrings.xml><?xml version="1.0" encoding="utf-8"?>
<sst xmlns="http://schemas.openxmlformats.org/spreadsheetml/2006/main" count="1863" uniqueCount="510">
  <si>
    <t>Poids en KG</t>
  </si>
  <si>
    <t>Livraison partout en France</t>
  </si>
  <si>
    <t>Delais livraison</t>
  </si>
  <si>
    <t>Livré avant 13 le lendemain</t>
  </si>
  <si>
    <t>Poid en KG</t>
  </si>
  <si>
    <t>Z1</t>
  </si>
  <si>
    <t>Z2</t>
  </si>
  <si>
    <t>Z3</t>
  </si>
  <si>
    <t>Z4</t>
  </si>
  <si>
    <t>Z5</t>
  </si>
  <si>
    <t>49 - Maine et Loire</t>
  </si>
  <si>
    <t xml:space="preserve">79 - Deux sevres </t>
  </si>
  <si>
    <t>14 - Cavaldos</t>
  </si>
  <si>
    <t xml:space="preserve">16 - Charente </t>
  </si>
  <si>
    <t>01 - Ain</t>
  </si>
  <si>
    <t xml:space="preserve">37 - Indre et Loire </t>
  </si>
  <si>
    <t>17 - Charente maritime</t>
  </si>
  <si>
    <t>27 - Eure</t>
  </si>
  <si>
    <t>02 - Aisne</t>
  </si>
  <si>
    <t xml:space="preserve">44 - Loire Atlantique </t>
  </si>
  <si>
    <t xml:space="preserve">22 - Cotes d'armor </t>
  </si>
  <si>
    <t>28 - Eure et Loir</t>
  </si>
  <si>
    <t>03 - Allier</t>
  </si>
  <si>
    <t xml:space="preserve">53 - Mayenne </t>
  </si>
  <si>
    <t xml:space="preserve">29 - Finistere </t>
  </si>
  <si>
    <t xml:space="preserve">36 - Indre </t>
  </si>
  <si>
    <t>04 - Alpes Hautes</t>
  </si>
  <si>
    <t>72 - Sarthe</t>
  </si>
  <si>
    <t xml:space="preserve">35 - Ille et Vilaine </t>
  </si>
  <si>
    <t>45 - Loiret</t>
  </si>
  <si>
    <t>06 - Alpes Maritime</t>
  </si>
  <si>
    <t xml:space="preserve">85 - Vendée </t>
  </si>
  <si>
    <t xml:space="preserve">41 - Loir et cher </t>
  </si>
  <si>
    <t>76 - Seine Maritime</t>
  </si>
  <si>
    <t>07 - Ardèche</t>
  </si>
  <si>
    <t xml:space="preserve">50 - Manche </t>
  </si>
  <si>
    <t>86 - Vienne</t>
  </si>
  <si>
    <t>08 - Ardennes</t>
  </si>
  <si>
    <t>56 - Morbihan</t>
  </si>
  <si>
    <t>09 - Ariège</t>
  </si>
  <si>
    <t>61 - Orne</t>
  </si>
  <si>
    <t>10 - Aube</t>
  </si>
  <si>
    <t>11 - Aude</t>
  </si>
  <si>
    <t>12 - Aveyron</t>
  </si>
  <si>
    <t>67 - Bas Rhin</t>
  </si>
  <si>
    <t>13 - Bouches du</t>
  </si>
  <si>
    <t>15 - Cantal</t>
  </si>
  <si>
    <t>18 - Cher</t>
  </si>
  <si>
    <t>19 - Correze</t>
  </si>
  <si>
    <t>21 - Côte d'or</t>
  </si>
  <si>
    <t>23 - Creuse</t>
  </si>
  <si>
    <t>24 - Dordogne</t>
  </si>
  <si>
    <t>25 - Doubs</t>
  </si>
  <si>
    <t>26 - Drome</t>
  </si>
  <si>
    <t>30 - Gard</t>
  </si>
  <si>
    <t>31 - Haute Garonne</t>
  </si>
  <si>
    <t>32 - Gers</t>
  </si>
  <si>
    <t>33 - Gironde</t>
  </si>
  <si>
    <t>43 - Haute Loire</t>
  </si>
  <si>
    <t>52 - Haute Marne</t>
  </si>
  <si>
    <t>68 - Haut Rhin</t>
  </si>
  <si>
    <t>70 -  Haute Saone</t>
  </si>
  <si>
    <t>91 - Essonne</t>
  </si>
  <si>
    <t>Poind en KG</t>
  </si>
  <si>
    <t xml:space="preserve">Corse </t>
  </si>
  <si>
    <t>Z6</t>
  </si>
  <si>
    <t>Z7</t>
  </si>
  <si>
    <t>35 - Ile et Vilain.</t>
  </si>
  <si>
    <t>16 - Charente</t>
  </si>
  <si>
    <t>14 - Calvados</t>
  </si>
  <si>
    <t>37 - Indre et Loire</t>
  </si>
  <si>
    <t>17 - Charente Maritime</t>
  </si>
  <si>
    <t>05 - Alpes Haute Provence</t>
  </si>
  <si>
    <t>44 - Loire Atlantantique</t>
  </si>
  <si>
    <t>22 - Côte d'Armor</t>
  </si>
  <si>
    <t>53 - Mayenne</t>
  </si>
  <si>
    <t>28 - Eure et Loire</t>
  </si>
  <si>
    <t>36 - Indre</t>
  </si>
  <si>
    <t>79 - Deux sèvres</t>
  </si>
  <si>
    <t>41 - Loir et Cher</t>
  </si>
  <si>
    <t>77 - Seine et Loire</t>
  </si>
  <si>
    <t>58 - Nièvre</t>
  </si>
  <si>
    <t>85 - Vendée</t>
  </si>
  <si>
    <t>78 - Yvelines</t>
  </si>
  <si>
    <t>60 - Oise</t>
  </si>
  <si>
    <t>50 - Manche</t>
  </si>
  <si>
    <t>63 - Puy de Dome</t>
  </si>
  <si>
    <t>95 - Val d'Oise</t>
  </si>
  <si>
    <t>80 - Somme</t>
  </si>
  <si>
    <t>89 - Yonne</t>
  </si>
  <si>
    <t>39 - Jura</t>
  </si>
  <si>
    <t>34 - Hérault</t>
  </si>
  <si>
    <t>87 - Haute Vienne</t>
  </si>
  <si>
    <t>40 - Landes</t>
  </si>
  <si>
    <t>38 - Isère</t>
  </si>
  <si>
    <t>42 - Loire</t>
  </si>
  <si>
    <t>48 - Lozère</t>
  </si>
  <si>
    <t>57 - Moselle</t>
  </si>
  <si>
    <t>46 - Lot</t>
  </si>
  <si>
    <t>66 - Pyrénées Orientale</t>
  </si>
  <si>
    <t>47 - Lot et Garonne</t>
  </si>
  <si>
    <t>51 - Marne</t>
  </si>
  <si>
    <t>73 - Savoie</t>
  </si>
  <si>
    <t>54 - Meurthe et Moselle</t>
  </si>
  <si>
    <t>74 - Haute Savoie</t>
  </si>
  <si>
    <t>55 - Meuse</t>
  </si>
  <si>
    <t>83 - Var</t>
  </si>
  <si>
    <t>59 - Nord</t>
  </si>
  <si>
    <t>84 - Vaucluse</t>
  </si>
  <si>
    <t>62 - Pas de Calais</t>
  </si>
  <si>
    <t>88 - Vosges</t>
  </si>
  <si>
    <t>64 - Pyrénées Atlantique</t>
  </si>
  <si>
    <t>90 - Belfort Territoire</t>
  </si>
  <si>
    <t>65 - Hautes-Pyrénées</t>
  </si>
  <si>
    <t>69 - Rhône</t>
  </si>
  <si>
    <t>71 - Saone et Loire</t>
  </si>
  <si>
    <t>81 - Tarn</t>
  </si>
  <si>
    <t>82 - Tarn et Garonne</t>
  </si>
  <si>
    <t xml:space="preserve">Departement </t>
  </si>
  <si>
    <t xml:space="preserve">Poids </t>
  </si>
  <si>
    <t>Chronopost</t>
  </si>
  <si>
    <t>FA 49</t>
  </si>
  <si>
    <t>z2</t>
  </si>
  <si>
    <t>z1</t>
  </si>
  <si>
    <t>z3</t>
  </si>
  <si>
    <t>z4</t>
  </si>
  <si>
    <t>z5</t>
  </si>
  <si>
    <t>z6</t>
  </si>
  <si>
    <t>z7</t>
  </si>
  <si>
    <t>TOUT</t>
  </si>
  <si>
    <t>Zone livraison</t>
  </si>
  <si>
    <t>Département</t>
  </si>
  <si>
    <t>zone Geodis</t>
  </si>
  <si>
    <t>Zone FA 49</t>
  </si>
  <si>
    <t>74 - Haute savoie</t>
  </si>
  <si>
    <t xml:space="preserve">87 - Haute vienne </t>
  </si>
  <si>
    <t xml:space="preserve">65 - Hautes pyrenees </t>
  </si>
  <si>
    <t xml:space="preserve">92 - Hauts de seine </t>
  </si>
  <si>
    <t>34 - Herault</t>
  </si>
  <si>
    <t>38 - Isere</t>
  </si>
  <si>
    <t xml:space="preserve">39 - Jura </t>
  </si>
  <si>
    <t xml:space="preserve">40 - Landes </t>
  </si>
  <si>
    <t xml:space="preserve">46 - Lot </t>
  </si>
  <si>
    <t>47 - Lot et garonne</t>
  </si>
  <si>
    <t xml:space="preserve">48 - Lozere </t>
  </si>
  <si>
    <t xml:space="preserve">75 - Paris </t>
  </si>
  <si>
    <t xml:space="preserve">93 - Seine saint denis </t>
  </si>
  <si>
    <t xml:space="preserve">94 - Val de marne </t>
  </si>
  <si>
    <t>93 - Seine Saint Denis</t>
  </si>
  <si>
    <t>94 - Val de Marne</t>
  </si>
  <si>
    <t>75 - Paris</t>
  </si>
  <si>
    <t xml:space="preserve">Tarif global </t>
  </si>
  <si>
    <t>Tarif  remise 10 %</t>
  </si>
  <si>
    <t>Si + 60 colis envoyé / mois</t>
  </si>
  <si>
    <t>Si - de 40 colis envoyé / mois</t>
  </si>
  <si>
    <t xml:space="preserve">Poids en KG jusqu’à </t>
  </si>
  <si>
    <t xml:space="preserve">Poids en kg jusqu’à </t>
  </si>
  <si>
    <t>La poste</t>
  </si>
  <si>
    <t xml:space="preserve">Colissimo pick up </t>
  </si>
  <si>
    <t>France Alliance 49</t>
  </si>
  <si>
    <t xml:space="preserve">Dep 49 </t>
  </si>
  <si>
    <t>Dep 79 - 85</t>
  </si>
  <si>
    <r>
      <t xml:space="preserve">Enlevement </t>
    </r>
    <r>
      <rPr>
        <b/>
        <sz val="11"/>
        <color theme="1"/>
        <rFont val="Calibri"/>
        <family val="2"/>
        <scheme val="minor"/>
      </rPr>
      <t>10h30</t>
    </r>
    <r>
      <rPr>
        <sz val="11"/>
        <color theme="1"/>
        <rFont val="Calibri"/>
        <family val="2"/>
        <scheme val="minor"/>
      </rPr>
      <t xml:space="preserve"> - Livraison L'apres midi </t>
    </r>
  </si>
  <si>
    <r>
      <t xml:space="preserve">Enlevement entre </t>
    </r>
    <r>
      <rPr>
        <b/>
        <sz val="11"/>
        <color theme="1"/>
        <rFont val="Calibri"/>
        <family val="2"/>
        <scheme val="minor"/>
      </rPr>
      <t>10h30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16h30</t>
    </r>
    <r>
      <rPr>
        <sz val="11"/>
        <color theme="1"/>
        <rFont val="Calibri"/>
        <family val="2"/>
        <scheme val="minor"/>
      </rPr>
      <t xml:space="preserve"> - Livraison L'apres midi </t>
    </r>
  </si>
  <si>
    <r>
      <t xml:space="preserve">Enlevement apres </t>
    </r>
    <r>
      <rPr>
        <b/>
        <sz val="11"/>
        <color theme="1"/>
        <rFont val="Calibri"/>
        <family val="2"/>
        <scheme val="minor"/>
      </rPr>
      <t>16h30</t>
    </r>
    <r>
      <rPr>
        <sz val="11"/>
        <color theme="1"/>
        <rFont val="Calibri"/>
        <family val="2"/>
        <scheme val="minor"/>
      </rPr>
      <t xml:space="preserve"> - Livraison le lendemain apres midi</t>
    </r>
  </si>
  <si>
    <r>
      <t xml:space="preserve">Enlevement à </t>
    </r>
    <r>
      <rPr>
        <b/>
        <sz val="11"/>
        <color theme="1"/>
        <rFont val="Calibri"/>
        <family val="2"/>
        <scheme val="minor"/>
      </rPr>
      <t>9h30</t>
    </r>
    <r>
      <rPr>
        <sz val="11"/>
        <color theme="1"/>
        <rFont val="Calibri"/>
        <family val="2"/>
        <scheme val="minor"/>
      </rPr>
      <t xml:space="preserve"> - Livraison l'apres midi </t>
    </r>
  </si>
  <si>
    <r>
      <t xml:space="preserve">Enlevement entre </t>
    </r>
    <r>
      <rPr>
        <b/>
        <sz val="11"/>
        <color theme="1"/>
        <rFont val="Calibri"/>
        <family val="2"/>
        <scheme val="minor"/>
      </rPr>
      <t>9h30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16h30</t>
    </r>
    <r>
      <rPr>
        <sz val="11"/>
        <color theme="1"/>
        <rFont val="Calibri"/>
        <family val="2"/>
        <scheme val="minor"/>
      </rPr>
      <t xml:space="preserve"> livraison le lendemain matin</t>
    </r>
  </si>
  <si>
    <r>
      <t>Collisimo standart -</t>
    </r>
    <r>
      <rPr>
        <b/>
        <sz val="11"/>
        <color theme="1"/>
        <rFont val="Calibri"/>
        <family val="2"/>
        <scheme val="minor"/>
      </rPr>
      <t xml:space="preserve"> remise du colis a la poste</t>
    </r>
  </si>
  <si>
    <r>
      <t xml:space="preserve">Collisimo Pick Up enlèvement </t>
    </r>
    <r>
      <rPr>
        <b/>
        <sz val="11"/>
        <color theme="1"/>
        <rFont val="Calibri"/>
        <family val="2"/>
        <scheme val="minor"/>
      </rPr>
      <t>avant 13h</t>
    </r>
  </si>
  <si>
    <r>
      <t xml:space="preserve">Chronopost - Enlèvement </t>
    </r>
    <r>
      <rPr>
        <b/>
        <sz val="11"/>
        <color theme="1"/>
        <rFont val="Calibri"/>
        <family val="2"/>
        <scheme val="minor"/>
      </rPr>
      <t xml:space="preserve">avant 16h </t>
    </r>
  </si>
  <si>
    <r>
      <t xml:space="preserve">TNT - Enlevement </t>
    </r>
    <r>
      <rPr>
        <b/>
        <sz val="11"/>
        <color theme="1"/>
        <rFont val="Calibri"/>
        <family val="2"/>
        <scheme val="minor"/>
      </rPr>
      <t>à 15h</t>
    </r>
  </si>
  <si>
    <r>
      <t xml:space="preserve">Livraison </t>
    </r>
    <r>
      <rPr>
        <b/>
        <sz val="11"/>
        <color theme="1"/>
        <rFont val="Calibri"/>
        <family val="2"/>
        <scheme val="minor"/>
      </rPr>
      <t>J+1 avant 13h</t>
    </r>
  </si>
  <si>
    <r>
      <t xml:space="preserve">Enlevement apres </t>
    </r>
    <r>
      <rPr>
        <b/>
        <sz val="11"/>
        <color theme="1"/>
        <rFont val="Calibri"/>
        <family val="2"/>
        <scheme val="minor"/>
      </rPr>
      <t>16h30</t>
    </r>
    <r>
      <rPr>
        <sz val="11"/>
        <color theme="1"/>
        <rFont val="Calibri"/>
        <family val="2"/>
        <scheme val="minor"/>
      </rPr>
      <t xml:space="preserve"> - Livraison </t>
    </r>
    <r>
      <rPr>
        <b/>
        <sz val="11"/>
        <color theme="1"/>
        <rFont val="Calibri"/>
        <family val="2"/>
        <scheme val="minor"/>
      </rPr>
      <t>J+1</t>
    </r>
    <r>
      <rPr>
        <sz val="11"/>
        <color theme="1"/>
        <rFont val="Calibri"/>
        <family val="2"/>
        <scheme val="minor"/>
      </rPr>
      <t xml:space="preserve"> apres midi</t>
    </r>
  </si>
  <si>
    <r>
      <t xml:space="preserve">Livraison </t>
    </r>
    <r>
      <rPr>
        <b/>
        <sz val="11"/>
        <color theme="1"/>
        <rFont val="Calibri"/>
        <family val="2"/>
        <scheme val="minor"/>
      </rPr>
      <t>avant 13h J+1</t>
    </r>
  </si>
  <si>
    <t>Prix</t>
  </si>
  <si>
    <t>49650 Allonnes</t>
  </si>
  <si>
    <t>49700 Ambillou-Château</t>
  </si>
  <si>
    <t>49800 Andard</t>
  </si>
  <si>
    <t xml:space="preserve"> 49600 Andrezé</t>
  </si>
  <si>
    <t>49000 Angers</t>
  </si>
  <si>
    <t>49260 Antoigné</t>
  </si>
  <si>
    <t>49260 Artannes-sur-Thouet</t>
  </si>
  <si>
    <t xml:space="preserve"> 49120 Chemillé</t>
  </si>
  <si>
    <t xml:space="preserve"> 49300 Cholet</t>
  </si>
  <si>
    <t xml:space="preserve"> 49490 Auverse</t>
  </si>
  <si>
    <t>49000 Beaucouzé</t>
  </si>
  <si>
    <t>49000 Bouchemaine</t>
  </si>
  <si>
    <t>49140 Bauné</t>
  </si>
  <si>
    <t>49140 Beauvau</t>
  </si>
  <si>
    <t>49140 Chaumont-d'Anjou</t>
  </si>
  <si>
    <t>49140 Cornillé-les-Caves</t>
  </si>
  <si>
    <t>49140 Corzé</t>
  </si>
  <si>
    <t>49150 Bauge</t>
  </si>
  <si>
    <t>49150 Bocé</t>
  </si>
  <si>
    <t>49150 Cheviré-le-Rouge</t>
  </si>
  <si>
    <t>49150 Clefs</t>
  </si>
  <si>
    <t>49150 Cuon</t>
  </si>
  <si>
    <t>49160 Blou</t>
  </si>
  <si>
    <t>49240 Avrillé</t>
  </si>
  <si>
    <t>49250 Beaufort-en-Vallée</t>
  </si>
  <si>
    <t>49250 Brion</t>
  </si>
  <si>
    <t>49260 Brézé</t>
  </si>
  <si>
    <t>49260 Courchamps</t>
  </si>
  <si>
    <t>49310 Cernusson</t>
  </si>
  <si>
    <t>49320 Brissac-Quincé</t>
  </si>
  <si>
    <t>49320 Chemellier</t>
  </si>
  <si>
    <t>49320 Coutures</t>
  </si>
  <si>
    <t>49340 Chanteloup-les-Bois</t>
  </si>
  <si>
    <t>49350 Chênehutte-Trèves-Cunault</t>
  </si>
  <si>
    <t>49380 Chavagnes</t>
  </si>
  <si>
    <t>49390 Courléon</t>
  </si>
  <si>
    <t>49400 Chacé</t>
  </si>
  <si>
    <t>49400 Chavaignes</t>
  </si>
  <si>
    <t>49400 Distré</t>
  </si>
  <si>
    <t>49430 Durtal</t>
  </si>
  <si>
    <t>49490 Breil</t>
  </si>
  <si>
    <t>49490 Dénezé-sous-le-Lude</t>
  </si>
  <si>
    <t>49540 Aubigné-sur-Layon</t>
  </si>
  <si>
    <t>49560 Cléré-sur-Layon</t>
  </si>
  <si>
    <t>49600 Beaupréau</t>
  </si>
  <si>
    <t>49630 Corné</t>
  </si>
  <si>
    <t>49650 Brain-sur-Allonnes</t>
  </si>
  <si>
    <t>49690 Coron</t>
  </si>
  <si>
    <t>49700 Brigné</t>
  </si>
  <si>
    <t>49700 Brossay</t>
  </si>
  <si>
    <t>49700 Cizay-la-Madeleine</t>
  </si>
  <si>
    <t>49700 Concourson-sur-Layon</t>
  </si>
  <si>
    <t>49700 Dénezé-sous-Doué</t>
  </si>
  <si>
    <t>49700 Doué-la-Fontaine</t>
  </si>
  <si>
    <t>49800 Braun-sur-l'Authion</t>
  </si>
  <si>
    <t>49150 Fechemiré</t>
  </si>
  <si>
    <t>49000 Ecouflant</t>
  </si>
  <si>
    <t>49260 Épieds</t>
  </si>
  <si>
    <t>49250 Fontaine-Guérin</t>
  </si>
  <si>
    <t>49140 Fontaine-Milon</t>
  </si>
  <si>
    <t>49590 Fontevraud-l'Abbaye</t>
  </si>
  <si>
    <t>49700 Forges</t>
  </si>
  <si>
    <t>49150 Fougeré</t>
  </si>
  <si>
    <t>49250 iGée</t>
  </si>
  <si>
    <t>49350 Gennes</t>
  </si>
  <si>
    <t>49490 Genneteil</t>
  </si>
  <si>
    <t>49600 Geste</t>
  </si>
  <si>
    <t>49320 Grézillé</t>
  </si>
  <si>
    <t>49510 bilais</t>
  </si>
  <si>
    <t>49140 Jarzé</t>
  </si>
  <si>
    <t>49610 Juigné-sur-Loire</t>
  </si>
  <si>
    <t>49800 La Bohalle</t>
  </si>
  <si>
    <t>49390 La Breille-les-Pins</t>
  </si>
  <si>
    <t>49600 La chapelle du genêt</t>
  </si>
  <si>
    <t>49120 la chapelle rousselin</t>
  </si>
  <si>
    <t>49140 La Chapelle-Saint-Laud</t>
  </si>
  <si>
    <t>49800 La Daguenière</t>
  </si>
  <si>
    <t>49540 La Fosse-de-Tigné</t>
  </si>
  <si>
    <t>49510 la Jubaudiere</t>
  </si>
  <si>
    <t>49120 la Jumelliere</t>
  </si>
  <si>
    <t>49150 La Lande-Chasles</t>
  </si>
  <si>
    <t>49710 le longeron</t>
  </si>
  <si>
    <t>49122 Le gray sur evre</t>
  </si>
  <si>
    <t>49250 La Ménitré</t>
  </si>
  <si>
    <t>49490 La Pellerine</t>
  </si>
  <si>
    <r>
      <t xml:space="preserve">49110 le </t>
    </r>
    <r>
      <rPr>
        <i/>
        <sz val="9"/>
        <rFont val="Verdana"/>
        <family val="2"/>
      </rPr>
      <t xml:space="preserve">pin </t>
    </r>
    <r>
      <rPr>
        <sz val="9"/>
        <rFont val="Verdana"/>
        <family val="2"/>
      </rPr>
      <t>en mauges</t>
    </r>
  </si>
  <si>
    <t>49360 La Plaine</t>
  </si>
  <si>
    <t>49510 la poiteviniere</t>
  </si>
  <si>
    <t>49740 la romagne</t>
  </si>
  <si>
    <t>49310 La Salle-de-Vihiers</t>
  </si>
  <si>
    <t>49280 La Séguinière</t>
  </si>
  <si>
    <t>49280 La Tessoualle</t>
  </si>
  <si>
    <t>49120 La Tourlandry</t>
  </si>
  <si>
    <t>49490 Lasse</t>
  </si>
  <si>
    <t>49400 Le Coudray-Macouard</t>
  </si>
  <si>
    <t>49150 Le Guédéniau</t>
  </si>
  <si>
    <t>49124 Le Plessis-Gra mMoi re</t>
  </si>
  <si>
    <t>49300 Le Puy Saint Bonnet</t>
  </si>
  <si>
    <t>49260 Le Puy-Notre-Dame</t>
  </si>
  <si>
    <t>49350 Le Thoureil</t>
  </si>
  <si>
    <t>49150 Le Vieil-Baugé</t>
  </si>
  <si>
    <t>49320 Les Alleuds</t>
  </si>
  <si>
    <t>49130 Les Ponts-de-Cé</t>
  </si>
  <si>
    <t>49430 Les Rairies</t>
  </si>
  <si>
    <t>49350 Les Rosiers-sur-Loire</t>
  </si>
  <si>
    <t>49700 Les Ulmes</t>
  </si>
  <si>
    <t>49700 Verchers-sur-Layon</t>
  </si>
  <si>
    <t>49430 Lézigné</t>
  </si>
  <si>
    <t>49160 Longué-Jumelles</t>
  </si>
  <si>
    <t>49280 loublande</t>
  </si>
  <si>
    <t>49700 Louerre</t>
  </si>
  <si>
    <t>49700 Lotfiresse-Rochemenier</t>
  </si>
  <si>
    <t>49140 Lué-en-Baugeois</t>
  </si>
  <si>
    <t>49320 Luigné</t>
  </si>
  <si>
    <t>49140 Marcé</t>
  </si>
  <si>
    <t>49540 Martigné-Briand</t>
  </si>
  <si>
    <t>49360 Maulévrier</t>
  </si>
  <si>
    <t>49230 mautfaucon sur moine</t>
  </si>
  <si>
    <t>49630 Mazé</t>
  </si>
  <si>
    <t>49280 Mazières-en-Mauges</t>
  </si>
  <si>
    <t>49700 Meigné</t>
  </si>
  <si>
    <t>49490 Meigné-le-Vicomte</t>
  </si>
  <si>
    <t>49120 Melay</t>
  </si>
  <si>
    <t>49490 Méon</t>
  </si>
  <si>
    <t>49430 Montigné-lès-Rairies</t>
  </si>
  <si>
    <t>49230 montigné sur moine</t>
  </si>
  <si>
    <t>49310 Montilliers</t>
  </si>
  <si>
    <t>49150 Montpollin</t>
  </si>
  <si>
    <t>49260 Montreuil-Bellay</t>
  </si>
  <si>
    <t>49460 Montreuil-juigné</t>
  </si>
  <si>
    <t>49230 Montfaucon</t>
  </si>
  <si>
    <t>49730 Montsoreau</t>
  </si>
  <si>
    <t>49390 Mouliherne</t>
  </si>
  <si>
    <t>49610 Mûrs-Erigné</t>
  </si>
  <si>
    <t>49680 Neuillé</t>
  </si>
  <si>
    <t>49120 neuvy en mauges</t>
  </si>
  <si>
    <t>49380 Notre-Dame-d'Allençon</t>
  </si>
  <si>
    <t>49490 Noyant</t>
  </si>
  <si>
    <t>49700 Noyant-la-Plaine</t>
  </si>
  <si>
    <t>49340 Nuaillé</t>
  </si>
  <si>
    <t>49560 Nueil-sur-Layon</t>
  </si>
  <si>
    <t>49390 Parçay-les-Pins</t>
  </si>
  <si>
    <t>49730 Parnay</t>
  </si>
  <si>
    <t>49560 Passavant-sur-Layon</t>
  </si>
  <si>
    <t>49112 Pellouailles-les-Vignes</t>
  </si>
  <si>
    <t>49300 Puy Saint Bonnet</t>
  </si>
  <si>
    <t>49400 Rou-Marson</t>
  </si>
  <si>
    <t>49450 roussay</t>
  </si>
  <si>
    <t>49450 St andré de la marche</t>
  </si>
  <si>
    <t>49124St-Barthélemy-d'Anjou</t>
  </si>
  <si>
    <t>49280 St-Christophe-du-6°11s</t>
  </si>
  <si>
    <t>49350 St-Clément-des-Levées</t>
  </si>
  <si>
    <t>49370 St-Clément-de-La-Place</t>
  </si>
  <si>
    <t>49250 St-Cyr-en-Bourg</t>
  </si>
  <si>
    <t>49130 Ste-Gemmes-sur-Loire</t>
  </si>
  <si>
    <t>49230 Saint germain sur moine</t>
  </si>
  <si>
    <t>49120 St-Georges-des-Gardes</t>
  </si>
  <si>
    <t xml:space="preserve">49250 St-Georges-du-Bois </t>
  </si>
  <si>
    <t>49000 St-Jean-de-Linières</t>
  </si>
  <si>
    <t>49260 St-Just-sur-Dive</t>
  </si>
  <si>
    <t>49280 St-Léger-sous-Cholet</t>
  </si>
  <si>
    <t>49120 saint lezin</t>
  </si>
  <si>
    <t>49260 St-Macaire-du-Bois</t>
  </si>
  <si>
    <t>49450 St macaire en mauges</t>
  </si>
  <si>
    <t>49150 St-Martin-d'Arcé</t>
  </si>
  <si>
    <t>49160 St-Martin-de-la-Place</t>
  </si>
  <si>
    <t>49250 St-Mathurin-sur-Loire</t>
  </si>
  <si>
    <t>49610 St-Melaine-sur-Aubance</t>
  </si>
  <si>
    <t>49310 St-Paul-du-Bois</t>
  </si>
  <si>
    <t>49160 St-Philbert-du-Peuple</t>
  </si>
  <si>
    <t>49250 St-Rémy-la-Varenne</t>
  </si>
  <si>
    <t>49320 St-Sulpice</t>
  </si>
  <si>
    <t>49480 St-Sylvain-d'Anjou</t>
  </si>
  <si>
    <t>49320 Saulgé-l'Hôpital</t>
  </si>
  <si>
    <t>49400 Saumur</t>
  </si>
  <si>
    <t>49140 Seiches-sur-le-Loir</t>
  </si>
  <si>
    <t>49140 Sermaise</t>
  </si>
  <si>
    <t>49610 Soulaines-sur-Aubance</t>
  </si>
  <si>
    <t>49400 Souzay-Champigny</t>
  </si>
  <si>
    <t>49310 Tancoigné</t>
  </si>
  <si>
    <t>49380 Thouarcé</t>
  </si>
  <si>
    <t>49540 Tigné</t>
  </si>
  <si>
    <t>49230 tillères</t>
  </si>
  <si>
    <t>49660 torfou</t>
  </si>
  <si>
    <t>49360 Toutlemonde</t>
  </si>
  <si>
    <t>49800 Trélazé</t>
  </si>
  <si>
    <t>49340 Trémentines</t>
  </si>
  <si>
    <t>49310 Trémont</t>
  </si>
  <si>
    <t>49730 Turquant</t>
  </si>
  <si>
    <t>49730 Varennes-sur-Loire</t>
  </si>
  <si>
    <t>49400 Varrains</t>
  </si>
  <si>
    <t>49260 Vaudelnay</t>
  </si>
  <si>
    <t>49150 Vaulandry</t>
  </si>
  <si>
    <t>49390 Vernantes</t>
  </si>
  <si>
    <t>49390 Vernoil</t>
  </si>
  <si>
    <t>49400 Verrie</t>
  </si>
  <si>
    <t>49340 Vezins</t>
  </si>
  <si>
    <t>49310 Vihiers</t>
  </si>
  <si>
    <t>49400 Villebernier</t>
  </si>
  <si>
    <t>49450 villedieu la blouere</t>
  </si>
  <si>
    <t>49680 Vivy</t>
  </si>
  <si>
    <t>49360 yzernay</t>
  </si>
  <si>
    <t>JAMAIN Transport</t>
  </si>
  <si>
    <r>
      <t>JAMAIN Transport Enlevement</t>
    </r>
    <r>
      <rPr>
        <sz val="11"/>
        <rFont val="Calibri"/>
        <family val="2"/>
        <scheme val="minor"/>
      </rPr>
      <t xml:space="preserve"> à 17h00</t>
    </r>
  </si>
  <si>
    <t xml:space="preserve">Livraison dans le 49 </t>
  </si>
  <si>
    <t>Livraison dans 79</t>
  </si>
  <si>
    <t>79600 Airvault</t>
  </si>
  <si>
    <r>
      <rPr>
        <sz val="9.5"/>
        <rFont val="Verdana"/>
        <family val="2"/>
      </rPr>
      <t>Argenton l'église</t>
    </r>
  </si>
  <si>
    <t>79290 Argenton Les Vallées</t>
  </si>
  <si>
    <t>79300 Bréssuire</t>
  </si>
  <si>
    <t>79290 Bouillé Loretz</t>
  </si>
  <si>
    <t>79290 Bouillé Saint Paul</t>
  </si>
  <si>
    <r>
      <rPr>
        <sz val="9.5"/>
        <rFont val="Verdana"/>
        <family val="2"/>
      </rPr>
      <t>Brion Près De Thouet</t>
    </r>
  </si>
  <si>
    <t>79290 Breuil La Chaussée</t>
  </si>
  <si>
    <t>79290 Cersay</t>
  </si>
  <si>
    <t>79140 Cerizay</t>
  </si>
  <si>
    <t>79140 Cirières</t>
  </si>
  <si>
    <t>79350 Chiche</t>
  </si>
  <si>
    <t>79300 Chambroutet</t>
  </si>
  <si>
    <t>79350 Clesse</t>
  </si>
  <si>
    <t>79440 Courlais</t>
  </si>
  <si>
    <t>79350 Faye L'Abesse</t>
  </si>
  <si>
    <t>79430 La Chapelle Saint laurent</t>
  </si>
  <si>
    <t>79380 La Forêt sur Sèvres</t>
  </si>
  <si>
    <t>79150 Le Breuil Sous Argenton</t>
  </si>
  <si>
    <t>79700 Loublande</t>
  </si>
  <si>
    <t>79100 Louzy</t>
  </si>
  <si>
    <t>79100 Mauze Thouarsais</t>
  </si>
  <si>
    <t>79320 Moncoutant</t>
  </si>
  <si>
    <t>79140 Montigny</t>
  </si>
  <si>
    <t>79320 Moutiers Chantemerle</t>
  </si>
  <si>
    <t>79150 Moutiers Sous Argenton</t>
  </si>
  <si>
    <t>79300 Noirterre</t>
  </si>
  <si>
    <t>79100 oirais</t>
  </si>
  <si>
    <t>Pas de jeu</t>
  </si>
  <si>
    <t>79100 Saint généroux</t>
  </si>
  <si>
    <t>79100 Saint Jean de Thouars</t>
  </si>
  <si>
    <t>79600 Saint Jouin De Marnes</t>
  </si>
  <si>
    <r>
      <t xml:space="preserve">79100 Saint </t>
    </r>
    <r>
      <rPr>
        <sz val="9.5"/>
        <rFont val="Verdana"/>
        <family val="2"/>
      </rPr>
      <t>léger de Montbrun</t>
    </r>
  </si>
  <si>
    <t>79150 Saint Maurice LaFouciereuse</t>
  </si>
  <si>
    <t>79380 Saint Marsault</t>
  </si>
  <si>
    <t xml:space="preserve">79100 Saint Radegonde </t>
  </si>
  <si>
    <t>79300 Saint Sauveur</t>
  </si>
  <si>
    <t>79330 Saint Varent</t>
  </si>
  <si>
    <t>79100 Sainte Verge</t>
  </si>
  <si>
    <t>79100 Taizé</t>
  </si>
  <si>
    <t>79300 Terves</t>
  </si>
  <si>
    <t>79600 Tessonnière</t>
  </si>
  <si>
    <t>79100 Thouars</t>
  </si>
  <si>
    <t>79150 Vouitegon</t>
  </si>
  <si>
    <t>Livraison dans 37</t>
  </si>
  <si>
    <t xml:space="preserve">Livraison dans 86 </t>
  </si>
  <si>
    <t>79290 Argenton l'église</t>
  </si>
  <si>
    <t>79100 Pas de jeu</t>
  </si>
  <si>
    <t>37420 Avoines</t>
  </si>
  <si>
    <t>37420 Beaumont en véron</t>
  </si>
  <si>
    <t>37140 Benais</t>
  </si>
  <si>
    <t>37140 Bourgueil</t>
  </si>
  <si>
    <t>37330 Channay Sur Lathan</t>
  </si>
  <si>
    <t>37500 Chinon</t>
  </si>
  <si>
    <t>37140 Chouzé Sur Loire</t>
  </si>
  <si>
    <t>37130 Cinq Mars La Pile</t>
  </si>
  <si>
    <t>37340 Continvoir</t>
  </si>
  <si>
    <t>37340 Gizeux</t>
  </si>
  <si>
    <t>37340 Hommes</t>
  </si>
  <si>
    <t>37420 Huismes</t>
  </si>
  <si>
    <t>37140 La Chapelle Sur Loire</t>
  </si>
  <si>
    <t>37130 Langeais</t>
  </si>
  <si>
    <t>37500 Marcay</t>
  </si>
  <si>
    <t>37140 Restigné</t>
  </si>
  <si>
    <t>37500 Saint Germain Sur Vienne</t>
  </si>
  <si>
    <t>37330 Saint Laurent du lin</t>
  </si>
  <si>
    <t>37140 Saint Nicolas De Bourgeuil</t>
  </si>
  <si>
    <t>37340 Savigné Sur Lathan</t>
  </si>
  <si>
    <t>37420 Savigny en Véron</t>
  </si>
  <si>
    <t>86330 Angliers</t>
  </si>
  <si>
    <t>86120 Beuxes</t>
  </si>
  <si>
    <t>86120 Curcay sur dives</t>
  </si>
  <si>
    <t>86200 Glénouze</t>
  </si>
  <si>
    <t>86120 Les trois Moutiers</t>
  </si>
  <si>
    <t>8620o Loudun</t>
  </si>
  <si>
    <t>86330 Martaize</t>
  </si>
  <si>
    <t>86200 Messemé</t>
  </si>
  <si>
    <t>86420 Mont Sur Guesne</t>
  </si>
  <si>
    <t>86330 Montcontour</t>
  </si>
  <si>
    <t>86120 Morton</t>
  </si>
  <si>
    <t>86120 Motte Bourbon</t>
  </si>
  <si>
    <t>86200 Mouterre Silly</t>
  </si>
  <si>
    <t>86120 Puancay</t>
  </si>
  <si>
    <t>86200 Roche Rigault</t>
  </si>
  <si>
    <t>86120 Rolffé</t>
  </si>
  <si>
    <t>86120 saint léger de montbrillais</t>
  </si>
  <si>
    <t>86200 Sammarçolles</t>
  </si>
  <si>
    <t>86120 Ternay</t>
  </si>
  <si>
    <t>86200 Ceaux en Loudun</t>
  </si>
  <si>
    <t xml:space="preserve">Livraison dans le 85 </t>
  </si>
  <si>
    <t>85290 Montagne sur sevres</t>
  </si>
  <si>
    <t>85290 Saint laurent sur sevres</t>
  </si>
  <si>
    <t>72200 La Flèche</t>
  </si>
  <si>
    <t>72200 Bazouge Sur Le Loir</t>
  </si>
  <si>
    <t>Livraison dans le 72</t>
  </si>
  <si>
    <t>49, 79, 37, 86, 85,72</t>
  </si>
  <si>
    <t>ATTENTION ! Jamin transport livre uniquement quelques villes des DPT</t>
  </si>
  <si>
    <t xml:space="preserve">Veuillez selectionner le CP/VILLE pour Jamin Trasport </t>
  </si>
  <si>
    <r>
      <t xml:space="preserve">Geodis - Enlèvement à </t>
    </r>
    <r>
      <rPr>
        <b/>
        <sz val="11"/>
        <color theme="1"/>
        <rFont val="Calibri"/>
        <family val="2"/>
        <scheme val="minor"/>
      </rPr>
      <t>15h00</t>
    </r>
  </si>
  <si>
    <r>
      <t xml:space="preserve">Livraison </t>
    </r>
    <r>
      <rPr>
        <b/>
        <sz val="11"/>
        <color theme="1"/>
        <rFont val="Calibri"/>
        <family val="2"/>
        <scheme val="minor"/>
      </rPr>
      <t xml:space="preserve">J+2 </t>
    </r>
    <r>
      <rPr>
        <sz val="11"/>
        <color theme="1"/>
        <rFont val="Calibri"/>
        <family val="2"/>
        <scheme val="minor"/>
      </rPr>
      <t xml:space="preserve">matin </t>
    </r>
    <r>
      <rPr>
        <b/>
        <sz val="11"/>
        <color theme="1"/>
        <rFont val="Calibri"/>
        <family val="2"/>
        <scheme val="minor"/>
      </rPr>
      <t xml:space="preserve">sauf zone 6 - 7 </t>
    </r>
  </si>
  <si>
    <t>Trasporteur le moins cher</t>
  </si>
  <si>
    <r>
      <t xml:space="preserve">Livraison </t>
    </r>
    <r>
      <rPr>
        <b/>
        <sz val="11"/>
        <color theme="1"/>
        <rFont val="Calibri"/>
        <family val="2"/>
        <scheme val="minor"/>
      </rPr>
      <t>J+2 13h - 15h45</t>
    </r>
  </si>
  <si>
    <r>
      <t xml:space="preserve">Livraison  </t>
    </r>
    <r>
      <rPr>
        <b/>
        <sz val="11"/>
        <color theme="1"/>
        <rFont val="Calibri"/>
        <family val="2"/>
        <scheme val="minor"/>
      </rPr>
      <t>J+2 13h - 15h45</t>
    </r>
  </si>
  <si>
    <t>Colissimo Dimicile sans signature depot poste</t>
  </si>
  <si>
    <t>DG Courriers (colissimo +15%)</t>
  </si>
  <si>
    <t xml:space="preserve">COLISSIMO DOMICILE </t>
  </si>
  <si>
    <t>livraison sans signature sous 48h (jours ouvrés)</t>
  </si>
  <si>
    <t>Prix colissimo domicile sans signature</t>
  </si>
  <si>
    <t>COLISSIMO PICK UP &gt; enlevement avant 15h45 2€ la collecte +1 €/colis</t>
  </si>
  <si>
    <t>Geodis Express 24h</t>
  </si>
  <si>
    <t>GEOIS</t>
  </si>
  <si>
    <t>TNT TARIF 2019</t>
  </si>
  <si>
    <t>MATRICE</t>
  </si>
  <si>
    <t>Tarif majoration  10%</t>
  </si>
  <si>
    <t>TARIF +12% SURCHAGE CARBURANT</t>
  </si>
  <si>
    <t>AVEC TAXES 12% SURCHAGE CARBURANT</t>
  </si>
  <si>
    <t>TNT avec 12% carburant</t>
  </si>
  <si>
    <t>z8</t>
  </si>
  <si>
    <t>z9</t>
  </si>
  <si>
    <t>z10</t>
  </si>
  <si>
    <t>z11</t>
  </si>
  <si>
    <t>GEODIS</t>
  </si>
  <si>
    <t>MESSAGERIE</t>
  </si>
  <si>
    <t xml:space="preserve">PLUS </t>
  </si>
  <si>
    <t>AVEC TAXES</t>
  </si>
  <si>
    <t>15% TX</t>
  </si>
  <si>
    <t>DE SURCHARGE</t>
  </si>
  <si>
    <t>DE CARBURANT</t>
  </si>
  <si>
    <t>Geodis Messagerie 48H TX 15%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</si>
</sst>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name val="Verdana"/>
      <family val="2"/>
    </font>
    <font>
      <sz val="9"/>
      <name val="Verdana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.5"/>
      <name val="Verdana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9">
    <xf numFmtId="0" fontId="0" fillId="0" borderId="0" xfId="0"/>
    <xf numFmtId="0" fontId="2" fillId="0" borderId="1" xfId="0" applyFont="1" applyBorder="1"/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 vertical="center"/>
    </xf>
    <xf numFmtId="0" fontId="0" fillId="0" borderId="1" xfId="0" applyBorder="1"/>
    <xf numFmtId="44" fontId="0" fillId="0" borderId="1" xfId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44" fontId="0" fillId="0" borderId="10" xfId="1" applyFont="1" applyBorder="1"/>
    <xf numFmtId="44" fontId="0" fillId="0" borderId="11" xfId="1" applyFont="1" applyBorder="1"/>
    <xf numFmtId="44" fontId="0" fillId="0" borderId="12" xfId="1" applyFont="1" applyBorder="1"/>
    <xf numFmtId="44" fontId="0" fillId="0" borderId="5" xfId="1" applyFont="1" applyBorder="1"/>
    <xf numFmtId="44" fontId="0" fillId="0" borderId="9" xfId="1" applyFont="1" applyBorder="1"/>
    <xf numFmtId="44" fontId="0" fillId="0" borderId="11" xfId="1" applyFont="1" applyFill="1" applyBorder="1"/>
    <xf numFmtId="44" fontId="0" fillId="0" borderId="12" xfId="1" applyFont="1" applyFill="1" applyBorder="1"/>
    <xf numFmtId="44" fontId="0" fillId="0" borderId="5" xfId="1" applyFont="1" applyFill="1" applyBorder="1"/>
    <xf numFmtId="44" fontId="0" fillId="0" borderId="9" xfId="1" applyFont="1" applyFill="1" applyBorder="1"/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Fill="1" applyBorder="1"/>
    <xf numFmtId="44" fontId="0" fillId="0" borderId="1" xfId="1" applyFont="1" applyBorder="1" applyAlignmen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4" xfId="0" applyBorder="1" applyAlignment="1"/>
    <xf numFmtId="0" fontId="0" fillId="0" borderId="0" xfId="0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3" xfId="0" applyBorder="1" applyAlignment="1"/>
    <xf numFmtId="0" fontId="0" fillId="0" borderId="3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7" fillId="0" borderId="1" xfId="0" applyFont="1" applyBorder="1"/>
    <xf numFmtId="0" fontId="6" fillId="0" borderId="1" xfId="0" applyFont="1" applyBorder="1"/>
    <xf numFmtId="0" fontId="0" fillId="0" borderId="3" xfId="0" applyFill="1" applyBorder="1"/>
    <xf numFmtId="0" fontId="0" fillId="3" borderId="0" xfId="0" applyFill="1"/>
    <xf numFmtId="0" fontId="0" fillId="3" borderId="1" xfId="0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44" fontId="0" fillId="3" borderId="1" xfId="1" applyFont="1" applyFill="1" applyBorder="1" applyAlignment="1">
      <alignment horizontal="center" wrapText="1"/>
    </xf>
    <xf numFmtId="44" fontId="0" fillId="0" borderId="1" xfId="1" applyFont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44" fontId="0" fillId="2" borderId="1" xfId="0" applyNumberFormat="1" applyFill="1" applyBorder="1"/>
    <xf numFmtId="0" fontId="0" fillId="0" borderId="0" xfId="0" applyBorder="1" applyAlignment="1"/>
    <xf numFmtId="0" fontId="0" fillId="2" borderId="1" xfId="0" applyFill="1" applyBorder="1"/>
    <xf numFmtId="0" fontId="2" fillId="0" borderId="0" xfId="0" applyFont="1"/>
    <xf numFmtId="0" fontId="0" fillId="2" borderId="0" xfId="0" applyFill="1"/>
    <xf numFmtId="2" fontId="0" fillId="2" borderId="1" xfId="0" applyNumberFormat="1" applyFill="1" applyBorder="1" applyAlignment="1">
      <alignment horizontal="center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2" xfId="0" applyFill="1" applyBorder="1" applyAlignment="1">
      <alignment horizontal="center"/>
    </xf>
    <xf numFmtId="44" fontId="0" fillId="0" borderId="2" xfId="1" applyFont="1" applyBorder="1"/>
    <xf numFmtId="44" fontId="0" fillId="0" borderId="3" xfId="1" applyFont="1" applyBorder="1"/>
    <xf numFmtId="44" fontId="0" fillId="0" borderId="6" xfId="1" applyFont="1" applyBorder="1"/>
    <xf numFmtId="44" fontId="0" fillId="0" borderId="2" xfId="1" applyFont="1" applyFill="1" applyBorder="1"/>
    <xf numFmtId="44" fontId="0" fillId="0" borderId="3" xfId="1" applyFont="1" applyFill="1" applyBorder="1"/>
    <xf numFmtId="44" fontId="0" fillId="0" borderId="6" xfId="1" applyFont="1" applyFill="1" applyBorder="1"/>
    <xf numFmtId="0" fontId="8" fillId="2" borderId="1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22</xdr:row>
      <xdr:rowOff>40595</xdr:rowOff>
    </xdr:from>
    <xdr:to>
      <xdr:col>2</xdr:col>
      <xdr:colOff>1866477</xdr:colOff>
      <xdr:row>44</xdr:row>
      <xdr:rowOff>119585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7ABCA3F-9AD3-4B62-97D7-E15363E02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9787"/>
          <a:ext cx="5732507" cy="41427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1196613</xdr:colOff>
      <xdr:row>4</xdr:row>
      <xdr:rowOff>173355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1E0EA2E-7EA7-403B-87A1-D2B01F81E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419873" cy="904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B1:K33"/>
  <sheetViews>
    <sheetView tabSelected="1" zoomScale="85" zoomScaleNormal="85" workbookViewId="0">
      <selection activeCell="D6" sqref="D6"/>
    </sheetView>
  </sheetViews>
  <sheetFormatPr baseColWidth="10" defaultRowHeight="14.4" x14ac:dyDescent="0.3"/>
  <cols>
    <col min="1" max="1" width="5.109375" customWidth="1"/>
    <col min="2" max="2" width="50" customWidth="1"/>
    <col min="3" max="3" width="34.109375" customWidth="1"/>
    <col min="4" max="4" width="20.5546875" style="11" customWidth="1"/>
    <col min="6" max="6" width="58.6640625" customWidth="1"/>
  </cols>
  <sheetData>
    <row r="1" spans="2:11" x14ac:dyDescent="0.3">
      <c r="B1" s="53"/>
    </row>
    <row r="2" spans="2:11" x14ac:dyDescent="0.3">
      <c r="B2" s="29"/>
      <c r="H2" s="57"/>
      <c r="I2" s="57"/>
      <c r="J2" s="57"/>
      <c r="K2" s="57"/>
    </row>
    <row r="3" spans="2:11" x14ac:dyDescent="0.3">
      <c r="H3" s="57"/>
      <c r="I3" s="57"/>
      <c r="J3" s="57"/>
      <c r="K3" s="57"/>
    </row>
    <row r="4" spans="2:11" x14ac:dyDescent="0.3">
      <c r="F4" s="23" t="s">
        <v>159</v>
      </c>
    </row>
    <row r="5" spans="2:11" x14ac:dyDescent="0.3">
      <c r="B5" s="2" t="s">
        <v>118</v>
      </c>
      <c r="C5" s="4" t="s">
        <v>10</v>
      </c>
      <c r="F5" s="43" t="s">
        <v>160</v>
      </c>
    </row>
    <row r="6" spans="2:11" x14ac:dyDescent="0.3">
      <c r="B6" s="2" t="s">
        <v>119</v>
      </c>
      <c r="C6" s="2">
        <v>25</v>
      </c>
      <c r="D6" s="22"/>
      <c r="F6" s="40" t="s">
        <v>162</v>
      </c>
    </row>
    <row r="7" spans="2:11" x14ac:dyDescent="0.3">
      <c r="B7" s="55" t="s">
        <v>481</v>
      </c>
      <c r="C7" s="56">
        <f>MIN(C9:C15)</f>
        <v>6.8031199999999998</v>
      </c>
      <c r="F7" s="24" t="s">
        <v>163</v>
      </c>
    </row>
    <row r="8" spans="2:11" x14ac:dyDescent="0.3">
      <c r="B8" s="2"/>
      <c r="C8" s="4"/>
      <c r="D8" s="2" t="s">
        <v>130</v>
      </c>
      <c r="F8" s="24" t="s">
        <v>172</v>
      </c>
    </row>
    <row r="9" spans="2:11" x14ac:dyDescent="0.3">
      <c r="B9" s="2" t="s">
        <v>120</v>
      </c>
      <c r="C9" s="5">
        <f>IF(ISBLANK(C6),"",VLOOKUP(ROUNDUP(C6,),Chronopost!A:B,2,TRUE))</f>
        <v>27.65</v>
      </c>
      <c r="D9" s="2" t="s">
        <v>129</v>
      </c>
      <c r="F9" s="42" t="s">
        <v>161</v>
      </c>
    </row>
    <row r="10" spans="2:11" x14ac:dyDescent="0.3">
      <c r="B10" s="2" t="s">
        <v>121</v>
      </c>
      <c r="C10" s="51">
        <f>SUMPRODUCT(('FA 49'!B10:F10=D10)*('FA 49'!A11:A259=ROUNDUP(C6,))*('FA 49'!B11:F259))</f>
        <v>6.8031199999999998</v>
      </c>
      <c r="D10" s="48" t="str">
        <f>IF(ISBLANK(C5),"",VLOOKUP(C5,'BD DÉpart Geodis'!A:C,3,FALSE))</f>
        <v>z1</v>
      </c>
      <c r="F10" s="24" t="s">
        <v>165</v>
      </c>
    </row>
    <row r="11" spans="2:11" ht="15.6" customHeight="1" x14ac:dyDescent="0.3">
      <c r="B11" s="2" t="s">
        <v>490</v>
      </c>
      <c r="C11" s="52">
        <f>SUMPRODUCT(('Geodis  EXPRESS 24H'!$B$10:$I$10=D11)*('Geodis  EXPRESS 24H'!$A$11:$A$110=ROUNDUP(C6,))*('Geodis  EXPRESS 24H'!$B$11:$I$110))</f>
        <v>22.29</v>
      </c>
      <c r="D11" s="2" t="str">
        <f>IF(ISBLANK(C5),"",VLOOKUP(C5,'BD DÉpart Geodis'!A:B,2,FALSE))</f>
        <v>z1</v>
      </c>
      <c r="F11" s="24" t="s">
        <v>166</v>
      </c>
    </row>
    <row r="12" spans="2:11" x14ac:dyDescent="0.3">
      <c r="B12" s="50" t="s">
        <v>497</v>
      </c>
      <c r="C12" s="5">
        <f>LOOKUP(C6,TNT!A8:A37,TNT!C8:C37)</f>
        <v>31.785600000000002</v>
      </c>
      <c r="D12" s="2" t="s">
        <v>129</v>
      </c>
      <c r="F12" s="41" t="s">
        <v>164</v>
      </c>
    </row>
    <row r="13" spans="2:11" x14ac:dyDescent="0.3">
      <c r="B13" s="2" t="s">
        <v>484</v>
      </c>
      <c r="C13" s="5">
        <f>LOOKUP(C6,Colissimo!A9:A41,Colissimo!B9:B41)</f>
        <v>27.53</v>
      </c>
      <c r="D13" s="2" t="s">
        <v>129</v>
      </c>
    </row>
    <row r="14" spans="2:11" x14ac:dyDescent="0.3">
      <c r="B14" s="50" t="s">
        <v>485</v>
      </c>
      <c r="C14" s="5">
        <f>C13*1.15</f>
        <v>31.659499999999998</v>
      </c>
      <c r="D14" s="2" t="s">
        <v>157</v>
      </c>
      <c r="F14" s="23" t="s">
        <v>170</v>
      </c>
    </row>
    <row r="15" spans="2:11" x14ac:dyDescent="0.3">
      <c r="B15" s="50" t="s">
        <v>158</v>
      </c>
      <c r="C15" s="5">
        <f>C13+3</f>
        <v>30.53</v>
      </c>
      <c r="D15" s="2" t="s">
        <v>129</v>
      </c>
      <c r="F15" s="25" t="s">
        <v>171</v>
      </c>
    </row>
    <row r="16" spans="2:11" x14ac:dyDescent="0.3">
      <c r="B16" s="50" t="s">
        <v>377</v>
      </c>
      <c r="C16" s="5">
        <f>LOOKUP(C6,'Jamin Trasport'!A11:A109,'Jamin Trasport'!B11:B109)</f>
        <v>6.5</v>
      </c>
      <c r="D16" s="49" t="s">
        <v>476</v>
      </c>
    </row>
    <row r="17" spans="2:9" x14ac:dyDescent="0.3">
      <c r="B17" s="40" t="s">
        <v>509</v>
      </c>
      <c r="C17">
        <f>SUMPRODUCT(('Geodis  EXPRESS 24H'!$B$10:$I$10=D17)*('Geodis  EXPRESS 24H'!$A$11:$A$110=ROUNDUP(C6,))*('Geodis  EXPRESS 24H'!$B$11:$I$110))</f>
        <v>0</v>
      </c>
      <c r="F17" s="23" t="s">
        <v>479</v>
      </c>
    </row>
    <row r="18" spans="2:9" x14ac:dyDescent="0.3">
      <c r="F18" s="25" t="s">
        <v>480</v>
      </c>
    </row>
    <row r="19" spans="2:9" x14ac:dyDescent="0.3">
      <c r="B19" s="84" t="s">
        <v>477</v>
      </c>
      <c r="C19" s="84"/>
    </row>
    <row r="20" spans="2:9" x14ac:dyDescent="0.3">
      <c r="B20" s="84" t="s">
        <v>476</v>
      </c>
      <c r="C20" s="84"/>
    </row>
    <row r="21" spans="2:9" x14ac:dyDescent="0.3">
      <c r="B21" s="84" t="s">
        <v>478</v>
      </c>
      <c r="C21" s="84"/>
      <c r="F21" s="23" t="s">
        <v>167</v>
      </c>
    </row>
    <row r="22" spans="2:9" x14ac:dyDescent="0.3">
      <c r="B22" s="54"/>
      <c r="C22" s="54"/>
      <c r="F22" s="25" t="s">
        <v>482</v>
      </c>
    </row>
    <row r="23" spans="2:9" x14ac:dyDescent="0.3">
      <c r="B23" s="54"/>
      <c r="C23" s="54"/>
    </row>
    <row r="24" spans="2:9" x14ac:dyDescent="0.3">
      <c r="B24" s="54"/>
      <c r="C24" s="54"/>
      <c r="F24" s="23" t="s">
        <v>168</v>
      </c>
    </row>
    <row r="25" spans="2:9" x14ac:dyDescent="0.3">
      <c r="B25" s="54"/>
      <c r="C25" s="54"/>
      <c r="F25" s="25" t="s">
        <v>483</v>
      </c>
    </row>
    <row r="26" spans="2:9" x14ac:dyDescent="0.3">
      <c r="B26" s="54"/>
      <c r="C26" s="54"/>
      <c r="F26" s="28"/>
    </row>
    <row r="27" spans="2:9" x14ac:dyDescent="0.3">
      <c r="F27" s="23" t="s">
        <v>169</v>
      </c>
    </row>
    <row r="28" spans="2:9" x14ac:dyDescent="0.3">
      <c r="F28" s="25" t="s">
        <v>173</v>
      </c>
    </row>
    <row r="29" spans="2:9" x14ac:dyDescent="0.3">
      <c r="F29" s="28"/>
    </row>
    <row r="30" spans="2:9" x14ac:dyDescent="0.3">
      <c r="F30" s="2" t="s">
        <v>378</v>
      </c>
      <c r="G30" s="57"/>
      <c r="H30" s="57"/>
      <c r="I30" s="57"/>
    </row>
    <row r="31" spans="2:9" x14ac:dyDescent="0.3">
      <c r="F31" s="2" t="s">
        <v>171</v>
      </c>
      <c r="G31" s="57"/>
      <c r="H31" s="57"/>
      <c r="I31" s="57"/>
    </row>
    <row r="32" spans="2:9" x14ac:dyDescent="0.3">
      <c r="F32" s="29"/>
      <c r="G32" s="29"/>
      <c r="H32" s="29"/>
      <c r="I32" s="29"/>
    </row>
    <row r="33" spans="6:6" x14ac:dyDescent="0.3">
      <c r="F33" s="28"/>
    </row>
  </sheetData>
  <mergeCells count="3">
    <mergeCell ref="B19:C19"/>
    <mergeCell ref="B20:C20"/>
    <mergeCell ref="B21:C2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'BD DÉpart Geodis'!$A$2:$A$396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0:L259"/>
  <sheetViews>
    <sheetView zoomScale="70" zoomScaleNormal="70" workbookViewId="0">
      <selection activeCell="H70" sqref="H70"/>
    </sheetView>
  </sheetViews>
  <sheetFormatPr baseColWidth="10" defaultRowHeight="14.4" x14ac:dyDescent="0.3"/>
  <cols>
    <col min="1" max="1" width="14" customWidth="1"/>
    <col min="2" max="2" width="10.5546875" customWidth="1"/>
    <col min="3" max="3" width="18.88671875" customWidth="1"/>
    <col min="4" max="4" width="31.44140625" customWidth="1"/>
    <col min="5" max="5" width="24.88671875" customWidth="1"/>
    <col min="6" max="6" width="77.44140625" customWidth="1"/>
    <col min="8" max="8" width="20.44140625" customWidth="1"/>
    <col min="9" max="9" width="19.44140625" customWidth="1"/>
    <col min="10" max="10" width="25.44140625" customWidth="1"/>
    <col min="11" max="11" width="22.44140625" customWidth="1"/>
    <col min="12" max="12" width="25.88671875" customWidth="1"/>
  </cols>
  <sheetData>
    <row r="10" spans="1:12" x14ac:dyDescent="0.3">
      <c r="A10" s="1" t="s">
        <v>4</v>
      </c>
      <c r="B10" s="1" t="s">
        <v>5</v>
      </c>
      <c r="C10" s="1" t="s">
        <v>6</v>
      </c>
      <c r="D10" s="1" t="s">
        <v>7</v>
      </c>
      <c r="E10" s="1" t="s">
        <v>8</v>
      </c>
      <c r="F10" s="1" t="s">
        <v>9</v>
      </c>
      <c r="H10" s="4" t="s">
        <v>5</v>
      </c>
      <c r="I10" s="4" t="s">
        <v>6</v>
      </c>
      <c r="J10" s="4" t="s">
        <v>7</v>
      </c>
      <c r="K10" s="4" t="s">
        <v>8</v>
      </c>
      <c r="L10" s="4" t="s">
        <v>9</v>
      </c>
    </row>
    <row r="11" spans="1:12" x14ac:dyDescent="0.3">
      <c r="A11" s="2">
        <v>1</v>
      </c>
      <c r="B11" s="5">
        <f>6.48*1.019+0.2</f>
        <v>6.8031199999999998</v>
      </c>
      <c r="C11" s="5">
        <f>15.07*1.019+0.2</f>
        <v>15.556329999999997</v>
      </c>
      <c r="D11" s="5">
        <f>31.37*1.019+0.2</f>
        <v>32.166029999999999</v>
      </c>
      <c r="E11" s="5">
        <f>31.68*1.019+0.2</f>
        <v>32.481920000000002</v>
      </c>
      <c r="F11" s="5">
        <f>38.8*1.019+0.2</f>
        <v>39.737199999999994</v>
      </c>
      <c r="H11" s="4" t="s">
        <v>10</v>
      </c>
      <c r="I11" s="4" t="s">
        <v>11</v>
      </c>
      <c r="J11" s="4" t="s">
        <v>12</v>
      </c>
      <c r="K11" s="4" t="s">
        <v>13</v>
      </c>
      <c r="L11" s="4" t="s">
        <v>14</v>
      </c>
    </row>
    <row r="12" spans="1:12" x14ac:dyDescent="0.3">
      <c r="A12" s="2">
        <v>2</v>
      </c>
      <c r="B12" s="5">
        <f t="shared" ref="B12:B39" si="0">6.48*1.019+0.2</f>
        <v>6.8031199999999998</v>
      </c>
      <c r="C12" s="5">
        <f t="shared" ref="C12:C39" si="1">15.07*1.019+0.2</f>
        <v>15.556329999999997</v>
      </c>
      <c r="D12" s="5">
        <f t="shared" ref="D12:D39" si="2">31.37*1.019+0.2</f>
        <v>32.166029999999999</v>
      </c>
      <c r="E12" s="5">
        <f t="shared" ref="E12:E34" si="3">31.68*1.019+0.2</f>
        <v>32.481920000000002</v>
      </c>
      <c r="F12" s="5">
        <f t="shared" ref="F12:F19" si="4">38.8*1.019+0.2</f>
        <v>39.737199999999994</v>
      </c>
      <c r="H12" s="6"/>
      <c r="I12" s="4" t="s">
        <v>15</v>
      </c>
      <c r="J12" s="4" t="s">
        <v>16</v>
      </c>
      <c r="K12" s="4" t="s">
        <v>17</v>
      </c>
      <c r="L12" s="4" t="s">
        <v>18</v>
      </c>
    </row>
    <row r="13" spans="1:12" x14ac:dyDescent="0.3">
      <c r="A13" s="2">
        <v>3</v>
      </c>
      <c r="B13" s="5">
        <f t="shared" si="0"/>
        <v>6.8031199999999998</v>
      </c>
      <c r="C13" s="5">
        <f t="shared" si="1"/>
        <v>15.556329999999997</v>
      </c>
      <c r="D13" s="5">
        <f t="shared" si="2"/>
        <v>32.166029999999999</v>
      </c>
      <c r="E13" s="5">
        <f t="shared" si="3"/>
        <v>32.481920000000002</v>
      </c>
      <c r="F13" s="5">
        <f t="shared" si="4"/>
        <v>39.737199999999994</v>
      </c>
      <c r="H13" s="7"/>
      <c r="I13" s="4" t="s">
        <v>19</v>
      </c>
      <c r="J13" s="4" t="s">
        <v>20</v>
      </c>
      <c r="K13" s="4" t="s">
        <v>21</v>
      </c>
      <c r="L13" s="4" t="s">
        <v>22</v>
      </c>
    </row>
    <row r="14" spans="1:12" x14ac:dyDescent="0.3">
      <c r="A14" s="2">
        <v>4</v>
      </c>
      <c r="B14" s="5">
        <f t="shared" si="0"/>
        <v>6.8031199999999998</v>
      </c>
      <c r="C14" s="5">
        <f t="shared" si="1"/>
        <v>15.556329999999997</v>
      </c>
      <c r="D14" s="5">
        <f t="shared" si="2"/>
        <v>32.166029999999999</v>
      </c>
      <c r="E14" s="5">
        <f t="shared" si="3"/>
        <v>32.481920000000002</v>
      </c>
      <c r="F14" s="5">
        <f t="shared" si="4"/>
        <v>39.737199999999994</v>
      </c>
      <c r="H14" s="7"/>
      <c r="I14" s="4" t="s">
        <v>23</v>
      </c>
      <c r="J14" s="4" t="s">
        <v>24</v>
      </c>
      <c r="K14" s="4" t="s">
        <v>25</v>
      </c>
      <c r="L14" s="4" t="s">
        <v>26</v>
      </c>
    </row>
    <row r="15" spans="1:12" x14ac:dyDescent="0.3">
      <c r="A15" s="2">
        <v>5</v>
      </c>
      <c r="B15" s="5">
        <f t="shared" si="0"/>
        <v>6.8031199999999998</v>
      </c>
      <c r="C15" s="5">
        <f t="shared" si="1"/>
        <v>15.556329999999997</v>
      </c>
      <c r="D15" s="5">
        <f t="shared" si="2"/>
        <v>32.166029999999999</v>
      </c>
      <c r="E15" s="5">
        <f t="shared" si="3"/>
        <v>32.481920000000002</v>
      </c>
      <c r="F15" s="5">
        <f t="shared" si="4"/>
        <v>39.737199999999994</v>
      </c>
      <c r="H15" s="7"/>
      <c r="I15" s="4" t="s">
        <v>27</v>
      </c>
      <c r="J15" s="4" t="s">
        <v>28</v>
      </c>
      <c r="K15" s="4" t="s">
        <v>29</v>
      </c>
      <c r="L15" s="4" t="s">
        <v>30</v>
      </c>
    </row>
    <row r="16" spans="1:12" x14ac:dyDescent="0.3">
      <c r="A16" s="2">
        <v>6</v>
      </c>
      <c r="B16" s="5">
        <f t="shared" si="0"/>
        <v>6.8031199999999998</v>
      </c>
      <c r="C16" s="5">
        <f t="shared" si="1"/>
        <v>15.556329999999997</v>
      </c>
      <c r="D16" s="5">
        <f t="shared" si="2"/>
        <v>32.166029999999999</v>
      </c>
      <c r="E16" s="5">
        <f t="shared" si="3"/>
        <v>32.481920000000002</v>
      </c>
      <c r="F16" s="5">
        <f t="shared" si="4"/>
        <v>39.737199999999994</v>
      </c>
      <c r="H16" s="7"/>
      <c r="I16" s="4" t="s">
        <v>31</v>
      </c>
      <c r="J16" s="4" t="s">
        <v>32</v>
      </c>
      <c r="K16" s="4" t="s">
        <v>33</v>
      </c>
      <c r="L16" s="4" t="s">
        <v>34</v>
      </c>
    </row>
    <row r="17" spans="1:12" x14ac:dyDescent="0.3">
      <c r="A17" s="2">
        <v>7</v>
      </c>
      <c r="B17" s="5">
        <f t="shared" si="0"/>
        <v>6.8031199999999998</v>
      </c>
      <c r="C17" s="5">
        <f t="shared" si="1"/>
        <v>15.556329999999997</v>
      </c>
      <c r="D17" s="5">
        <f t="shared" si="2"/>
        <v>32.166029999999999</v>
      </c>
      <c r="E17" s="5">
        <f t="shared" si="3"/>
        <v>32.481920000000002</v>
      </c>
      <c r="F17" s="5">
        <f t="shared" si="4"/>
        <v>39.737199999999994</v>
      </c>
      <c r="H17" s="8"/>
      <c r="I17" s="9"/>
      <c r="J17" s="4" t="s">
        <v>35</v>
      </c>
      <c r="K17" s="4" t="s">
        <v>36</v>
      </c>
      <c r="L17" s="4" t="s">
        <v>37</v>
      </c>
    </row>
    <row r="18" spans="1:12" x14ac:dyDescent="0.3">
      <c r="A18" s="2">
        <v>8</v>
      </c>
      <c r="B18" s="5">
        <f t="shared" si="0"/>
        <v>6.8031199999999998</v>
      </c>
      <c r="C18" s="5">
        <f t="shared" si="1"/>
        <v>15.556329999999997</v>
      </c>
      <c r="D18" s="5">
        <f t="shared" si="2"/>
        <v>32.166029999999999</v>
      </c>
      <c r="E18" s="5">
        <f t="shared" si="3"/>
        <v>32.481920000000002</v>
      </c>
      <c r="F18" s="5">
        <f t="shared" si="4"/>
        <v>39.737199999999994</v>
      </c>
      <c r="H18" s="8"/>
      <c r="I18" s="9"/>
      <c r="J18" s="4" t="s">
        <v>38</v>
      </c>
      <c r="K18" s="6"/>
      <c r="L18" s="4" t="s">
        <v>39</v>
      </c>
    </row>
    <row r="19" spans="1:12" x14ac:dyDescent="0.3">
      <c r="A19" s="2">
        <v>9</v>
      </c>
      <c r="B19" s="5">
        <f t="shared" si="0"/>
        <v>6.8031199999999998</v>
      </c>
      <c r="C19" s="5">
        <f t="shared" si="1"/>
        <v>15.556329999999997</v>
      </c>
      <c r="D19" s="5">
        <f t="shared" si="2"/>
        <v>32.166029999999999</v>
      </c>
      <c r="E19" s="5">
        <f t="shared" si="3"/>
        <v>32.481920000000002</v>
      </c>
      <c r="F19" s="5">
        <f t="shared" si="4"/>
        <v>39.737199999999994</v>
      </c>
      <c r="H19" s="8"/>
      <c r="I19" s="9"/>
      <c r="J19" s="4" t="s">
        <v>40</v>
      </c>
      <c r="K19" s="10"/>
      <c r="L19" s="4" t="s">
        <v>41</v>
      </c>
    </row>
    <row r="20" spans="1:12" x14ac:dyDescent="0.3">
      <c r="A20" s="2">
        <v>10</v>
      </c>
      <c r="B20" s="5">
        <f t="shared" si="0"/>
        <v>6.8031199999999998</v>
      </c>
      <c r="C20" s="5">
        <f t="shared" si="1"/>
        <v>15.556329999999997</v>
      </c>
      <c r="D20" s="5">
        <f t="shared" si="2"/>
        <v>32.166029999999999</v>
      </c>
      <c r="E20" s="5">
        <f t="shared" si="3"/>
        <v>32.481920000000002</v>
      </c>
      <c r="F20" s="5">
        <f>47.22*1.019+0.2</f>
        <v>48.31718</v>
      </c>
      <c r="H20" s="85"/>
      <c r="I20" s="86"/>
      <c r="J20" s="86"/>
      <c r="K20" s="87"/>
      <c r="L20" s="4" t="s">
        <v>42</v>
      </c>
    </row>
    <row r="21" spans="1:12" x14ac:dyDescent="0.3">
      <c r="A21" s="2">
        <v>11</v>
      </c>
      <c r="B21" s="5">
        <f t="shared" si="0"/>
        <v>6.8031199999999998</v>
      </c>
      <c r="C21" s="5">
        <f t="shared" si="1"/>
        <v>15.556329999999997</v>
      </c>
      <c r="D21" s="5">
        <f t="shared" si="2"/>
        <v>32.166029999999999</v>
      </c>
      <c r="E21" s="5">
        <f t="shared" si="3"/>
        <v>32.481920000000002</v>
      </c>
      <c r="F21" s="5">
        <f t="shared" ref="F21:F29" si="5">47.22*1.019+0.2</f>
        <v>48.31718</v>
      </c>
      <c r="H21" s="85"/>
      <c r="I21" s="86"/>
      <c r="J21" s="86"/>
      <c r="K21" s="87"/>
      <c r="L21" s="4" t="s">
        <v>43</v>
      </c>
    </row>
    <row r="22" spans="1:12" x14ac:dyDescent="0.3">
      <c r="A22" s="2">
        <v>12</v>
      </c>
      <c r="B22" s="5">
        <f t="shared" si="0"/>
        <v>6.8031199999999998</v>
      </c>
      <c r="C22" s="5">
        <f t="shared" si="1"/>
        <v>15.556329999999997</v>
      </c>
      <c r="D22" s="5">
        <f t="shared" si="2"/>
        <v>32.166029999999999</v>
      </c>
      <c r="E22" s="5">
        <f t="shared" si="3"/>
        <v>32.481920000000002</v>
      </c>
      <c r="F22" s="5">
        <f t="shared" si="5"/>
        <v>48.31718</v>
      </c>
      <c r="H22" s="85"/>
      <c r="I22" s="86"/>
      <c r="J22" s="86"/>
      <c r="K22" s="87"/>
      <c r="L22" s="4" t="s">
        <v>44</v>
      </c>
    </row>
    <row r="23" spans="1:12" x14ac:dyDescent="0.3">
      <c r="A23" s="2">
        <v>13</v>
      </c>
      <c r="B23" s="5">
        <f t="shared" si="0"/>
        <v>6.8031199999999998</v>
      </c>
      <c r="C23" s="5">
        <f t="shared" si="1"/>
        <v>15.556329999999997</v>
      </c>
      <c r="D23" s="5">
        <f t="shared" si="2"/>
        <v>32.166029999999999</v>
      </c>
      <c r="E23" s="5">
        <f t="shared" si="3"/>
        <v>32.481920000000002</v>
      </c>
      <c r="F23" s="5">
        <f t="shared" si="5"/>
        <v>48.31718</v>
      </c>
      <c r="H23" s="85"/>
      <c r="I23" s="86"/>
      <c r="J23" s="86"/>
      <c r="K23" s="87"/>
      <c r="L23" s="4" t="s">
        <v>45</v>
      </c>
    </row>
    <row r="24" spans="1:12" x14ac:dyDescent="0.3">
      <c r="A24" s="2">
        <v>14</v>
      </c>
      <c r="B24" s="5">
        <f t="shared" si="0"/>
        <v>6.8031199999999998</v>
      </c>
      <c r="C24" s="5">
        <f t="shared" si="1"/>
        <v>15.556329999999997</v>
      </c>
      <c r="D24" s="5">
        <f t="shared" si="2"/>
        <v>32.166029999999999</v>
      </c>
      <c r="E24" s="5">
        <f t="shared" si="3"/>
        <v>32.481920000000002</v>
      </c>
      <c r="F24" s="5">
        <f t="shared" si="5"/>
        <v>48.31718</v>
      </c>
      <c r="H24" s="85"/>
      <c r="I24" s="86"/>
      <c r="J24" s="86"/>
      <c r="K24" s="87"/>
      <c r="L24" s="4" t="s">
        <v>46</v>
      </c>
    </row>
    <row r="25" spans="1:12" x14ac:dyDescent="0.3">
      <c r="A25" s="2">
        <v>15</v>
      </c>
      <c r="B25" s="5">
        <f t="shared" si="0"/>
        <v>6.8031199999999998</v>
      </c>
      <c r="C25" s="5">
        <f t="shared" si="1"/>
        <v>15.556329999999997</v>
      </c>
      <c r="D25" s="5">
        <f t="shared" si="2"/>
        <v>32.166029999999999</v>
      </c>
      <c r="E25" s="5">
        <f t="shared" si="3"/>
        <v>32.481920000000002</v>
      </c>
      <c r="F25" s="5">
        <f t="shared" si="5"/>
        <v>48.31718</v>
      </c>
      <c r="H25" s="85"/>
      <c r="I25" s="86"/>
      <c r="J25" s="86"/>
      <c r="K25" s="87"/>
      <c r="L25" s="4" t="s">
        <v>47</v>
      </c>
    </row>
    <row r="26" spans="1:12" x14ac:dyDescent="0.3">
      <c r="A26" s="2">
        <v>16</v>
      </c>
      <c r="B26" s="5">
        <f t="shared" si="0"/>
        <v>6.8031199999999998</v>
      </c>
      <c r="C26" s="5">
        <f t="shared" si="1"/>
        <v>15.556329999999997</v>
      </c>
      <c r="D26" s="5">
        <f t="shared" si="2"/>
        <v>32.166029999999999</v>
      </c>
      <c r="E26" s="5">
        <f t="shared" si="3"/>
        <v>32.481920000000002</v>
      </c>
      <c r="F26" s="5">
        <f t="shared" si="5"/>
        <v>48.31718</v>
      </c>
      <c r="H26" s="85"/>
      <c r="I26" s="86"/>
      <c r="J26" s="86"/>
      <c r="K26" s="87"/>
      <c r="L26" s="4" t="s">
        <v>48</v>
      </c>
    </row>
    <row r="27" spans="1:12" x14ac:dyDescent="0.3">
      <c r="A27" s="2">
        <v>17</v>
      </c>
      <c r="B27" s="5">
        <f t="shared" si="0"/>
        <v>6.8031199999999998</v>
      </c>
      <c r="C27" s="5">
        <f t="shared" si="1"/>
        <v>15.556329999999997</v>
      </c>
      <c r="D27" s="5">
        <f t="shared" si="2"/>
        <v>32.166029999999999</v>
      </c>
      <c r="E27" s="5">
        <f t="shared" si="3"/>
        <v>32.481920000000002</v>
      </c>
      <c r="F27" s="5">
        <f t="shared" si="5"/>
        <v>48.31718</v>
      </c>
      <c r="H27" s="85"/>
      <c r="I27" s="86"/>
      <c r="J27" s="86"/>
      <c r="K27" s="87"/>
      <c r="L27" s="4" t="s">
        <v>49</v>
      </c>
    </row>
    <row r="28" spans="1:12" x14ac:dyDescent="0.3">
      <c r="A28" s="2">
        <v>18</v>
      </c>
      <c r="B28" s="5">
        <f t="shared" si="0"/>
        <v>6.8031199999999998</v>
      </c>
      <c r="C28" s="5">
        <f t="shared" si="1"/>
        <v>15.556329999999997</v>
      </c>
      <c r="D28" s="5">
        <f t="shared" si="2"/>
        <v>32.166029999999999</v>
      </c>
      <c r="E28" s="5">
        <f t="shared" si="3"/>
        <v>32.481920000000002</v>
      </c>
      <c r="F28" s="5">
        <f t="shared" si="5"/>
        <v>48.31718</v>
      </c>
      <c r="H28" s="85"/>
      <c r="I28" s="86"/>
      <c r="J28" s="86"/>
      <c r="K28" s="87"/>
      <c r="L28" s="4" t="s">
        <v>50</v>
      </c>
    </row>
    <row r="29" spans="1:12" x14ac:dyDescent="0.3">
      <c r="A29" s="2">
        <v>19</v>
      </c>
      <c r="B29" s="5">
        <f t="shared" si="0"/>
        <v>6.8031199999999998</v>
      </c>
      <c r="C29" s="5">
        <f t="shared" si="1"/>
        <v>15.556329999999997</v>
      </c>
      <c r="D29" s="5">
        <f t="shared" si="2"/>
        <v>32.166029999999999</v>
      </c>
      <c r="E29" s="5">
        <f t="shared" si="3"/>
        <v>32.481920000000002</v>
      </c>
      <c r="F29" s="5">
        <f t="shared" si="5"/>
        <v>48.31718</v>
      </c>
      <c r="H29" s="85"/>
      <c r="I29" s="86"/>
      <c r="J29" s="86"/>
      <c r="K29" s="87"/>
      <c r="L29" s="4" t="s">
        <v>51</v>
      </c>
    </row>
    <row r="30" spans="1:12" x14ac:dyDescent="0.3">
      <c r="A30" s="2">
        <v>20</v>
      </c>
      <c r="B30" s="5">
        <f t="shared" si="0"/>
        <v>6.8031199999999998</v>
      </c>
      <c r="C30" s="5">
        <f t="shared" si="1"/>
        <v>15.556329999999997</v>
      </c>
      <c r="D30" s="5">
        <f t="shared" si="2"/>
        <v>32.166029999999999</v>
      </c>
      <c r="E30" s="5">
        <f t="shared" si="3"/>
        <v>32.481920000000002</v>
      </c>
      <c r="F30" s="5">
        <f>53.94*1.019+0.2</f>
        <v>55.164859999999997</v>
      </c>
      <c r="H30" s="85"/>
      <c r="I30" s="86"/>
      <c r="J30" s="86"/>
      <c r="K30" s="87"/>
      <c r="L30" s="4" t="s">
        <v>52</v>
      </c>
    </row>
    <row r="31" spans="1:12" x14ac:dyDescent="0.3">
      <c r="A31" s="2">
        <v>21</v>
      </c>
      <c r="B31" s="5">
        <f t="shared" si="0"/>
        <v>6.8031199999999998</v>
      </c>
      <c r="C31" s="5">
        <f t="shared" si="1"/>
        <v>15.556329999999997</v>
      </c>
      <c r="D31" s="5">
        <f t="shared" si="2"/>
        <v>32.166029999999999</v>
      </c>
      <c r="E31" s="5">
        <f t="shared" si="3"/>
        <v>32.481920000000002</v>
      </c>
      <c r="F31" s="5">
        <f t="shared" ref="F31:F39" si="6">53.94*1.019+0.2</f>
        <v>55.164859999999997</v>
      </c>
      <c r="H31" s="85"/>
      <c r="I31" s="86"/>
      <c r="J31" s="86"/>
      <c r="K31" s="87"/>
      <c r="L31" s="4" t="s">
        <v>53</v>
      </c>
    </row>
    <row r="32" spans="1:12" x14ac:dyDescent="0.3">
      <c r="A32" s="2">
        <v>22</v>
      </c>
      <c r="B32" s="5">
        <f t="shared" si="0"/>
        <v>6.8031199999999998</v>
      </c>
      <c r="C32" s="5">
        <f t="shared" si="1"/>
        <v>15.556329999999997</v>
      </c>
      <c r="D32" s="5">
        <f t="shared" si="2"/>
        <v>32.166029999999999</v>
      </c>
      <c r="E32" s="5">
        <f t="shared" si="3"/>
        <v>32.481920000000002</v>
      </c>
      <c r="F32" s="5">
        <f t="shared" si="6"/>
        <v>55.164859999999997</v>
      </c>
      <c r="H32" s="85"/>
      <c r="I32" s="86"/>
      <c r="J32" s="86"/>
      <c r="K32" s="87"/>
      <c r="L32" s="4" t="s">
        <v>54</v>
      </c>
    </row>
    <row r="33" spans="1:12" x14ac:dyDescent="0.3">
      <c r="A33" s="2">
        <v>23</v>
      </c>
      <c r="B33" s="5">
        <f t="shared" si="0"/>
        <v>6.8031199999999998</v>
      </c>
      <c r="C33" s="5">
        <f t="shared" si="1"/>
        <v>15.556329999999997</v>
      </c>
      <c r="D33" s="5">
        <f t="shared" si="2"/>
        <v>32.166029999999999</v>
      </c>
      <c r="E33" s="5">
        <f t="shared" si="3"/>
        <v>32.481920000000002</v>
      </c>
      <c r="F33" s="5">
        <f t="shared" si="6"/>
        <v>55.164859999999997</v>
      </c>
      <c r="H33" s="85"/>
      <c r="I33" s="86"/>
      <c r="J33" s="86"/>
      <c r="K33" s="87"/>
      <c r="L33" s="4" t="s">
        <v>55</v>
      </c>
    </row>
    <row r="34" spans="1:12" x14ac:dyDescent="0.3">
      <c r="A34" s="2">
        <v>24</v>
      </c>
      <c r="B34" s="5">
        <f t="shared" si="0"/>
        <v>6.8031199999999998</v>
      </c>
      <c r="C34" s="5">
        <f t="shared" si="1"/>
        <v>15.556329999999997</v>
      </c>
      <c r="D34" s="5">
        <f t="shared" si="2"/>
        <v>32.166029999999999</v>
      </c>
      <c r="E34" s="5">
        <f t="shared" si="3"/>
        <v>32.481920000000002</v>
      </c>
      <c r="F34" s="5">
        <f t="shared" si="6"/>
        <v>55.164859999999997</v>
      </c>
      <c r="H34" s="85"/>
      <c r="I34" s="86"/>
      <c r="J34" s="86"/>
      <c r="K34" s="87"/>
      <c r="L34" s="4" t="s">
        <v>56</v>
      </c>
    </row>
    <row r="35" spans="1:12" x14ac:dyDescent="0.3">
      <c r="A35" s="2">
        <v>25</v>
      </c>
      <c r="B35" s="5">
        <f t="shared" si="0"/>
        <v>6.8031199999999998</v>
      </c>
      <c r="C35" s="5">
        <f t="shared" si="1"/>
        <v>15.556329999999997</v>
      </c>
      <c r="D35" s="5">
        <f t="shared" si="2"/>
        <v>32.166029999999999</v>
      </c>
      <c r="E35" s="5">
        <f>36.99*1.019+0.2</f>
        <v>37.892810000000004</v>
      </c>
      <c r="F35" s="5">
        <f t="shared" si="6"/>
        <v>55.164859999999997</v>
      </c>
      <c r="H35" s="85"/>
      <c r="I35" s="86"/>
      <c r="J35" s="86"/>
      <c r="K35" s="87"/>
      <c r="L35" s="4" t="s">
        <v>57</v>
      </c>
    </row>
    <row r="36" spans="1:12" x14ac:dyDescent="0.3">
      <c r="A36" s="2">
        <v>26</v>
      </c>
      <c r="B36" s="5">
        <f t="shared" si="0"/>
        <v>6.8031199999999998</v>
      </c>
      <c r="C36" s="5">
        <f t="shared" si="1"/>
        <v>15.556329999999997</v>
      </c>
      <c r="D36" s="5">
        <f t="shared" si="2"/>
        <v>32.166029999999999</v>
      </c>
      <c r="E36" s="5">
        <f t="shared" ref="E36:E59" si="7">36.99*1.019+0.2</f>
        <v>37.892810000000004</v>
      </c>
      <c r="F36" s="5">
        <f t="shared" si="6"/>
        <v>55.164859999999997</v>
      </c>
      <c r="H36" s="85"/>
      <c r="I36" s="86"/>
      <c r="J36" s="86"/>
      <c r="K36" s="87"/>
      <c r="L36" s="4" t="s">
        <v>58</v>
      </c>
    </row>
    <row r="37" spans="1:12" x14ac:dyDescent="0.3">
      <c r="A37" s="2">
        <v>27</v>
      </c>
      <c r="B37" s="5">
        <f t="shared" si="0"/>
        <v>6.8031199999999998</v>
      </c>
      <c r="C37" s="5">
        <f t="shared" si="1"/>
        <v>15.556329999999997</v>
      </c>
      <c r="D37" s="5">
        <f t="shared" si="2"/>
        <v>32.166029999999999</v>
      </c>
      <c r="E37" s="5">
        <f t="shared" si="7"/>
        <v>37.892810000000004</v>
      </c>
      <c r="F37" s="5">
        <f t="shared" si="6"/>
        <v>55.164859999999997</v>
      </c>
      <c r="H37" s="85"/>
      <c r="I37" s="86"/>
      <c r="J37" s="86"/>
      <c r="K37" s="87"/>
      <c r="L37" s="4" t="s">
        <v>59</v>
      </c>
    </row>
    <row r="38" spans="1:12" x14ac:dyDescent="0.3">
      <c r="A38" s="2">
        <v>28</v>
      </c>
      <c r="B38" s="5">
        <f t="shared" si="0"/>
        <v>6.8031199999999998</v>
      </c>
      <c r="C38" s="5">
        <f t="shared" si="1"/>
        <v>15.556329999999997</v>
      </c>
      <c r="D38" s="5">
        <f t="shared" si="2"/>
        <v>32.166029999999999</v>
      </c>
      <c r="E38" s="5">
        <f t="shared" si="7"/>
        <v>37.892810000000004</v>
      </c>
      <c r="F38" s="5">
        <f t="shared" si="6"/>
        <v>55.164859999999997</v>
      </c>
      <c r="H38" s="85"/>
      <c r="I38" s="86"/>
      <c r="J38" s="86"/>
      <c r="K38" s="87"/>
      <c r="L38" s="4" t="s">
        <v>60</v>
      </c>
    </row>
    <row r="39" spans="1:12" x14ac:dyDescent="0.3">
      <c r="A39" s="2">
        <v>29</v>
      </c>
      <c r="B39" s="5">
        <f t="shared" si="0"/>
        <v>6.8031199999999998</v>
      </c>
      <c r="C39" s="5">
        <f t="shared" si="1"/>
        <v>15.556329999999997</v>
      </c>
      <c r="D39" s="5">
        <f t="shared" si="2"/>
        <v>32.166029999999999</v>
      </c>
      <c r="E39" s="5">
        <f t="shared" si="7"/>
        <v>37.892810000000004</v>
      </c>
      <c r="F39" s="5">
        <f t="shared" si="6"/>
        <v>55.164859999999997</v>
      </c>
      <c r="H39" s="85"/>
      <c r="I39" s="86"/>
      <c r="J39" s="86"/>
      <c r="K39" s="87"/>
      <c r="L39" s="4" t="s">
        <v>61</v>
      </c>
    </row>
    <row r="40" spans="1:12" x14ac:dyDescent="0.3">
      <c r="A40" s="2">
        <v>30</v>
      </c>
      <c r="B40" s="5">
        <f>7.54*1.019+0.2</f>
        <v>7.8832599999999999</v>
      </c>
      <c r="C40" s="5">
        <f>17.23*1.019+0.2</f>
        <v>17.757369999999998</v>
      </c>
      <c r="D40" s="5">
        <f>34.56*1.019+0.2</f>
        <v>35.416640000000001</v>
      </c>
      <c r="E40" s="5">
        <f t="shared" si="7"/>
        <v>37.892810000000004</v>
      </c>
      <c r="F40" s="5">
        <f>62.5*1.019+0.2</f>
        <v>63.887499999999996</v>
      </c>
      <c r="H40" s="88"/>
      <c r="I40" s="89"/>
      <c r="J40" s="89"/>
      <c r="K40" s="90"/>
      <c r="L40" s="4" t="s">
        <v>62</v>
      </c>
    </row>
    <row r="41" spans="1:12" x14ac:dyDescent="0.3">
      <c r="A41" s="2">
        <v>31</v>
      </c>
      <c r="B41" s="5">
        <f t="shared" ref="B41:B59" si="8">7.54*1.019+0.2</f>
        <v>7.8832599999999999</v>
      </c>
      <c r="C41" s="5">
        <f t="shared" ref="C41:C59" si="9">17.23*1.019+0.2</f>
        <v>17.757369999999998</v>
      </c>
      <c r="D41" s="5">
        <f t="shared" ref="D41:D59" si="10">34.56*1.019+0.2</f>
        <v>35.416640000000001</v>
      </c>
      <c r="E41" s="5">
        <f t="shared" si="7"/>
        <v>37.892810000000004</v>
      </c>
      <c r="F41" s="5">
        <f t="shared" ref="F41:F49" si="11">62.5*1.019+0.2</f>
        <v>63.887499999999996</v>
      </c>
      <c r="L41" s="26" t="s">
        <v>134</v>
      </c>
    </row>
    <row r="42" spans="1:12" x14ac:dyDescent="0.3">
      <c r="A42" s="2">
        <v>32</v>
      </c>
      <c r="B42" s="5">
        <f t="shared" si="8"/>
        <v>7.8832599999999999</v>
      </c>
      <c r="C42" s="5">
        <f t="shared" si="9"/>
        <v>17.757369999999998</v>
      </c>
      <c r="D42" s="5">
        <f t="shared" si="10"/>
        <v>35.416640000000001</v>
      </c>
      <c r="E42" s="5">
        <f t="shared" si="7"/>
        <v>37.892810000000004</v>
      </c>
      <c r="F42" s="5">
        <f t="shared" si="11"/>
        <v>63.887499999999996</v>
      </c>
      <c r="L42" s="26" t="s">
        <v>135</v>
      </c>
    </row>
    <row r="43" spans="1:12" x14ac:dyDescent="0.3">
      <c r="A43" s="2">
        <v>33</v>
      </c>
      <c r="B43" s="5">
        <f t="shared" si="8"/>
        <v>7.8832599999999999</v>
      </c>
      <c r="C43" s="5">
        <f t="shared" si="9"/>
        <v>17.757369999999998</v>
      </c>
      <c r="D43" s="5">
        <f t="shared" si="10"/>
        <v>35.416640000000001</v>
      </c>
      <c r="E43" s="5">
        <f t="shared" si="7"/>
        <v>37.892810000000004</v>
      </c>
      <c r="F43" s="5">
        <f t="shared" si="11"/>
        <v>63.887499999999996</v>
      </c>
      <c r="L43" s="26" t="s">
        <v>136</v>
      </c>
    </row>
    <row r="44" spans="1:12" x14ac:dyDescent="0.3">
      <c r="A44" s="2">
        <v>34</v>
      </c>
      <c r="B44" s="5">
        <f t="shared" si="8"/>
        <v>7.8832599999999999</v>
      </c>
      <c r="C44" s="5">
        <f t="shared" si="9"/>
        <v>17.757369999999998</v>
      </c>
      <c r="D44" s="5">
        <f t="shared" si="10"/>
        <v>35.416640000000001</v>
      </c>
      <c r="E44" s="5">
        <f t="shared" si="7"/>
        <v>37.892810000000004</v>
      </c>
      <c r="F44" s="5">
        <f t="shared" si="11"/>
        <v>63.887499999999996</v>
      </c>
      <c r="L44" s="26" t="s">
        <v>137</v>
      </c>
    </row>
    <row r="45" spans="1:12" x14ac:dyDescent="0.3">
      <c r="A45" s="2">
        <v>35</v>
      </c>
      <c r="B45" s="5">
        <f t="shared" si="8"/>
        <v>7.8832599999999999</v>
      </c>
      <c r="C45" s="5">
        <f t="shared" si="9"/>
        <v>17.757369999999998</v>
      </c>
      <c r="D45" s="5">
        <f t="shared" si="10"/>
        <v>35.416640000000001</v>
      </c>
      <c r="E45" s="5">
        <f t="shared" si="7"/>
        <v>37.892810000000004</v>
      </c>
      <c r="F45" s="5">
        <f t="shared" si="11"/>
        <v>63.887499999999996</v>
      </c>
      <c r="L45" s="26" t="s">
        <v>138</v>
      </c>
    </row>
    <row r="46" spans="1:12" x14ac:dyDescent="0.3">
      <c r="A46" s="2">
        <v>36</v>
      </c>
      <c r="B46" s="5">
        <f t="shared" si="8"/>
        <v>7.8832599999999999</v>
      </c>
      <c r="C46" s="5">
        <f t="shared" si="9"/>
        <v>17.757369999999998</v>
      </c>
      <c r="D46" s="5">
        <f t="shared" si="10"/>
        <v>35.416640000000001</v>
      </c>
      <c r="E46" s="5">
        <f t="shared" si="7"/>
        <v>37.892810000000004</v>
      </c>
      <c r="F46" s="5">
        <f t="shared" si="11"/>
        <v>63.887499999999996</v>
      </c>
      <c r="L46" s="26" t="s">
        <v>139</v>
      </c>
    </row>
    <row r="47" spans="1:12" x14ac:dyDescent="0.3">
      <c r="A47" s="2">
        <v>37</v>
      </c>
      <c r="B47" s="5">
        <f t="shared" si="8"/>
        <v>7.8832599999999999</v>
      </c>
      <c r="C47" s="5">
        <f t="shared" si="9"/>
        <v>17.757369999999998</v>
      </c>
      <c r="D47" s="5">
        <f t="shared" si="10"/>
        <v>35.416640000000001</v>
      </c>
      <c r="E47" s="5">
        <f t="shared" si="7"/>
        <v>37.892810000000004</v>
      </c>
      <c r="F47" s="5">
        <f t="shared" si="11"/>
        <v>63.887499999999996</v>
      </c>
      <c r="L47" s="26" t="s">
        <v>140</v>
      </c>
    </row>
    <row r="48" spans="1:12" x14ac:dyDescent="0.3">
      <c r="A48" s="2">
        <v>38</v>
      </c>
      <c r="B48" s="5">
        <f t="shared" si="8"/>
        <v>7.8832599999999999</v>
      </c>
      <c r="C48" s="5">
        <f t="shared" si="9"/>
        <v>17.757369999999998</v>
      </c>
      <c r="D48" s="5">
        <f t="shared" si="10"/>
        <v>35.416640000000001</v>
      </c>
      <c r="E48" s="5">
        <f t="shared" si="7"/>
        <v>37.892810000000004</v>
      </c>
      <c r="F48" s="5">
        <f t="shared" si="11"/>
        <v>63.887499999999996</v>
      </c>
      <c r="L48" s="26" t="s">
        <v>141</v>
      </c>
    </row>
    <row r="49" spans="1:12" x14ac:dyDescent="0.3">
      <c r="A49" s="2">
        <v>39</v>
      </c>
      <c r="B49" s="5">
        <f t="shared" si="8"/>
        <v>7.8832599999999999</v>
      </c>
      <c r="C49" s="5">
        <f t="shared" si="9"/>
        <v>17.757369999999998</v>
      </c>
      <c r="D49" s="5">
        <f t="shared" si="10"/>
        <v>35.416640000000001</v>
      </c>
      <c r="E49" s="5">
        <f t="shared" si="7"/>
        <v>37.892810000000004</v>
      </c>
      <c r="F49" s="5">
        <f t="shared" si="11"/>
        <v>63.887499999999996</v>
      </c>
      <c r="L49" s="26" t="s">
        <v>95</v>
      </c>
    </row>
    <row r="50" spans="1:12" x14ac:dyDescent="0.3">
      <c r="A50" s="2">
        <v>40</v>
      </c>
      <c r="B50" s="5">
        <f t="shared" si="8"/>
        <v>7.8832599999999999</v>
      </c>
      <c r="C50" s="5">
        <f t="shared" si="9"/>
        <v>17.757369999999998</v>
      </c>
      <c r="D50" s="5">
        <f t="shared" si="10"/>
        <v>35.416640000000001</v>
      </c>
      <c r="E50" s="5">
        <f t="shared" si="7"/>
        <v>37.892810000000004</v>
      </c>
      <c r="F50" s="5">
        <f>72.5*1.019+0.2</f>
        <v>74.077500000000001</v>
      </c>
      <c r="L50" s="26" t="s">
        <v>142</v>
      </c>
    </row>
    <row r="51" spans="1:12" x14ac:dyDescent="0.3">
      <c r="A51" s="2">
        <v>41</v>
      </c>
      <c r="B51" s="5">
        <f t="shared" si="8"/>
        <v>7.8832599999999999</v>
      </c>
      <c r="C51" s="5">
        <f t="shared" si="9"/>
        <v>17.757369999999998</v>
      </c>
      <c r="D51" s="5">
        <f t="shared" si="10"/>
        <v>35.416640000000001</v>
      </c>
      <c r="E51" s="5">
        <f t="shared" si="7"/>
        <v>37.892810000000004</v>
      </c>
      <c r="F51" s="5">
        <f t="shared" ref="F51:F59" si="12">72.5*1.019+0.2</f>
        <v>74.077500000000001</v>
      </c>
      <c r="L51" s="26" t="s">
        <v>143</v>
      </c>
    </row>
    <row r="52" spans="1:12" x14ac:dyDescent="0.3">
      <c r="A52" s="2">
        <v>42</v>
      </c>
      <c r="B52" s="5">
        <f t="shared" si="8"/>
        <v>7.8832599999999999</v>
      </c>
      <c r="C52" s="5">
        <f t="shared" si="9"/>
        <v>17.757369999999998</v>
      </c>
      <c r="D52" s="5">
        <f t="shared" si="10"/>
        <v>35.416640000000001</v>
      </c>
      <c r="E52" s="5">
        <f t="shared" si="7"/>
        <v>37.892810000000004</v>
      </c>
      <c r="F52" s="5">
        <f t="shared" si="12"/>
        <v>74.077500000000001</v>
      </c>
      <c r="L52" s="26" t="s">
        <v>144</v>
      </c>
    </row>
    <row r="53" spans="1:12" x14ac:dyDescent="0.3">
      <c r="A53" s="2">
        <v>43</v>
      </c>
      <c r="B53" s="5">
        <f t="shared" si="8"/>
        <v>7.8832599999999999</v>
      </c>
      <c r="C53" s="5">
        <f t="shared" si="9"/>
        <v>17.757369999999998</v>
      </c>
      <c r="D53" s="5">
        <f t="shared" si="10"/>
        <v>35.416640000000001</v>
      </c>
      <c r="E53" s="5">
        <f t="shared" si="7"/>
        <v>37.892810000000004</v>
      </c>
      <c r="F53" s="5">
        <f t="shared" si="12"/>
        <v>74.077500000000001</v>
      </c>
      <c r="L53" s="26" t="s">
        <v>101</v>
      </c>
    </row>
    <row r="54" spans="1:12" x14ac:dyDescent="0.3">
      <c r="A54" s="2">
        <v>44</v>
      </c>
      <c r="B54" s="5">
        <f t="shared" si="8"/>
        <v>7.8832599999999999</v>
      </c>
      <c r="C54" s="5">
        <f t="shared" si="9"/>
        <v>17.757369999999998</v>
      </c>
      <c r="D54" s="5">
        <f t="shared" si="10"/>
        <v>35.416640000000001</v>
      </c>
      <c r="E54" s="5">
        <f t="shared" si="7"/>
        <v>37.892810000000004</v>
      </c>
      <c r="F54" s="5">
        <f t="shared" si="12"/>
        <v>74.077500000000001</v>
      </c>
      <c r="L54" s="4" t="s">
        <v>103</v>
      </c>
    </row>
    <row r="55" spans="1:12" x14ac:dyDescent="0.3">
      <c r="A55" s="2">
        <v>45</v>
      </c>
      <c r="B55" s="5">
        <f t="shared" si="8"/>
        <v>7.8832599999999999</v>
      </c>
      <c r="C55" s="5">
        <f t="shared" si="9"/>
        <v>17.757369999999998</v>
      </c>
      <c r="D55" s="5">
        <f t="shared" si="10"/>
        <v>35.416640000000001</v>
      </c>
      <c r="E55" s="5">
        <f t="shared" si="7"/>
        <v>37.892810000000004</v>
      </c>
      <c r="F55" s="5">
        <f t="shared" si="12"/>
        <v>74.077500000000001</v>
      </c>
      <c r="L55" s="4" t="s">
        <v>105</v>
      </c>
    </row>
    <row r="56" spans="1:12" x14ac:dyDescent="0.3">
      <c r="A56" s="2">
        <v>46</v>
      </c>
      <c r="B56" s="5">
        <f t="shared" si="8"/>
        <v>7.8832599999999999</v>
      </c>
      <c r="C56" s="5">
        <f t="shared" si="9"/>
        <v>17.757369999999998</v>
      </c>
      <c r="D56" s="5">
        <f t="shared" si="10"/>
        <v>35.416640000000001</v>
      </c>
      <c r="E56" s="5">
        <f t="shared" si="7"/>
        <v>37.892810000000004</v>
      </c>
      <c r="F56" s="5">
        <f t="shared" si="12"/>
        <v>74.077500000000001</v>
      </c>
      <c r="L56" s="4" t="s">
        <v>97</v>
      </c>
    </row>
    <row r="57" spans="1:12" x14ac:dyDescent="0.3">
      <c r="A57" s="2">
        <v>47</v>
      </c>
      <c r="B57" s="5">
        <f t="shared" si="8"/>
        <v>7.8832599999999999</v>
      </c>
      <c r="C57" s="5">
        <f t="shared" si="9"/>
        <v>17.757369999999998</v>
      </c>
      <c r="D57" s="5">
        <f t="shared" si="10"/>
        <v>35.416640000000001</v>
      </c>
      <c r="E57" s="5">
        <f t="shared" si="7"/>
        <v>37.892810000000004</v>
      </c>
      <c r="F57" s="5">
        <f t="shared" si="12"/>
        <v>74.077500000000001</v>
      </c>
      <c r="L57" s="4" t="s">
        <v>81</v>
      </c>
    </row>
    <row r="58" spans="1:12" x14ac:dyDescent="0.3">
      <c r="A58" s="2">
        <v>48</v>
      </c>
      <c r="B58" s="5">
        <f t="shared" si="8"/>
        <v>7.8832599999999999</v>
      </c>
      <c r="C58" s="5">
        <f t="shared" si="9"/>
        <v>17.757369999999998</v>
      </c>
      <c r="D58" s="5">
        <f t="shared" si="10"/>
        <v>35.416640000000001</v>
      </c>
      <c r="E58" s="5">
        <f t="shared" si="7"/>
        <v>37.892810000000004</v>
      </c>
      <c r="F58" s="5">
        <f t="shared" si="12"/>
        <v>74.077500000000001</v>
      </c>
      <c r="L58" s="4" t="s">
        <v>107</v>
      </c>
    </row>
    <row r="59" spans="1:12" x14ac:dyDescent="0.3">
      <c r="A59" s="2">
        <v>49</v>
      </c>
      <c r="B59" s="5">
        <f t="shared" si="8"/>
        <v>7.8832599999999999</v>
      </c>
      <c r="C59" s="5">
        <f t="shared" si="9"/>
        <v>17.757369999999998</v>
      </c>
      <c r="D59" s="5">
        <f t="shared" si="10"/>
        <v>35.416640000000001</v>
      </c>
      <c r="E59" s="5">
        <f t="shared" si="7"/>
        <v>37.892810000000004</v>
      </c>
      <c r="F59" s="5">
        <f t="shared" si="12"/>
        <v>74.077500000000001</v>
      </c>
      <c r="L59" s="4" t="s">
        <v>84</v>
      </c>
    </row>
    <row r="60" spans="1:12" x14ac:dyDescent="0.3">
      <c r="A60" s="2">
        <v>50</v>
      </c>
      <c r="B60" s="5">
        <f>12.86*1.019+0.2</f>
        <v>13.304339999999998</v>
      </c>
      <c r="C60" s="5">
        <f>24.39*1.019+0.2</f>
        <v>25.053409999999996</v>
      </c>
      <c r="D60" s="5">
        <f>46.92*1.019+0.2</f>
        <v>48.011479999999999</v>
      </c>
      <c r="E60" s="5">
        <f>51.89*1.019+0.2</f>
        <v>53.07591</v>
      </c>
      <c r="F60" s="5">
        <f>81.2*1.019+0.2</f>
        <v>82.942799999999991</v>
      </c>
      <c r="L60" s="4" t="s">
        <v>109</v>
      </c>
    </row>
    <row r="61" spans="1:12" x14ac:dyDescent="0.3">
      <c r="A61" s="2">
        <v>51</v>
      </c>
      <c r="B61" s="5">
        <f t="shared" ref="B61:B108" si="13">12.86*1.019+0.2</f>
        <v>13.304339999999998</v>
      </c>
      <c r="C61" s="5">
        <f t="shared" ref="C61:C109" si="14">24.39*1.019+0.2</f>
        <v>25.053409999999996</v>
      </c>
      <c r="D61" s="5">
        <f t="shared" ref="D61:D109" si="15">46.92*1.019+0.2</f>
        <v>48.011479999999999</v>
      </c>
      <c r="E61" s="5">
        <f t="shared" ref="E61:E109" si="16">51.89*1.019+0.2</f>
        <v>53.07591</v>
      </c>
      <c r="F61" s="5">
        <f t="shared" ref="F61:F69" si="17">81.2*1.019+0.2</f>
        <v>82.942799999999991</v>
      </c>
      <c r="L61" s="4" t="s">
        <v>86</v>
      </c>
    </row>
    <row r="62" spans="1:12" x14ac:dyDescent="0.3">
      <c r="A62" s="2">
        <v>52</v>
      </c>
      <c r="B62" s="5">
        <f t="shared" si="13"/>
        <v>13.304339999999998</v>
      </c>
      <c r="C62" s="5">
        <f t="shared" si="14"/>
        <v>25.053409999999996</v>
      </c>
      <c r="D62" s="5">
        <f t="shared" si="15"/>
        <v>48.011479999999999</v>
      </c>
      <c r="E62" s="5">
        <f t="shared" si="16"/>
        <v>53.07591</v>
      </c>
      <c r="F62" s="5">
        <f t="shared" si="17"/>
        <v>82.942799999999991</v>
      </c>
      <c r="L62" s="4" t="s">
        <v>111</v>
      </c>
    </row>
    <row r="63" spans="1:12" x14ac:dyDescent="0.3">
      <c r="A63" s="2">
        <v>53</v>
      </c>
      <c r="B63" s="5">
        <f t="shared" si="13"/>
        <v>13.304339999999998</v>
      </c>
      <c r="C63" s="5">
        <f t="shared" si="14"/>
        <v>25.053409999999996</v>
      </c>
      <c r="D63" s="5">
        <f t="shared" si="15"/>
        <v>48.011479999999999</v>
      </c>
      <c r="E63" s="5">
        <f t="shared" si="16"/>
        <v>53.07591</v>
      </c>
      <c r="F63" s="5">
        <f t="shared" si="17"/>
        <v>82.942799999999991</v>
      </c>
      <c r="L63" s="4" t="s">
        <v>99</v>
      </c>
    </row>
    <row r="64" spans="1:12" x14ac:dyDescent="0.3">
      <c r="A64" s="2">
        <v>54</v>
      </c>
      <c r="B64" s="5">
        <f t="shared" si="13"/>
        <v>13.304339999999998</v>
      </c>
      <c r="C64" s="5">
        <f t="shared" si="14"/>
        <v>25.053409999999996</v>
      </c>
      <c r="D64" s="5">
        <f t="shared" si="15"/>
        <v>48.011479999999999</v>
      </c>
      <c r="E64" s="5">
        <f t="shared" si="16"/>
        <v>53.07591</v>
      </c>
      <c r="F64" s="5">
        <f t="shared" si="17"/>
        <v>82.942799999999991</v>
      </c>
      <c r="L64" s="4" t="s">
        <v>115</v>
      </c>
    </row>
    <row r="65" spans="1:12" x14ac:dyDescent="0.3">
      <c r="A65" s="2">
        <v>55</v>
      </c>
      <c r="B65" s="5">
        <f t="shared" si="13"/>
        <v>13.304339999999998</v>
      </c>
      <c r="C65" s="5">
        <f t="shared" si="14"/>
        <v>25.053409999999996</v>
      </c>
      <c r="D65" s="5">
        <f t="shared" si="15"/>
        <v>48.011479999999999</v>
      </c>
      <c r="E65" s="5">
        <f t="shared" si="16"/>
        <v>53.07591</v>
      </c>
      <c r="F65" s="5">
        <f t="shared" si="17"/>
        <v>82.942799999999991</v>
      </c>
      <c r="L65" s="4" t="s">
        <v>102</v>
      </c>
    </row>
    <row r="66" spans="1:12" x14ac:dyDescent="0.3">
      <c r="A66" s="2">
        <v>56</v>
      </c>
      <c r="B66" s="5">
        <f t="shared" si="13"/>
        <v>13.304339999999998</v>
      </c>
      <c r="C66" s="5">
        <f t="shared" si="14"/>
        <v>25.053409999999996</v>
      </c>
      <c r="D66" s="5">
        <f t="shared" si="15"/>
        <v>48.011479999999999</v>
      </c>
      <c r="E66" s="5">
        <f t="shared" si="16"/>
        <v>53.07591</v>
      </c>
      <c r="F66" s="5">
        <f t="shared" si="17"/>
        <v>82.942799999999991</v>
      </c>
      <c r="L66" s="4" t="s">
        <v>80</v>
      </c>
    </row>
    <row r="67" spans="1:12" x14ac:dyDescent="0.3">
      <c r="A67" s="2">
        <v>57</v>
      </c>
      <c r="B67" s="5">
        <f t="shared" si="13"/>
        <v>13.304339999999998</v>
      </c>
      <c r="C67" s="5">
        <f t="shared" si="14"/>
        <v>25.053409999999996</v>
      </c>
      <c r="D67" s="5">
        <f t="shared" si="15"/>
        <v>48.011479999999999</v>
      </c>
      <c r="E67" s="5">
        <f t="shared" si="16"/>
        <v>53.07591</v>
      </c>
      <c r="F67" s="5">
        <f t="shared" si="17"/>
        <v>82.942799999999991</v>
      </c>
      <c r="L67" s="4" t="s">
        <v>83</v>
      </c>
    </row>
    <row r="68" spans="1:12" x14ac:dyDescent="0.3">
      <c r="A68" s="2">
        <v>58</v>
      </c>
      <c r="B68" s="5">
        <f t="shared" si="13"/>
        <v>13.304339999999998</v>
      </c>
      <c r="C68" s="5">
        <f t="shared" si="14"/>
        <v>25.053409999999996</v>
      </c>
      <c r="D68" s="5">
        <f t="shared" si="15"/>
        <v>48.011479999999999</v>
      </c>
      <c r="E68" s="5">
        <f t="shared" si="16"/>
        <v>53.07591</v>
      </c>
      <c r="F68" s="5">
        <f t="shared" si="17"/>
        <v>82.942799999999991</v>
      </c>
      <c r="L68" s="4" t="s">
        <v>88</v>
      </c>
    </row>
    <row r="69" spans="1:12" x14ac:dyDescent="0.3">
      <c r="A69" s="2">
        <v>59</v>
      </c>
      <c r="B69" s="5">
        <f t="shared" si="13"/>
        <v>13.304339999999998</v>
      </c>
      <c r="C69" s="5">
        <f t="shared" si="14"/>
        <v>25.053409999999996</v>
      </c>
      <c r="D69" s="5">
        <f t="shared" si="15"/>
        <v>48.011479999999999</v>
      </c>
      <c r="E69" s="5">
        <f t="shared" si="16"/>
        <v>53.07591</v>
      </c>
      <c r="F69" s="5">
        <f t="shared" si="17"/>
        <v>82.942799999999991</v>
      </c>
      <c r="L69" s="4" t="s">
        <v>116</v>
      </c>
    </row>
    <row r="70" spans="1:12" x14ac:dyDescent="0.3">
      <c r="A70" s="2">
        <v>60</v>
      </c>
      <c r="B70" s="5">
        <f t="shared" si="13"/>
        <v>13.304339999999998</v>
      </c>
      <c r="C70" s="5">
        <f t="shared" si="14"/>
        <v>25.053409999999996</v>
      </c>
      <c r="D70" s="5">
        <f t="shared" si="15"/>
        <v>48.011479999999999</v>
      </c>
      <c r="E70" s="5">
        <f t="shared" si="16"/>
        <v>53.07591</v>
      </c>
      <c r="F70" s="5">
        <f>96.39*1.019+0.2</f>
        <v>98.421409999999995</v>
      </c>
      <c r="L70" s="4" t="s">
        <v>117</v>
      </c>
    </row>
    <row r="71" spans="1:12" x14ac:dyDescent="0.3">
      <c r="A71" s="2">
        <v>61</v>
      </c>
      <c r="B71" s="5">
        <f t="shared" si="13"/>
        <v>13.304339999999998</v>
      </c>
      <c r="C71" s="5">
        <f t="shared" si="14"/>
        <v>25.053409999999996</v>
      </c>
      <c r="D71" s="5">
        <f t="shared" si="15"/>
        <v>48.011479999999999</v>
      </c>
      <c r="E71" s="5">
        <f t="shared" si="16"/>
        <v>53.07591</v>
      </c>
      <c r="F71" s="5">
        <f t="shared" ref="F71:F79" si="18">96.39*1.019+0.2</f>
        <v>98.421409999999995</v>
      </c>
      <c r="L71" s="4" t="s">
        <v>106</v>
      </c>
    </row>
    <row r="72" spans="1:12" x14ac:dyDescent="0.3">
      <c r="A72" s="2">
        <v>62</v>
      </c>
      <c r="B72" s="5">
        <f t="shared" si="13"/>
        <v>13.304339999999998</v>
      </c>
      <c r="C72" s="5">
        <f t="shared" si="14"/>
        <v>25.053409999999996</v>
      </c>
      <c r="D72" s="5">
        <f t="shared" si="15"/>
        <v>48.011479999999999</v>
      </c>
      <c r="E72" s="5">
        <f t="shared" si="16"/>
        <v>53.07591</v>
      </c>
      <c r="F72" s="5">
        <f t="shared" si="18"/>
        <v>98.421409999999995</v>
      </c>
      <c r="L72" s="4" t="s">
        <v>108</v>
      </c>
    </row>
    <row r="73" spans="1:12" x14ac:dyDescent="0.3">
      <c r="A73" s="2">
        <v>63</v>
      </c>
      <c r="B73" s="5">
        <f t="shared" si="13"/>
        <v>13.304339999999998</v>
      </c>
      <c r="C73" s="5">
        <f t="shared" si="14"/>
        <v>25.053409999999996</v>
      </c>
      <c r="D73" s="5">
        <f t="shared" si="15"/>
        <v>48.011479999999999</v>
      </c>
      <c r="E73" s="5">
        <f t="shared" si="16"/>
        <v>53.07591</v>
      </c>
      <c r="F73" s="5">
        <f t="shared" si="18"/>
        <v>98.421409999999995</v>
      </c>
      <c r="L73" s="4" t="s">
        <v>110</v>
      </c>
    </row>
    <row r="74" spans="1:12" x14ac:dyDescent="0.3">
      <c r="A74" s="2">
        <v>64</v>
      </c>
      <c r="B74" s="5">
        <f t="shared" si="13"/>
        <v>13.304339999999998</v>
      </c>
      <c r="C74" s="5">
        <f t="shared" si="14"/>
        <v>25.053409999999996</v>
      </c>
      <c r="D74" s="5">
        <f t="shared" si="15"/>
        <v>48.011479999999999</v>
      </c>
      <c r="E74" s="5">
        <f t="shared" si="16"/>
        <v>53.07591</v>
      </c>
      <c r="F74" s="5">
        <f t="shared" si="18"/>
        <v>98.421409999999995</v>
      </c>
      <c r="L74" s="4" t="s">
        <v>89</v>
      </c>
    </row>
    <row r="75" spans="1:12" x14ac:dyDescent="0.3">
      <c r="A75" s="2">
        <v>65</v>
      </c>
      <c r="B75" s="5">
        <f t="shared" si="13"/>
        <v>13.304339999999998</v>
      </c>
      <c r="C75" s="5">
        <f t="shared" si="14"/>
        <v>25.053409999999996</v>
      </c>
      <c r="D75" s="5">
        <f t="shared" si="15"/>
        <v>48.011479999999999</v>
      </c>
      <c r="E75" s="5">
        <f t="shared" si="16"/>
        <v>53.07591</v>
      </c>
      <c r="F75" s="5">
        <f t="shared" si="18"/>
        <v>98.421409999999995</v>
      </c>
      <c r="L75" s="4" t="s">
        <v>112</v>
      </c>
    </row>
    <row r="76" spans="1:12" x14ac:dyDescent="0.3">
      <c r="A76" s="2">
        <v>66</v>
      </c>
      <c r="B76" s="5">
        <f t="shared" si="13"/>
        <v>13.304339999999998</v>
      </c>
      <c r="C76" s="5">
        <f t="shared" si="14"/>
        <v>25.053409999999996</v>
      </c>
      <c r="D76" s="5">
        <f t="shared" si="15"/>
        <v>48.011479999999999</v>
      </c>
      <c r="E76" s="5">
        <f t="shared" si="16"/>
        <v>53.07591</v>
      </c>
      <c r="F76" s="5">
        <f t="shared" si="18"/>
        <v>98.421409999999995</v>
      </c>
      <c r="L76" s="4" t="s">
        <v>87</v>
      </c>
    </row>
    <row r="77" spans="1:12" x14ac:dyDescent="0.3">
      <c r="A77" s="2">
        <v>67</v>
      </c>
      <c r="B77" s="5">
        <f t="shared" si="13"/>
        <v>13.304339999999998</v>
      </c>
      <c r="C77" s="5">
        <f t="shared" si="14"/>
        <v>25.053409999999996</v>
      </c>
      <c r="D77" s="5">
        <f t="shared" si="15"/>
        <v>48.011479999999999</v>
      </c>
      <c r="E77" s="5">
        <f t="shared" si="16"/>
        <v>53.07591</v>
      </c>
      <c r="F77" s="5">
        <f t="shared" si="18"/>
        <v>98.421409999999995</v>
      </c>
      <c r="L77" s="26" t="s">
        <v>145</v>
      </c>
    </row>
    <row r="78" spans="1:12" x14ac:dyDescent="0.3">
      <c r="A78" s="2">
        <v>68</v>
      </c>
      <c r="B78" s="5">
        <f t="shared" si="13"/>
        <v>13.304339999999998</v>
      </c>
      <c r="C78" s="5">
        <f t="shared" si="14"/>
        <v>25.053409999999996</v>
      </c>
      <c r="D78" s="5">
        <f t="shared" si="15"/>
        <v>48.011479999999999</v>
      </c>
      <c r="E78" s="5">
        <f t="shared" si="16"/>
        <v>53.07591</v>
      </c>
      <c r="F78" s="5">
        <f t="shared" si="18"/>
        <v>98.421409999999995</v>
      </c>
      <c r="L78" s="26" t="s">
        <v>146</v>
      </c>
    </row>
    <row r="79" spans="1:12" x14ac:dyDescent="0.3">
      <c r="A79" s="2">
        <v>69</v>
      </c>
      <c r="B79" s="5">
        <f t="shared" si="13"/>
        <v>13.304339999999998</v>
      </c>
      <c r="C79" s="5">
        <f t="shared" si="14"/>
        <v>25.053409999999996</v>
      </c>
      <c r="D79" s="5">
        <f t="shared" si="15"/>
        <v>48.011479999999999</v>
      </c>
      <c r="E79" s="5">
        <f t="shared" si="16"/>
        <v>53.07591</v>
      </c>
      <c r="F79" s="5">
        <f t="shared" si="18"/>
        <v>98.421409999999995</v>
      </c>
      <c r="L79" s="26" t="s">
        <v>147</v>
      </c>
    </row>
    <row r="80" spans="1:12" x14ac:dyDescent="0.3">
      <c r="A80" s="2">
        <v>70</v>
      </c>
      <c r="B80" s="5">
        <f t="shared" si="13"/>
        <v>13.304339999999998</v>
      </c>
      <c r="C80" s="5">
        <f t="shared" si="14"/>
        <v>25.053409999999996</v>
      </c>
      <c r="D80" s="5">
        <f t="shared" si="15"/>
        <v>48.011479999999999</v>
      </c>
      <c r="E80" s="5">
        <f t="shared" si="16"/>
        <v>53.07591</v>
      </c>
      <c r="F80" s="5">
        <f>108.59*1.019+0.2</f>
        <v>110.85320999999999</v>
      </c>
      <c r="L80" s="4" t="s">
        <v>114</v>
      </c>
    </row>
    <row r="81" spans="1:12" x14ac:dyDescent="0.3">
      <c r="A81" s="2">
        <v>71</v>
      </c>
      <c r="B81" s="5">
        <f t="shared" si="13"/>
        <v>13.304339999999998</v>
      </c>
      <c r="C81" s="5">
        <f t="shared" si="14"/>
        <v>25.053409999999996</v>
      </c>
      <c r="D81" s="5">
        <f t="shared" si="15"/>
        <v>48.011479999999999</v>
      </c>
      <c r="E81" s="5">
        <f t="shared" si="16"/>
        <v>53.07591</v>
      </c>
      <c r="F81" s="5">
        <f t="shared" ref="F81:F89" si="19">108.59*1.019+0.2</f>
        <v>110.85320999999999</v>
      </c>
      <c r="L81" s="4" t="s">
        <v>56</v>
      </c>
    </row>
    <row r="82" spans="1:12" x14ac:dyDescent="0.3">
      <c r="A82" s="2">
        <v>72</v>
      </c>
      <c r="B82" s="5">
        <f t="shared" si="13"/>
        <v>13.304339999999998</v>
      </c>
      <c r="C82" s="5">
        <f t="shared" si="14"/>
        <v>25.053409999999996</v>
      </c>
      <c r="D82" s="5">
        <f t="shared" si="15"/>
        <v>48.011479999999999</v>
      </c>
      <c r="E82" s="5">
        <f t="shared" si="16"/>
        <v>53.07591</v>
      </c>
      <c r="F82" s="5">
        <f t="shared" si="19"/>
        <v>110.85320999999999</v>
      </c>
      <c r="L82" t="s">
        <v>72</v>
      </c>
    </row>
    <row r="83" spans="1:12" x14ac:dyDescent="0.3">
      <c r="A83" s="2">
        <v>73</v>
      </c>
      <c r="B83" s="5">
        <f t="shared" si="13"/>
        <v>13.304339999999998</v>
      </c>
      <c r="C83" s="5">
        <f t="shared" si="14"/>
        <v>25.053409999999996</v>
      </c>
      <c r="D83" s="5">
        <f t="shared" si="15"/>
        <v>48.011479999999999</v>
      </c>
      <c r="E83" s="5">
        <f t="shared" si="16"/>
        <v>53.07591</v>
      </c>
      <c r="F83" s="5">
        <f t="shared" si="19"/>
        <v>110.85320999999999</v>
      </c>
    </row>
    <row r="84" spans="1:12" x14ac:dyDescent="0.3">
      <c r="A84" s="2">
        <v>74</v>
      </c>
      <c r="B84" s="5">
        <f t="shared" si="13"/>
        <v>13.304339999999998</v>
      </c>
      <c r="C84" s="5">
        <f t="shared" si="14"/>
        <v>25.053409999999996</v>
      </c>
      <c r="D84" s="5">
        <f t="shared" si="15"/>
        <v>48.011479999999999</v>
      </c>
      <c r="E84" s="5">
        <f t="shared" si="16"/>
        <v>53.07591</v>
      </c>
      <c r="F84" s="5">
        <f t="shared" si="19"/>
        <v>110.85320999999999</v>
      </c>
    </row>
    <row r="85" spans="1:12" x14ac:dyDescent="0.3">
      <c r="A85" s="2">
        <v>75</v>
      </c>
      <c r="B85" s="5">
        <f t="shared" si="13"/>
        <v>13.304339999999998</v>
      </c>
      <c r="C85" s="5">
        <f t="shared" si="14"/>
        <v>25.053409999999996</v>
      </c>
      <c r="D85" s="5">
        <f t="shared" si="15"/>
        <v>48.011479999999999</v>
      </c>
      <c r="E85" s="5">
        <f t="shared" si="16"/>
        <v>53.07591</v>
      </c>
      <c r="F85" s="5">
        <f t="shared" si="19"/>
        <v>110.85320999999999</v>
      </c>
    </row>
    <row r="86" spans="1:12" x14ac:dyDescent="0.3">
      <c r="A86" s="2">
        <v>76</v>
      </c>
      <c r="B86" s="5">
        <f t="shared" si="13"/>
        <v>13.304339999999998</v>
      </c>
      <c r="C86" s="5">
        <f t="shared" si="14"/>
        <v>25.053409999999996</v>
      </c>
      <c r="D86" s="5">
        <f t="shared" si="15"/>
        <v>48.011479999999999</v>
      </c>
      <c r="E86" s="5">
        <f t="shared" si="16"/>
        <v>53.07591</v>
      </c>
      <c r="F86" s="5">
        <f t="shared" si="19"/>
        <v>110.85320999999999</v>
      </c>
    </row>
    <row r="87" spans="1:12" x14ac:dyDescent="0.3">
      <c r="A87" s="2">
        <v>77</v>
      </c>
      <c r="B87" s="5">
        <f t="shared" si="13"/>
        <v>13.304339999999998</v>
      </c>
      <c r="C87" s="5">
        <f t="shared" si="14"/>
        <v>25.053409999999996</v>
      </c>
      <c r="D87" s="5">
        <f t="shared" si="15"/>
        <v>48.011479999999999</v>
      </c>
      <c r="E87" s="5">
        <f t="shared" si="16"/>
        <v>53.07591</v>
      </c>
      <c r="F87" s="5">
        <f t="shared" si="19"/>
        <v>110.85320999999999</v>
      </c>
    </row>
    <row r="88" spans="1:12" x14ac:dyDescent="0.3">
      <c r="A88" s="2">
        <v>78</v>
      </c>
      <c r="B88" s="5">
        <f t="shared" si="13"/>
        <v>13.304339999999998</v>
      </c>
      <c r="C88" s="5">
        <f t="shared" si="14"/>
        <v>25.053409999999996</v>
      </c>
      <c r="D88" s="5">
        <f t="shared" si="15"/>
        <v>48.011479999999999</v>
      </c>
      <c r="E88" s="5">
        <f t="shared" si="16"/>
        <v>53.07591</v>
      </c>
      <c r="F88" s="5">
        <f t="shared" si="19"/>
        <v>110.85320999999999</v>
      </c>
    </row>
    <row r="89" spans="1:12" x14ac:dyDescent="0.3">
      <c r="A89" s="2">
        <v>79</v>
      </c>
      <c r="B89" s="5">
        <f t="shared" si="13"/>
        <v>13.304339999999998</v>
      </c>
      <c r="C89" s="5">
        <f t="shared" si="14"/>
        <v>25.053409999999996</v>
      </c>
      <c r="D89" s="5">
        <f t="shared" si="15"/>
        <v>48.011479999999999</v>
      </c>
      <c r="E89" s="5">
        <f t="shared" si="16"/>
        <v>53.07591</v>
      </c>
      <c r="F89" s="5">
        <f t="shared" si="19"/>
        <v>110.85320999999999</v>
      </c>
    </row>
    <row r="90" spans="1:12" x14ac:dyDescent="0.3">
      <c r="A90" s="2">
        <v>80</v>
      </c>
      <c r="B90" s="5">
        <f t="shared" si="13"/>
        <v>13.304339999999998</v>
      </c>
      <c r="C90" s="5">
        <f t="shared" si="14"/>
        <v>25.053409999999996</v>
      </c>
      <c r="D90" s="5">
        <f t="shared" si="15"/>
        <v>48.011479999999999</v>
      </c>
      <c r="E90" s="5">
        <f t="shared" si="16"/>
        <v>53.07591</v>
      </c>
      <c r="F90" s="5">
        <f>128.32*1.019+0.2</f>
        <v>130.95807999999997</v>
      </c>
    </row>
    <row r="91" spans="1:12" x14ac:dyDescent="0.3">
      <c r="A91" s="2">
        <v>81</v>
      </c>
      <c r="B91" s="5">
        <f t="shared" si="13"/>
        <v>13.304339999999998</v>
      </c>
      <c r="C91" s="5">
        <f t="shared" si="14"/>
        <v>25.053409999999996</v>
      </c>
      <c r="D91" s="5">
        <f t="shared" si="15"/>
        <v>48.011479999999999</v>
      </c>
      <c r="E91" s="5">
        <f t="shared" si="16"/>
        <v>53.07591</v>
      </c>
      <c r="F91" s="5">
        <f t="shared" ref="F91:F99" si="20">128.32*1.019+0.2</f>
        <v>130.95807999999997</v>
      </c>
    </row>
    <row r="92" spans="1:12" x14ac:dyDescent="0.3">
      <c r="A92" s="2">
        <v>82</v>
      </c>
      <c r="B92" s="5">
        <f t="shared" si="13"/>
        <v>13.304339999999998</v>
      </c>
      <c r="C92" s="5">
        <f t="shared" si="14"/>
        <v>25.053409999999996</v>
      </c>
      <c r="D92" s="5">
        <f t="shared" si="15"/>
        <v>48.011479999999999</v>
      </c>
      <c r="E92" s="5">
        <f t="shared" si="16"/>
        <v>53.07591</v>
      </c>
      <c r="F92" s="5">
        <f t="shared" si="20"/>
        <v>130.95807999999997</v>
      </c>
    </row>
    <row r="93" spans="1:12" x14ac:dyDescent="0.3">
      <c r="A93" s="2">
        <v>83</v>
      </c>
      <c r="B93" s="5">
        <f t="shared" si="13"/>
        <v>13.304339999999998</v>
      </c>
      <c r="C93" s="5">
        <f t="shared" si="14"/>
        <v>25.053409999999996</v>
      </c>
      <c r="D93" s="5">
        <f t="shared" si="15"/>
        <v>48.011479999999999</v>
      </c>
      <c r="E93" s="5">
        <f t="shared" si="16"/>
        <v>53.07591</v>
      </c>
      <c r="F93" s="5">
        <f t="shared" si="20"/>
        <v>130.95807999999997</v>
      </c>
    </row>
    <row r="94" spans="1:12" x14ac:dyDescent="0.3">
      <c r="A94" s="2">
        <v>84</v>
      </c>
      <c r="B94" s="5">
        <f t="shared" si="13"/>
        <v>13.304339999999998</v>
      </c>
      <c r="C94" s="5">
        <f t="shared" si="14"/>
        <v>25.053409999999996</v>
      </c>
      <c r="D94" s="5">
        <f t="shared" si="15"/>
        <v>48.011479999999999</v>
      </c>
      <c r="E94" s="5">
        <f t="shared" si="16"/>
        <v>53.07591</v>
      </c>
      <c r="F94" s="5">
        <f t="shared" si="20"/>
        <v>130.95807999999997</v>
      </c>
    </row>
    <row r="95" spans="1:12" x14ac:dyDescent="0.3">
      <c r="A95" s="2">
        <v>85</v>
      </c>
      <c r="B95" s="5">
        <f t="shared" si="13"/>
        <v>13.304339999999998</v>
      </c>
      <c r="C95" s="5">
        <f t="shared" si="14"/>
        <v>25.053409999999996</v>
      </c>
      <c r="D95" s="5">
        <f t="shared" si="15"/>
        <v>48.011479999999999</v>
      </c>
      <c r="E95" s="5">
        <f t="shared" si="16"/>
        <v>53.07591</v>
      </c>
      <c r="F95" s="5">
        <f t="shared" si="20"/>
        <v>130.95807999999997</v>
      </c>
    </row>
    <row r="96" spans="1:12" x14ac:dyDescent="0.3">
      <c r="A96" s="2">
        <v>86</v>
      </c>
      <c r="B96" s="5">
        <f t="shared" si="13"/>
        <v>13.304339999999998</v>
      </c>
      <c r="C96" s="5">
        <f t="shared" si="14"/>
        <v>25.053409999999996</v>
      </c>
      <c r="D96" s="5">
        <f t="shared" si="15"/>
        <v>48.011479999999999</v>
      </c>
      <c r="E96" s="5">
        <f t="shared" si="16"/>
        <v>53.07591</v>
      </c>
      <c r="F96" s="5">
        <f t="shared" si="20"/>
        <v>130.95807999999997</v>
      </c>
    </row>
    <row r="97" spans="1:6" x14ac:dyDescent="0.3">
      <c r="A97" s="2">
        <v>87</v>
      </c>
      <c r="B97" s="5">
        <f t="shared" si="13"/>
        <v>13.304339999999998</v>
      </c>
      <c r="C97" s="5">
        <f t="shared" si="14"/>
        <v>25.053409999999996</v>
      </c>
      <c r="D97" s="5">
        <f t="shared" si="15"/>
        <v>48.011479999999999</v>
      </c>
      <c r="E97" s="5">
        <f t="shared" si="16"/>
        <v>53.07591</v>
      </c>
      <c r="F97" s="5">
        <f t="shared" si="20"/>
        <v>130.95807999999997</v>
      </c>
    </row>
    <row r="98" spans="1:6" x14ac:dyDescent="0.3">
      <c r="A98" s="2">
        <v>88</v>
      </c>
      <c r="B98" s="5">
        <f t="shared" si="13"/>
        <v>13.304339999999998</v>
      </c>
      <c r="C98" s="5">
        <f t="shared" si="14"/>
        <v>25.053409999999996</v>
      </c>
      <c r="D98" s="5">
        <f t="shared" si="15"/>
        <v>48.011479999999999</v>
      </c>
      <c r="E98" s="5">
        <f t="shared" si="16"/>
        <v>53.07591</v>
      </c>
      <c r="F98" s="5">
        <f t="shared" si="20"/>
        <v>130.95807999999997</v>
      </c>
    </row>
    <row r="99" spans="1:6" x14ac:dyDescent="0.3">
      <c r="A99" s="2">
        <v>89</v>
      </c>
      <c r="B99" s="5">
        <f t="shared" si="13"/>
        <v>13.304339999999998</v>
      </c>
      <c r="C99" s="5">
        <f t="shared" si="14"/>
        <v>25.053409999999996</v>
      </c>
      <c r="D99" s="5">
        <f t="shared" si="15"/>
        <v>48.011479999999999</v>
      </c>
      <c r="E99" s="5">
        <f t="shared" si="16"/>
        <v>53.07591</v>
      </c>
      <c r="F99" s="5">
        <f t="shared" si="20"/>
        <v>130.95807999999997</v>
      </c>
    </row>
    <row r="100" spans="1:6" x14ac:dyDescent="0.3">
      <c r="A100" s="2">
        <v>90</v>
      </c>
      <c r="B100" s="5">
        <f t="shared" si="13"/>
        <v>13.304339999999998</v>
      </c>
      <c r="C100" s="5">
        <f t="shared" si="14"/>
        <v>25.053409999999996</v>
      </c>
      <c r="D100" s="5">
        <f t="shared" si="15"/>
        <v>48.011479999999999</v>
      </c>
      <c r="E100" s="5">
        <f t="shared" si="16"/>
        <v>53.07591</v>
      </c>
      <c r="F100" s="5">
        <f>145.7*1.019+0.2</f>
        <v>148.66829999999996</v>
      </c>
    </row>
    <row r="101" spans="1:6" x14ac:dyDescent="0.3">
      <c r="A101" s="2">
        <v>91</v>
      </c>
      <c r="B101" s="5">
        <f t="shared" si="13"/>
        <v>13.304339999999998</v>
      </c>
      <c r="C101" s="5">
        <f t="shared" si="14"/>
        <v>25.053409999999996</v>
      </c>
      <c r="D101" s="5">
        <f t="shared" si="15"/>
        <v>48.011479999999999</v>
      </c>
      <c r="E101" s="5">
        <f t="shared" si="16"/>
        <v>53.07591</v>
      </c>
      <c r="F101" s="5">
        <f t="shared" ref="F101:F109" si="21">145.7*1.019+0.2</f>
        <v>148.66829999999996</v>
      </c>
    </row>
    <row r="102" spans="1:6" x14ac:dyDescent="0.3">
      <c r="A102" s="2">
        <v>92</v>
      </c>
      <c r="B102" s="5">
        <f t="shared" si="13"/>
        <v>13.304339999999998</v>
      </c>
      <c r="C102" s="5">
        <f t="shared" si="14"/>
        <v>25.053409999999996</v>
      </c>
      <c r="D102" s="5">
        <f t="shared" si="15"/>
        <v>48.011479999999999</v>
      </c>
      <c r="E102" s="5">
        <f t="shared" si="16"/>
        <v>53.07591</v>
      </c>
      <c r="F102" s="5">
        <f t="shared" si="21"/>
        <v>148.66829999999996</v>
      </c>
    </row>
    <row r="103" spans="1:6" x14ac:dyDescent="0.3">
      <c r="A103" s="2">
        <v>93</v>
      </c>
      <c r="B103" s="5">
        <f t="shared" si="13"/>
        <v>13.304339999999998</v>
      </c>
      <c r="C103" s="5">
        <f t="shared" si="14"/>
        <v>25.053409999999996</v>
      </c>
      <c r="D103" s="5">
        <f t="shared" si="15"/>
        <v>48.011479999999999</v>
      </c>
      <c r="E103" s="5">
        <f t="shared" si="16"/>
        <v>53.07591</v>
      </c>
      <c r="F103" s="5">
        <f t="shared" si="21"/>
        <v>148.66829999999996</v>
      </c>
    </row>
    <row r="104" spans="1:6" x14ac:dyDescent="0.3">
      <c r="A104" s="2">
        <v>94</v>
      </c>
      <c r="B104" s="5">
        <f t="shared" si="13"/>
        <v>13.304339999999998</v>
      </c>
      <c r="C104" s="5">
        <f t="shared" si="14"/>
        <v>25.053409999999996</v>
      </c>
      <c r="D104" s="5">
        <f t="shared" si="15"/>
        <v>48.011479999999999</v>
      </c>
      <c r="E104" s="5">
        <f t="shared" si="16"/>
        <v>53.07591</v>
      </c>
      <c r="F104" s="5">
        <f t="shared" si="21"/>
        <v>148.66829999999996</v>
      </c>
    </row>
    <row r="105" spans="1:6" x14ac:dyDescent="0.3">
      <c r="A105" s="2">
        <v>95</v>
      </c>
      <c r="B105" s="5">
        <f t="shared" si="13"/>
        <v>13.304339999999998</v>
      </c>
      <c r="C105" s="5">
        <f t="shared" si="14"/>
        <v>25.053409999999996</v>
      </c>
      <c r="D105" s="5">
        <f t="shared" si="15"/>
        <v>48.011479999999999</v>
      </c>
      <c r="E105" s="5">
        <f t="shared" si="16"/>
        <v>53.07591</v>
      </c>
      <c r="F105" s="5">
        <f t="shared" si="21"/>
        <v>148.66829999999996</v>
      </c>
    </row>
    <row r="106" spans="1:6" x14ac:dyDescent="0.3">
      <c r="A106" s="2">
        <v>96</v>
      </c>
      <c r="B106" s="5">
        <f t="shared" si="13"/>
        <v>13.304339999999998</v>
      </c>
      <c r="C106" s="5">
        <f t="shared" si="14"/>
        <v>25.053409999999996</v>
      </c>
      <c r="D106" s="5">
        <f t="shared" si="15"/>
        <v>48.011479999999999</v>
      </c>
      <c r="E106" s="5">
        <f t="shared" si="16"/>
        <v>53.07591</v>
      </c>
      <c r="F106" s="5">
        <f t="shared" si="21"/>
        <v>148.66829999999996</v>
      </c>
    </row>
    <row r="107" spans="1:6" x14ac:dyDescent="0.3">
      <c r="A107" s="2">
        <v>97</v>
      </c>
      <c r="B107" s="5">
        <f t="shared" si="13"/>
        <v>13.304339999999998</v>
      </c>
      <c r="C107" s="5">
        <f t="shared" si="14"/>
        <v>25.053409999999996</v>
      </c>
      <c r="D107" s="5">
        <f t="shared" si="15"/>
        <v>48.011479999999999</v>
      </c>
      <c r="E107" s="5">
        <f t="shared" si="16"/>
        <v>53.07591</v>
      </c>
      <c r="F107" s="5">
        <f t="shared" si="21"/>
        <v>148.66829999999996</v>
      </c>
    </row>
    <row r="108" spans="1:6" x14ac:dyDescent="0.3">
      <c r="A108" s="2">
        <v>98</v>
      </c>
      <c r="B108" s="5">
        <f t="shared" si="13"/>
        <v>13.304339999999998</v>
      </c>
      <c r="C108" s="5">
        <f t="shared" si="14"/>
        <v>25.053409999999996</v>
      </c>
      <c r="D108" s="5">
        <f t="shared" si="15"/>
        <v>48.011479999999999</v>
      </c>
      <c r="E108" s="5">
        <f t="shared" si="16"/>
        <v>53.07591</v>
      </c>
      <c r="F108" s="5">
        <f t="shared" si="21"/>
        <v>148.66829999999996</v>
      </c>
    </row>
    <row r="109" spans="1:6" x14ac:dyDescent="0.3">
      <c r="A109" s="2">
        <v>99</v>
      </c>
      <c r="B109" s="5">
        <f>12.86*1.019+0.2</f>
        <v>13.304339999999998</v>
      </c>
      <c r="C109" s="5">
        <f t="shared" si="14"/>
        <v>25.053409999999996</v>
      </c>
      <c r="D109" s="5">
        <f t="shared" si="15"/>
        <v>48.011479999999999</v>
      </c>
      <c r="E109" s="5">
        <f t="shared" si="16"/>
        <v>53.07591</v>
      </c>
      <c r="F109" s="5">
        <f t="shared" si="21"/>
        <v>148.66829999999996</v>
      </c>
    </row>
    <row r="110" spans="1:6" x14ac:dyDescent="0.3">
      <c r="A110" s="2">
        <v>100</v>
      </c>
      <c r="B110" s="5">
        <f>19.29*1.019+0.2</f>
        <v>19.856509999999997</v>
      </c>
      <c r="C110" s="5">
        <f>44.23*1.019+0.2</f>
        <v>45.270369999999993</v>
      </c>
      <c r="D110" s="5">
        <f>58.07*1.019+0.2</f>
        <v>59.373329999999996</v>
      </c>
      <c r="E110" s="5">
        <f>60.7*1.019+0.2</f>
        <v>62.0533</v>
      </c>
      <c r="F110" s="5">
        <f>150.98*1.019+0.2</f>
        <v>154.04861999999997</v>
      </c>
    </row>
    <row r="111" spans="1:6" x14ac:dyDescent="0.3">
      <c r="A111" s="2">
        <v>101</v>
      </c>
      <c r="B111" s="5">
        <f t="shared" ref="B111:B159" si="22">19.29*1.019+0.2</f>
        <v>19.856509999999997</v>
      </c>
      <c r="C111" s="5">
        <f t="shared" ref="C111:C159" si="23">44.23*1.019+0.2</f>
        <v>45.270369999999993</v>
      </c>
      <c r="D111" s="5">
        <f t="shared" ref="D111:D159" si="24">58.07*1.019+0.2</f>
        <v>59.373329999999996</v>
      </c>
      <c r="E111" s="5">
        <f t="shared" ref="E111:E159" si="25">60.7*1.019+0.2</f>
        <v>62.0533</v>
      </c>
      <c r="F111" s="5">
        <f t="shared" ref="F111:F119" si="26">150.98*1.019+0.2</f>
        <v>154.04861999999997</v>
      </c>
    </row>
    <row r="112" spans="1:6" x14ac:dyDescent="0.3">
      <c r="A112" s="2">
        <v>102</v>
      </c>
      <c r="B112" s="5">
        <f t="shared" si="22"/>
        <v>19.856509999999997</v>
      </c>
      <c r="C112" s="5">
        <f t="shared" si="23"/>
        <v>45.270369999999993</v>
      </c>
      <c r="D112" s="5">
        <f t="shared" si="24"/>
        <v>59.373329999999996</v>
      </c>
      <c r="E112" s="5">
        <f t="shared" si="25"/>
        <v>62.0533</v>
      </c>
      <c r="F112" s="5">
        <f t="shared" si="26"/>
        <v>154.04861999999997</v>
      </c>
    </row>
    <row r="113" spans="1:6" x14ac:dyDescent="0.3">
      <c r="A113" s="2">
        <v>103</v>
      </c>
      <c r="B113" s="5">
        <f t="shared" si="22"/>
        <v>19.856509999999997</v>
      </c>
      <c r="C113" s="5">
        <f t="shared" si="23"/>
        <v>45.270369999999993</v>
      </c>
      <c r="D113" s="5">
        <f t="shared" si="24"/>
        <v>59.373329999999996</v>
      </c>
      <c r="E113" s="5">
        <f t="shared" si="25"/>
        <v>62.0533</v>
      </c>
      <c r="F113" s="5">
        <f t="shared" si="26"/>
        <v>154.04861999999997</v>
      </c>
    </row>
    <row r="114" spans="1:6" x14ac:dyDescent="0.3">
      <c r="A114" s="2">
        <v>104</v>
      </c>
      <c r="B114" s="5">
        <f t="shared" si="22"/>
        <v>19.856509999999997</v>
      </c>
      <c r="C114" s="5">
        <f t="shared" si="23"/>
        <v>45.270369999999993</v>
      </c>
      <c r="D114" s="5">
        <f t="shared" si="24"/>
        <v>59.373329999999996</v>
      </c>
      <c r="E114" s="5">
        <f t="shared" si="25"/>
        <v>62.0533</v>
      </c>
      <c r="F114" s="5">
        <f t="shared" si="26"/>
        <v>154.04861999999997</v>
      </c>
    </row>
    <row r="115" spans="1:6" x14ac:dyDescent="0.3">
      <c r="A115" s="2">
        <v>105</v>
      </c>
      <c r="B115" s="5">
        <f t="shared" si="22"/>
        <v>19.856509999999997</v>
      </c>
      <c r="C115" s="5">
        <f t="shared" si="23"/>
        <v>45.270369999999993</v>
      </c>
      <c r="D115" s="5">
        <f t="shared" si="24"/>
        <v>59.373329999999996</v>
      </c>
      <c r="E115" s="5">
        <f t="shared" si="25"/>
        <v>62.0533</v>
      </c>
      <c r="F115" s="5">
        <f t="shared" si="26"/>
        <v>154.04861999999997</v>
      </c>
    </row>
    <row r="116" spans="1:6" x14ac:dyDescent="0.3">
      <c r="A116" s="2">
        <v>106</v>
      </c>
      <c r="B116" s="5">
        <f t="shared" si="22"/>
        <v>19.856509999999997</v>
      </c>
      <c r="C116" s="5">
        <f t="shared" si="23"/>
        <v>45.270369999999993</v>
      </c>
      <c r="D116" s="5">
        <f t="shared" si="24"/>
        <v>59.373329999999996</v>
      </c>
      <c r="E116" s="5">
        <f t="shared" si="25"/>
        <v>62.0533</v>
      </c>
      <c r="F116" s="5">
        <f t="shared" si="26"/>
        <v>154.04861999999997</v>
      </c>
    </row>
    <row r="117" spans="1:6" x14ac:dyDescent="0.3">
      <c r="A117" s="2">
        <v>107</v>
      </c>
      <c r="B117" s="5">
        <f t="shared" si="22"/>
        <v>19.856509999999997</v>
      </c>
      <c r="C117" s="5">
        <f t="shared" si="23"/>
        <v>45.270369999999993</v>
      </c>
      <c r="D117" s="5">
        <f t="shared" si="24"/>
        <v>59.373329999999996</v>
      </c>
      <c r="E117" s="5">
        <f t="shared" si="25"/>
        <v>62.0533</v>
      </c>
      <c r="F117" s="5">
        <f t="shared" si="26"/>
        <v>154.04861999999997</v>
      </c>
    </row>
    <row r="118" spans="1:6" x14ac:dyDescent="0.3">
      <c r="A118" s="2">
        <v>108</v>
      </c>
      <c r="B118" s="5">
        <f t="shared" si="22"/>
        <v>19.856509999999997</v>
      </c>
      <c r="C118" s="5">
        <f t="shared" si="23"/>
        <v>45.270369999999993</v>
      </c>
      <c r="D118" s="5">
        <f t="shared" si="24"/>
        <v>59.373329999999996</v>
      </c>
      <c r="E118" s="5">
        <f t="shared" si="25"/>
        <v>62.0533</v>
      </c>
      <c r="F118" s="5">
        <f t="shared" si="26"/>
        <v>154.04861999999997</v>
      </c>
    </row>
    <row r="119" spans="1:6" x14ac:dyDescent="0.3">
      <c r="A119" s="2">
        <v>109</v>
      </c>
      <c r="B119" s="5">
        <f t="shared" si="22"/>
        <v>19.856509999999997</v>
      </c>
      <c r="C119" s="5">
        <f t="shared" si="23"/>
        <v>45.270369999999993</v>
      </c>
      <c r="D119" s="5">
        <f t="shared" si="24"/>
        <v>59.373329999999996</v>
      </c>
      <c r="E119" s="5">
        <f t="shared" si="25"/>
        <v>62.0533</v>
      </c>
      <c r="F119" s="5">
        <f t="shared" si="26"/>
        <v>154.04861999999997</v>
      </c>
    </row>
    <row r="120" spans="1:6" x14ac:dyDescent="0.3">
      <c r="A120" s="2">
        <v>110</v>
      </c>
      <c r="B120" s="5">
        <f t="shared" si="22"/>
        <v>19.856509999999997</v>
      </c>
      <c r="C120" s="5">
        <f t="shared" si="23"/>
        <v>45.270369999999993</v>
      </c>
      <c r="D120" s="5">
        <f t="shared" si="24"/>
        <v>59.373329999999996</v>
      </c>
      <c r="E120" s="5">
        <f t="shared" si="25"/>
        <v>62.0533</v>
      </c>
      <c r="F120" s="27"/>
    </row>
    <row r="121" spans="1:6" x14ac:dyDescent="0.3">
      <c r="A121" s="2">
        <v>111</v>
      </c>
      <c r="B121" s="5">
        <f t="shared" si="22"/>
        <v>19.856509999999997</v>
      </c>
      <c r="C121" s="5">
        <f t="shared" si="23"/>
        <v>45.270369999999993</v>
      </c>
      <c r="D121" s="5">
        <f t="shared" si="24"/>
        <v>59.373329999999996</v>
      </c>
      <c r="E121" s="5">
        <f t="shared" si="25"/>
        <v>62.0533</v>
      </c>
      <c r="F121" s="27"/>
    </row>
    <row r="122" spans="1:6" x14ac:dyDescent="0.3">
      <c r="A122" s="2">
        <v>112</v>
      </c>
      <c r="B122" s="5">
        <f t="shared" si="22"/>
        <v>19.856509999999997</v>
      </c>
      <c r="C122" s="5">
        <f t="shared" si="23"/>
        <v>45.270369999999993</v>
      </c>
      <c r="D122" s="5">
        <f t="shared" si="24"/>
        <v>59.373329999999996</v>
      </c>
      <c r="E122" s="5">
        <f t="shared" si="25"/>
        <v>62.0533</v>
      </c>
      <c r="F122" s="27"/>
    </row>
    <row r="123" spans="1:6" x14ac:dyDescent="0.3">
      <c r="A123" s="2">
        <v>113</v>
      </c>
      <c r="B123" s="5">
        <f t="shared" si="22"/>
        <v>19.856509999999997</v>
      </c>
      <c r="C123" s="5">
        <f t="shared" si="23"/>
        <v>45.270369999999993</v>
      </c>
      <c r="D123" s="5">
        <f t="shared" si="24"/>
        <v>59.373329999999996</v>
      </c>
      <c r="E123" s="5">
        <f t="shared" si="25"/>
        <v>62.0533</v>
      </c>
      <c r="F123" s="27"/>
    </row>
    <row r="124" spans="1:6" x14ac:dyDescent="0.3">
      <c r="A124" s="2">
        <v>114</v>
      </c>
      <c r="B124" s="5">
        <f t="shared" si="22"/>
        <v>19.856509999999997</v>
      </c>
      <c r="C124" s="5">
        <f t="shared" si="23"/>
        <v>45.270369999999993</v>
      </c>
      <c r="D124" s="5">
        <f t="shared" si="24"/>
        <v>59.373329999999996</v>
      </c>
      <c r="E124" s="5">
        <f t="shared" si="25"/>
        <v>62.0533</v>
      </c>
      <c r="F124" s="27"/>
    </row>
    <row r="125" spans="1:6" x14ac:dyDescent="0.3">
      <c r="A125" s="2">
        <v>115</v>
      </c>
      <c r="B125" s="5">
        <f t="shared" si="22"/>
        <v>19.856509999999997</v>
      </c>
      <c r="C125" s="5">
        <f t="shared" si="23"/>
        <v>45.270369999999993</v>
      </c>
      <c r="D125" s="5">
        <f t="shared" si="24"/>
        <v>59.373329999999996</v>
      </c>
      <c r="E125" s="5">
        <f t="shared" si="25"/>
        <v>62.0533</v>
      </c>
      <c r="F125" s="27"/>
    </row>
    <row r="126" spans="1:6" x14ac:dyDescent="0.3">
      <c r="A126" s="2">
        <v>116</v>
      </c>
      <c r="B126" s="5">
        <f t="shared" si="22"/>
        <v>19.856509999999997</v>
      </c>
      <c r="C126" s="5">
        <f t="shared" si="23"/>
        <v>45.270369999999993</v>
      </c>
      <c r="D126" s="5">
        <f t="shared" si="24"/>
        <v>59.373329999999996</v>
      </c>
      <c r="E126" s="5">
        <f t="shared" si="25"/>
        <v>62.0533</v>
      </c>
      <c r="F126" s="27"/>
    </row>
    <row r="127" spans="1:6" x14ac:dyDescent="0.3">
      <c r="A127" s="2">
        <v>117</v>
      </c>
      <c r="B127" s="5">
        <f t="shared" si="22"/>
        <v>19.856509999999997</v>
      </c>
      <c r="C127" s="5">
        <f t="shared" si="23"/>
        <v>45.270369999999993</v>
      </c>
      <c r="D127" s="5">
        <f t="shared" si="24"/>
        <v>59.373329999999996</v>
      </c>
      <c r="E127" s="5">
        <f t="shared" si="25"/>
        <v>62.0533</v>
      </c>
      <c r="F127" s="27"/>
    </row>
    <row r="128" spans="1:6" x14ac:dyDescent="0.3">
      <c r="A128" s="2">
        <v>118</v>
      </c>
      <c r="B128" s="5">
        <f t="shared" si="22"/>
        <v>19.856509999999997</v>
      </c>
      <c r="C128" s="5">
        <f t="shared" si="23"/>
        <v>45.270369999999993</v>
      </c>
      <c r="D128" s="5">
        <f t="shared" si="24"/>
        <v>59.373329999999996</v>
      </c>
      <c r="E128" s="5">
        <f t="shared" si="25"/>
        <v>62.0533</v>
      </c>
      <c r="F128" s="27"/>
    </row>
    <row r="129" spans="1:6" x14ac:dyDescent="0.3">
      <c r="A129" s="2">
        <v>119</v>
      </c>
      <c r="B129" s="5">
        <f t="shared" si="22"/>
        <v>19.856509999999997</v>
      </c>
      <c r="C129" s="5">
        <f t="shared" si="23"/>
        <v>45.270369999999993</v>
      </c>
      <c r="D129" s="5">
        <f t="shared" si="24"/>
        <v>59.373329999999996</v>
      </c>
      <c r="E129" s="5">
        <f t="shared" si="25"/>
        <v>62.0533</v>
      </c>
      <c r="F129" s="27"/>
    </row>
    <row r="130" spans="1:6" x14ac:dyDescent="0.3">
      <c r="A130" s="2">
        <v>120</v>
      </c>
      <c r="B130" s="5">
        <f t="shared" si="22"/>
        <v>19.856509999999997</v>
      </c>
      <c r="C130" s="5">
        <f t="shared" si="23"/>
        <v>45.270369999999993</v>
      </c>
      <c r="D130" s="5">
        <f t="shared" si="24"/>
        <v>59.373329999999996</v>
      </c>
      <c r="E130" s="5">
        <f t="shared" si="25"/>
        <v>62.0533</v>
      </c>
      <c r="F130" s="27"/>
    </row>
    <row r="131" spans="1:6" x14ac:dyDescent="0.3">
      <c r="A131" s="2">
        <v>121</v>
      </c>
      <c r="B131" s="5">
        <f t="shared" si="22"/>
        <v>19.856509999999997</v>
      </c>
      <c r="C131" s="5">
        <f t="shared" si="23"/>
        <v>45.270369999999993</v>
      </c>
      <c r="D131" s="5">
        <f t="shared" si="24"/>
        <v>59.373329999999996</v>
      </c>
      <c r="E131" s="5">
        <f t="shared" si="25"/>
        <v>62.0533</v>
      </c>
      <c r="F131" s="27"/>
    </row>
    <row r="132" spans="1:6" x14ac:dyDescent="0.3">
      <c r="A132" s="2">
        <v>122</v>
      </c>
      <c r="B132" s="5">
        <f t="shared" si="22"/>
        <v>19.856509999999997</v>
      </c>
      <c r="C132" s="5">
        <f t="shared" si="23"/>
        <v>45.270369999999993</v>
      </c>
      <c r="D132" s="5">
        <f t="shared" si="24"/>
        <v>59.373329999999996</v>
      </c>
      <c r="E132" s="5">
        <f t="shared" si="25"/>
        <v>62.0533</v>
      </c>
      <c r="F132" s="27"/>
    </row>
    <row r="133" spans="1:6" x14ac:dyDescent="0.3">
      <c r="A133" s="2">
        <v>123</v>
      </c>
      <c r="B133" s="5">
        <f t="shared" si="22"/>
        <v>19.856509999999997</v>
      </c>
      <c r="C133" s="5">
        <f t="shared" si="23"/>
        <v>45.270369999999993</v>
      </c>
      <c r="D133" s="5">
        <f t="shared" si="24"/>
        <v>59.373329999999996</v>
      </c>
      <c r="E133" s="5">
        <f t="shared" si="25"/>
        <v>62.0533</v>
      </c>
      <c r="F133" s="27"/>
    </row>
    <row r="134" spans="1:6" x14ac:dyDescent="0.3">
      <c r="A134" s="2">
        <v>124</v>
      </c>
      <c r="B134" s="5">
        <f t="shared" si="22"/>
        <v>19.856509999999997</v>
      </c>
      <c r="C134" s="5">
        <f t="shared" si="23"/>
        <v>45.270369999999993</v>
      </c>
      <c r="D134" s="5">
        <f t="shared" si="24"/>
        <v>59.373329999999996</v>
      </c>
      <c r="E134" s="5">
        <f t="shared" si="25"/>
        <v>62.0533</v>
      </c>
      <c r="F134" s="27"/>
    </row>
    <row r="135" spans="1:6" x14ac:dyDescent="0.3">
      <c r="A135" s="2">
        <v>125</v>
      </c>
      <c r="B135" s="5">
        <f t="shared" si="22"/>
        <v>19.856509999999997</v>
      </c>
      <c r="C135" s="5">
        <f t="shared" si="23"/>
        <v>45.270369999999993</v>
      </c>
      <c r="D135" s="5">
        <f t="shared" si="24"/>
        <v>59.373329999999996</v>
      </c>
      <c r="E135" s="5">
        <f t="shared" si="25"/>
        <v>62.0533</v>
      </c>
      <c r="F135" s="27"/>
    </row>
    <row r="136" spans="1:6" x14ac:dyDescent="0.3">
      <c r="A136" s="2">
        <v>126</v>
      </c>
      <c r="B136" s="5">
        <f t="shared" si="22"/>
        <v>19.856509999999997</v>
      </c>
      <c r="C136" s="5">
        <f t="shared" si="23"/>
        <v>45.270369999999993</v>
      </c>
      <c r="D136" s="5">
        <f t="shared" si="24"/>
        <v>59.373329999999996</v>
      </c>
      <c r="E136" s="5">
        <f t="shared" si="25"/>
        <v>62.0533</v>
      </c>
      <c r="F136" s="27"/>
    </row>
    <row r="137" spans="1:6" x14ac:dyDescent="0.3">
      <c r="A137" s="2">
        <v>127</v>
      </c>
      <c r="B137" s="5">
        <f t="shared" si="22"/>
        <v>19.856509999999997</v>
      </c>
      <c r="C137" s="5">
        <f t="shared" si="23"/>
        <v>45.270369999999993</v>
      </c>
      <c r="D137" s="5">
        <f t="shared" si="24"/>
        <v>59.373329999999996</v>
      </c>
      <c r="E137" s="5">
        <f t="shared" si="25"/>
        <v>62.0533</v>
      </c>
      <c r="F137" s="27"/>
    </row>
    <row r="138" spans="1:6" x14ac:dyDescent="0.3">
      <c r="A138" s="2">
        <v>128</v>
      </c>
      <c r="B138" s="5">
        <f t="shared" si="22"/>
        <v>19.856509999999997</v>
      </c>
      <c r="C138" s="5">
        <f t="shared" si="23"/>
        <v>45.270369999999993</v>
      </c>
      <c r="D138" s="5">
        <f t="shared" si="24"/>
        <v>59.373329999999996</v>
      </c>
      <c r="E138" s="5">
        <f t="shared" si="25"/>
        <v>62.0533</v>
      </c>
      <c r="F138" s="27"/>
    </row>
    <row r="139" spans="1:6" x14ac:dyDescent="0.3">
      <c r="A139" s="2">
        <v>129</v>
      </c>
      <c r="B139" s="5">
        <f t="shared" si="22"/>
        <v>19.856509999999997</v>
      </c>
      <c r="C139" s="5">
        <f t="shared" si="23"/>
        <v>45.270369999999993</v>
      </c>
      <c r="D139" s="5">
        <f t="shared" si="24"/>
        <v>59.373329999999996</v>
      </c>
      <c r="E139" s="5">
        <f t="shared" si="25"/>
        <v>62.0533</v>
      </c>
      <c r="F139" s="27"/>
    </row>
    <row r="140" spans="1:6" x14ac:dyDescent="0.3">
      <c r="A140" s="2">
        <v>130</v>
      </c>
      <c r="B140" s="5">
        <f t="shared" si="22"/>
        <v>19.856509999999997</v>
      </c>
      <c r="C140" s="5">
        <f t="shared" si="23"/>
        <v>45.270369999999993</v>
      </c>
      <c r="D140" s="5">
        <f t="shared" si="24"/>
        <v>59.373329999999996</v>
      </c>
      <c r="E140" s="5">
        <f t="shared" si="25"/>
        <v>62.0533</v>
      </c>
      <c r="F140" s="27"/>
    </row>
    <row r="141" spans="1:6" x14ac:dyDescent="0.3">
      <c r="A141" s="2">
        <v>131</v>
      </c>
      <c r="B141" s="5">
        <f t="shared" si="22"/>
        <v>19.856509999999997</v>
      </c>
      <c r="C141" s="5">
        <f t="shared" si="23"/>
        <v>45.270369999999993</v>
      </c>
      <c r="D141" s="5">
        <f t="shared" si="24"/>
        <v>59.373329999999996</v>
      </c>
      <c r="E141" s="5">
        <f t="shared" si="25"/>
        <v>62.0533</v>
      </c>
      <c r="F141" s="27"/>
    </row>
    <row r="142" spans="1:6" x14ac:dyDescent="0.3">
      <c r="A142" s="2">
        <v>132</v>
      </c>
      <c r="B142" s="5">
        <f t="shared" si="22"/>
        <v>19.856509999999997</v>
      </c>
      <c r="C142" s="5">
        <f t="shared" si="23"/>
        <v>45.270369999999993</v>
      </c>
      <c r="D142" s="5">
        <f t="shared" si="24"/>
        <v>59.373329999999996</v>
      </c>
      <c r="E142" s="5">
        <f t="shared" si="25"/>
        <v>62.0533</v>
      </c>
      <c r="F142" s="27"/>
    </row>
    <row r="143" spans="1:6" x14ac:dyDescent="0.3">
      <c r="A143" s="2">
        <v>133</v>
      </c>
      <c r="B143" s="5">
        <f t="shared" si="22"/>
        <v>19.856509999999997</v>
      </c>
      <c r="C143" s="5">
        <f t="shared" si="23"/>
        <v>45.270369999999993</v>
      </c>
      <c r="D143" s="5">
        <f t="shared" si="24"/>
        <v>59.373329999999996</v>
      </c>
      <c r="E143" s="5">
        <f t="shared" si="25"/>
        <v>62.0533</v>
      </c>
      <c r="F143" s="27"/>
    </row>
    <row r="144" spans="1:6" x14ac:dyDescent="0.3">
      <c r="A144" s="2">
        <v>134</v>
      </c>
      <c r="B144" s="5">
        <f t="shared" si="22"/>
        <v>19.856509999999997</v>
      </c>
      <c r="C144" s="5">
        <f t="shared" si="23"/>
        <v>45.270369999999993</v>
      </c>
      <c r="D144" s="5">
        <f t="shared" si="24"/>
        <v>59.373329999999996</v>
      </c>
      <c r="E144" s="5">
        <f t="shared" si="25"/>
        <v>62.0533</v>
      </c>
      <c r="F144" s="27"/>
    </row>
    <row r="145" spans="1:6" x14ac:dyDescent="0.3">
      <c r="A145" s="2">
        <v>135</v>
      </c>
      <c r="B145" s="5">
        <f t="shared" si="22"/>
        <v>19.856509999999997</v>
      </c>
      <c r="C145" s="5">
        <f t="shared" si="23"/>
        <v>45.270369999999993</v>
      </c>
      <c r="D145" s="5">
        <f t="shared" si="24"/>
        <v>59.373329999999996</v>
      </c>
      <c r="E145" s="5">
        <f t="shared" si="25"/>
        <v>62.0533</v>
      </c>
      <c r="F145" s="27"/>
    </row>
    <row r="146" spans="1:6" x14ac:dyDescent="0.3">
      <c r="A146" s="2">
        <v>136</v>
      </c>
      <c r="B146" s="5">
        <f t="shared" si="22"/>
        <v>19.856509999999997</v>
      </c>
      <c r="C146" s="5">
        <f t="shared" si="23"/>
        <v>45.270369999999993</v>
      </c>
      <c r="D146" s="5">
        <f t="shared" si="24"/>
        <v>59.373329999999996</v>
      </c>
      <c r="E146" s="5">
        <f t="shared" si="25"/>
        <v>62.0533</v>
      </c>
      <c r="F146" s="27"/>
    </row>
    <row r="147" spans="1:6" x14ac:dyDescent="0.3">
      <c r="A147" s="2">
        <v>137</v>
      </c>
      <c r="B147" s="5">
        <f t="shared" si="22"/>
        <v>19.856509999999997</v>
      </c>
      <c r="C147" s="5">
        <f t="shared" si="23"/>
        <v>45.270369999999993</v>
      </c>
      <c r="D147" s="5">
        <f t="shared" si="24"/>
        <v>59.373329999999996</v>
      </c>
      <c r="E147" s="5">
        <f t="shared" si="25"/>
        <v>62.0533</v>
      </c>
      <c r="F147" s="27"/>
    </row>
    <row r="148" spans="1:6" x14ac:dyDescent="0.3">
      <c r="A148" s="2">
        <v>138</v>
      </c>
      <c r="B148" s="5">
        <f t="shared" si="22"/>
        <v>19.856509999999997</v>
      </c>
      <c r="C148" s="5">
        <f t="shared" si="23"/>
        <v>45.270369999999993</v>
      </c>
      <c r="D148" s="5">
        <f t="shared" si="24"/>
        <v>59.373329999999996</v>
      </c>
      <c r="E148" s="5">
        <f t="shared" si="25"/>
        <v>62.0533</v>
      </c>
      <c r="F148" s="27"/>
    </row>
    <row r="149" spans="1:6" x14ac:dyDescent="0.3">
      <c r="A149" s="2">
        <v>139</v>
      </c>
      <c r="B149" s="5">
        <f t="shared" si="22"/>
        <v>19.856509999999997</v>
      </c>
      <c r="C149" s="5">
        <f t="shared" si="23"/>
        <v>45.270369999999993</v>
      </c>
      <c r="D149" s="5">
        <f t="shared" si="24"/>
        <v>59.373329999999996</v>
      </c>
      <c r="E149" s="5">
        <f t="shared" si="25"/>
        <v>62.0533</v>
      </c>
      <c r="F149" s="27"/>
    </row>
    <row r="150" spans="1:6" x14ac:dyDescent="0.3">
      <c r="A150" s="2">
        <v>140</v>
      </c>
      <c r="B150" s="5">
        <f t="shared" si="22"/>
        <v>19.856509999999997</v>
      </c>
      <c r="C150" s="5">
        <f t="shared" si="23"/>
        <v>45.270369999999993</v>
      </c>
      <c r="D150" s="5">
        <f t="shared" si="24"/>
        <v>59.373329999999996</v>
      </c>
      <c r="E150" s="5">
        <f t="shared" si="25"/>
        <v>62.0533</v>
      </c>
      <c r="F150" s="27"/>
    </row>
    <row r="151" spans="1:6" x14ac:dyDescent="0.3">
      <c r="A151" s="2">
        <v>141</v>
      </c>
      <c r="B151" s="5">
        <f t="shared" si="22"/>
        <v>19.856509999999997</v>
      </c>
      <c r="C151" s="5">
        <f t="shared" si="23"/>
        <v>45.270369999999993</v>
      </c>
      <c r="D151" s="5">
        <f t="shared" si="24"/>
        <v>59.373329999999996</v>
      </c>
      <c r="E151" s="5">
        <f t="shared" si="25"/>
        <v>62.0533</v>
      </c>
      <c r="F151" s="27"/>
    </row>
    <row r="152" spans="1:6" x14ac:dyDescent="0.3">
      <c r="A152" s="2">
        <v>142</v>
      </c>
      <c r="B152" s="5">
        <f t="shared" si="22"/>
        <v>19.856509999999997</v>
      </c>
      <c r="C152" s="5">
        <f t="shared" si="23"/>
        <v>45.270369999999993</v>
      </c>
      <c r="D152" s="5">
        <f t="shared" si="24"/>
        <v>59.373329999999996</v>
      </c>
      <c r="E152" s="5">
        <f t="shared" si="25"/>
        <v>62.0533</v>
      </c>
      <c r="F152" s="27"/>
    </row>
    <row r="153" spans="1:6" x14ac:dyDescent="0.3">
      <c r="A153" s="2">
        <v>143</v>
      </c>
      <c r="B153" s="5">
        <f t="shared" si="22"/>
        <v>19.856509999999997</v>
      </c>
      <c r="C153" s="5">
        <f t="shared" si="23"/>
        <v>45.270369999999993</v>
      </c>
      <c r="D153" s="5">
        <f t="shared" si="24"/>
        <v>59.373329999999996</v>
      </c>
      <c r="E153" s="5">
        <f t="shared" si="25"/>
        <v>62.0533</v>
      </c>
      <c r="F153" s="27"/>
    </row>
    <row r="154" spans="1:6" x14ac:dyDescent="0.3">
      <c r="A154" s="2">
        <v>144</v>
      </c>
      <c r="B154" s="5">
        <f t="shared" si="22"/>
        <v>19.856509999999997</v>
      </c>
      <c r="C154" s="5">
        <f t="shared" si="23"/>
        <v>45.270369999999993</v>
      </c>
      <c r="D154" s="5">
        <f t="shared" si="24"/>
        <v>59.373329999999996</v>
      </c>
      <c r="E154" s="5">
        <f t="shared" si="25"/>
        <v>62.0533</v>
      </c>
      <c r="F154" s="27"/>
    </row>
    <row r="155" spans="1:6" x14ac:dyDescent="0.3">
      <c r="A155" s="2">
        <v>145</v>
      </c>
      <c r="B155" s="5">
        <f t="shared" si="22"/>
        <v>19.856509999999997</v>
      </c>
      <c r="C155" s="5">
        <f t="shared" si="23"/>
        <v>45.270369999999993</v>
      </c>
      <c r="D155" s="5">
        <f t="shared" si="24"/>
        <v>59.373329999999996</v>
      </c>
      <c r="E155" s="5">
        <f t="shared" si="25"/>
        <v>62.0533</v>
      </c>
      <c r="F155" s="27"/>
    </row>
    <row r="156" spans="1:6" x14ac:dyDescent="0.3">
      <c r="A156" s="2">
        <v>146</v>
      </c>
      <c r="B156" s="5">
        <f t="shared" si="22"/>
        <v>19.856509999999997</v>
      </c>
      <c r="C156" s="5">
        <f t="shared" si="23"/>
        <v>45.270369999999993</v>
      </c>
      <c r="D156" s="5">
        <f t="shared" si="24"/>
        <v>59.373329999999996</v>
      </c>
      <c r="E156" s="5">
        <f t="shared" si="25"/>
        <v>62.0533</v>
      </c>
      <c r="F156" s="27"/>
    </row>
    <row r="157" spans="1:6" x14ac:dyDescent="0.3">
      <c r="A157" s="2">
        <v>147</v>
      </c>
      <c r="B157" s="5">
        <f t="shared" si="22"/>
        <v>19.856509999999997</v>
      </c>
      <c r="C157" s="5">
        <f t="shared" si="23"/>
        <v>45.270369999999993</v>
      </c>
      <c r="D157" s="5">
        <f t="shared" si="24"/>
        <v>59.373329999999996</v>
      </c>
      <c r="E157" s="5">
        <f t="shared" si="25"/>
        <v>62.0533</v>
      </c>
      <c r="F157" s="27"/>
    </row>
    <row r="158" spans="1:6" x14ac:dyDescent="0.3">
      <c r="A158" s="2">
        <v>148</v>
      </c>
      <c r="B158" s="5">
        <f t="shared" si="22"/>
        <v>19.856509999999997</v>
      </c>
      <c r="C158" s="5">
        <f t="shared" si="23"/>
        <v>45.270369999999993</v>
      </c>
      <c r="D158" s="5">
        <f t="shared" si="24"/>
        <v>59.373329999999996</v>
      </c>
      <c r="E158" s="5">
        <f t="shared" si="25"/>
        <v>62.0533</v>
      </c>
      <c r="F158" s="27"/>
    </row>
    <row r="159" spans="1:6" x14ac:dyDescent="0.3">
      <c r="A159" s="2">
        <v>149</v>
      </c>
      <c r="B159" s="5">
        <f t="shared" si="22"/>
        <v>19.856509999999997</v>
      </c>
      <c r="C159" s="5">
        <f t="shared" si="23"/>
        <v>45.270369999999993</v>
      </c>
      <c r="D159" s="5">
        <f t="shared" si="24"/>
        <v>59.373329999999996</v>
      </c>
      <c r="E159" s="5">
        <f t="shared" si="25"/>
        <v>62.0533</v>
      </c>
      <c r="F159" s="27"/>
    </row>
    <row r="160" spans="1:6" x14ac:dyDescent="0.3">
      <c r="A160" s="2">
        <v>150</v>
      </c>
      <c r="B160" s="5">
        <f>25.78*1.019+0.2</f>
        <v>26.469819999999999</v>
      </c>
      <c r="C160" s="5">
        <f>54.91*1.019+0.2</f>
        <v>56.153289999999991</v>
      </c>
      <c r="D160" s="5">
        <f>69.39*1.019+0.2</f>
        <v>70.908410000000003</v>
      </c>
      <c r="E160" s="5">
        <f>74.11*1.019+0.2</f>
        <v>75.718089999999989</v>
      </c>
      <c r="F160" s="27"/>
    </row>
    <row r="161" spans="1:6" x14ac:dyDescent="0.3">
      <c r="A161" s="2">
        <v>151</v>
      </c>
      <c r="B161" s="5">
        <f t="shared" ref="B161:B209" si="27">25.78*1.019+0.2</f>
        <v>26.469819999999999</v>
      </c>
      <c r="C161" s="5">
        <f t="shared" ref="C161:C209" si="28">54.91*1.019+0.2</f>
        <v>56.153289999999991</v>
      </c>
      <c r="D161" s="5">
        <f t="shared" ref="D161:D209" si="29">69.39*1.019+0.2</f>
        <v>70.908410000000003</v>
      </c>
      <c r="E161" s="5">
        <f t="shared" ref="E161:E209" si="30">74.11*1.019+0.2</f>
        <v>75.718089999999989</v>
      </c>
      <c r="F161" s="27"/>
    </row>
    <row r="162" spans="1:6" x14ac:dyDescent="0.3">
      <c r="A162" s="2">
        <v>152</v>
      </c>
      <c r="B162" s="5">
        <f t="shared" si="27"/>
        <v>26.469819999999999</v>
      </c>
      <c r="C162" s="5">
        <f t="shared" si="28"/>
        <v>56.153289999999991</v>
      </c>
      <c r="D162" s="5">
        <f t="shared" si="29"/>
        <v>70.908410000000003</v>
      </c>
      <c r="E162" s="5">
        <f t="shared" si="30"/>
        <v>75.718089999999989</v>
      </c>
      <c r="F162" s="27"/>
    </row>
    <row r="163" spans="1:6" x14ac:dyDescent="0.3">
      <c r="A163" s="2">
        <v>153</v>
      </c>
      <c r="B163" s="5">
        <f t="shared" si="27"/>
        <v>26.469819999999999</v>
      </c>
      <c r="C163" s="5">
        <f t="shared" si="28"/>
        <v>56.153289999999991</v>
      </c>
      <c r="D163" s="5">
        <f t="shared" si="29"/>
        <v>70.908410000000003</v>
      </c>
      <c r="E163" s="5">
        <f t="shared" si="30"/>
        <v>75.718089999999989</v>
      </c>
      <c r="F163" s="27"/>
    </row>
    <row r="164" spans="1:6" x14ac:dyDescent="0.3">
      <c r="A164" s="2">
        <v>154</v>
      </c>
      <c r="B164" s="5">
        <f t="shared" si="27"/>
        <v>26.469819999999999</v>
      </c>
      <c r="C164" s="5">
        <f t="shared" si="28"/>
        <v>56.153289999999991</v>
      </c>
      <c r="D164" s="5">
        <f t="shared" si="29"/>
        <v>70.908410000000003</v>
      </c>
      <c r="E164" s="5">
        <f t="shared" si="30"/>
        <v>75.718089999999989</v>
      </c>
      <c r="F164" s="27"/>
    </row>
    <row r="165" spans="1:6" x14ac:dyDescent="0.3">
      <c r="A165" s="2">
        <v>155</v>
      </c>
      <c r="B165" s="5">
        <f t="shared" si="27"/>
        <v>26.469819999999999</v>
      </c>
      <c r="C165" s="5">
        <f t="shared" si="28"/>
        <v>56.153289999999991</v>
      </c>
      <c r="D165" s="5">
        <f t="shared" si="29"/>
        <v>70.908410000000003</v>
      </c>
      <c r="E165" s="5">
        <f t="shared" si="30"/>
        <v>75.718089999999989</v>
      </c>
      <c r="F165" s="27"/>
    </row>
    <row r="166" spans="1:6" x14ac:dyDescent="0.3">
      <c r="A166" s="2">
        <v>156</v>
      </c>
      <c r="B166" s="5">
        <f t="shared" si="27"/>
        <v>26.469819999999999</v>
      </c>
      <c r="C166" s="5">
        <f t="shared" si="28"/>
        <v>56.153289999999991</v>
      </c>
      <c r="D166" s="5">
        <f t="shared" si="29"/>
        <v>70.908410000000003</v>
      </c>
      <c r="E166" s="5">
        <f t="shared" si="30"/>
        <v>75.718089999999989</v>
      </c>
      <c r="F166" s="27"/>
    </row>
    <row r="167" spans="1:6" x14ac:dyDescent="0.3">
      <c r="A167" s="2">
        <v>157</v>
      </c>
      <c r="B167" s="5">
        <f t="shared" si="27"/>
        <v>26.469819999999999</v>
      </c>
      <c r="C167" s="5">
        <f t="shared" si="28"/>
        <v>56.153289999999991</v>
      </c>
      <c r="D167" s="5">
        <f t="shared" si="29"/>
        <v>70.908410000000003</v>
      </c>
      <c r="E167" s="5">
        <f t="shared" si="30"/>
        <v>75.718089999999989</v>
      </c>
      <c r="F167" s="27"/>
    </row>
    <row r="168" spans="1:6" x14ac:dyDescent="0.3">
      <c r="A168" s="2">
        <v>158</v>
      </c>
      <c r="B168" s="5">
        <f t="shared" si="27"/>
        <v>26.469819999999999</v>
      </c>
      <c r="C168" s="5">
        <f t="shared" si="28"/>
        <v>56.153289999999991</v>
      </c>
      <c r="D168" s="5">
        <f t="shared" si="29"/>
        <v>70.908410000000003</v>
      </c>
      <c r="E168" s="5">
        <f t="shared" si="30"/>
        <v>75.718089999999989</v>
      </c>
      <c r="F168" s="27"/>
    </row>
    <row r="169" spans="1:6" x14ac:dyDescent="0.3">
      <c r="A169" s="2">
        <v>159</v>
      </c>
      <c r="B169" s="5">
        <f t="shared" si="27"/>
        <v>26.469819999999999</v>
      </c>
      <c r="C169" s="5">
        <f t="shared" si="28"/>
        <v>56.153289999999991</v>
      </c>
      <c r="D169" s="5">
        <f t="shared" si="29"/>
        <v>70.908410000000003</v>
      </c>
      <c r="E169" s="5">
        <f t="shared" si="30"/>
        <v>75.718089999999989</v>
      </c>
      <c r="F169" s="27"/>
    </row>
    <row r="170" spans="1:6" x14ac:dyDescent="0.3">
      <c r="A170" s="2">
        <v>160</v>
      </c>
      <c r="B170" s="5">
        <f t="shared" si="27"/>
        <v>26.469819999999999</v>
      </c>
      <c r="C170" s="5">
        <f t="shared" si="28"/>
        <v>56.153289999999991</v>
      </c>
      <c r="D170" s="5">
        <f t="shared" si="29"/>
        <v>70.908410000000003</v>
      </c>
      <c r="E170" s="5">
        <f t="shared" si="30"/>
        <v>75.718089999999989</v>
      </c>
      <c r="F170" s="27"/>
    </row>
    <row r="171" spans="1:6" x14ac:dyDescent="0.3">
      <c r="A171" s="2">
        <v>161</v>
      </c>
      <c r="B171" s="5">
        <f t="shared" si="27"/>
        <v>26.469819999999999</v>
      </c>
      <c r="C171" s="5">
        <f t="shared" si="28"/>
        <v>56.153289999999991</v>
      </c>
      <c r="D171" s="5">
        <f t="shared" si="29"/>
        <v>70.908410000000003</v>
      </c>
      <c r="E171" s="5">
        <f t="shared" si="30"/>
        <v>75.718089999999989</v>
      </c>
      <c r="F171" s="27"/>
    </row>
    <row r="172" spans="1:6" x14ac:dyDescent="0.3">
      <c r="A172" s="2">
        <v>162</v>
      </c>
      <c r="B172" s="5">
        <f t="shared" si="27"/>
        <v>26.469819999999999</v>
      </c>
      <c r="C172" s="5">
        <f t="shared" si="28"/>
        <v>56.153289999999991</v>
      </c>
      <c r="D172" s="5">
        <f t="shared" si="29"/>
        <v>70.908410000000003</v>
      </c>
      <c r="E172" s="5">
        <f t="shared" si="30"/>
        <v>75.718089999999989</v>
      </c>
      <c r="F172" s="27"/>
    </row>
    <row r="173" spans="1:6" x14ac:dyDescent="0.3">
      <c r="A173" s="2">
        <v>163</v>
      </c>
      <c r="B173" s="5">
        <f t="shared" si="27"/>
        <v>26.469819999999999</v>
      </c>
      <c r="C173" s="5">
        <f t="shared" si="28"/>
        <v>56.153289999999991</v>
      </c>
      <c r="D173" s="5">
        <f t="shared" si="29"/>
        <v>70.908410000000003</v>
      </c>
      <c r="E173" s="5">
        <f t="shared" si="30"/>
        <v>75.718089999999989</v>
      </c>
      <c r="F173" s="27"/>
    </row>
    <row r="174" spans="1:6" x14ac:dyDescent="0.3">
      <c r="A174" s="2">
        <v>164</v>
      </c>
      <c r="B174" s="5">
        <f t="shared" si="27"/>
        <v>26.469819999999999</v>
      </c>
      <c r="C174" s="5">
        <f t="shared" si="28"/>
        <v>56.153289999999991</v>
      </c>
      <c r="D174" s="5">
        <f t="shared" si="29"/>
        <v>70.908410000000003</v>
      </c>
      <c r="E174" s="5">
        <f t="shared" si="30"/>
        <v>75.718089999999989</v>
      </c>
      <c r="F174" s="27"/>
    </row>
    <row r="175" spans="1:6" x14ac:dyDescent="0.3">
      <c r="A175" s="2">
        <v>165</v>
      </c>
      <c r="B175" s="5">
        <f t="shared" si="27"/>
        <v>26.469819999999999</v>
      </c>
      <c r="C175" s="5">
        <f t="shared" si="28"/>
        <v>56.153289999999991</v>
      </c>
      <c r="D175" s="5">
        <f t="shared" si="29"/>
        <v>70.908410000000003</v>
      </c>
      <c r="E175" s="5">
        <f t="shared" si="30"/>
        <v>75.718089999999989</v>
      </c>
      <c r="F175" s="27"/>
    </row>
    <row r="176" spans="1:6" x14ac:dyDescent="0.3">
      <c r="A176" s="2">
        <v>166</v>
      </c>
      <c r="B176" s="5">
        <f t="shared" si="27"/>
        <v>26.469819999999999</v>
      </c>
      <c r="C176" s="5">
        <f t="shared" si="28"/>
        <v>56.153289999999991</v>
      </c>
      <c r="D176" s="5">
        <f t="shared" si="29"/>
        <v>70.908410000000003</v>
      </c>
      <c r="E176" s="5">
        <f t="shared" si="30"/>
        <v>75.718089999999989</v>
      </c>
      <c r="F176" s="27"/>
    </row>
    <row r="177" spans="1:6" x14ac:dyDescent="0.3">
      <c r="A177" s="2">
        <v>167</v>
      </c>
      <c r="B177" s="5">
        <f t="shared" si="27"/>
        <v>26.469819999999999</v>
      </c>
      <c r="C177" s="5">
        <f t="shared" si="28"/>
        <v>56.153289999999991</v>
      </c>
      <c r="D177" s="5">
        <f t="shared" si="29"/>
        <v>70.908410000000003</v>
      </c>
      <c r="E177" s="5">
        <f t="shared" si="30"/>
        <v>75.718089999999989</v>
      </c>
      <c r="F177" s="27"/>
    </row>
    <row r="178" spans="1:6" x14ac:dyDescent="0.3">
      <c r="A178" s="2">
        <v>168</v>
      </c>
      <c r="B178" s="5">
        <f t="shared" si="27"/>
        <v>26.469819999999999</v>
      </c>
      <c r="C178" s="5">
        <f t="shared" si="28"/>
        <v>56.153289999999991</v>
      </c>
      <c r="D178" s="5">
        <f t="shared" si="29"/>
        <v>70.908410000000003</v>
      </c>
      <c r="E178" s="5">
        <f t="shared" si="30"/>
        <v>75.718089999999989</v>
      </c>
      <c r="F178" s="27"/>
    </row>
    <row r="179" spans="1:6" x14ac:dyDescent="0.3">
      <c r="A179" s="2">
        <v>169</v>
      </c>
      <c r="B179" s="5">
        <f t="shared" si="27"/>
        <v>26.469819999999999</v>
      </c>
      <c r="C179" s="5">
        <f t="shared" si="28"/>
        <v>56.153289999999991</v>
      </c>
      <c r="D179" s="5">
        <f t="shared" si="29"/>
        <v>70.908410000000003</v>
      </c>
      <c r="E179" s="5">
        <f t="shared" si="30"/>
        <v>75.718089999999989</v>
      </c>
      <c r="F179" s="27"/>
    </row>
    <row r="180" spans="1:6" x14ac:dyDescent="0.3">
      <c r="A180" s="2">
        <v>170</v>
      </c>
      <c r="B180" s="5">
        <f t="shared" si="27"/>
        <v>26.469819999999999</v>
      </c>
      <c r="C180" s="5">
        <f t="shared" si="28"/>
        <v>56.153289999999991</v>
      </c>
      <c r="D180" s="5">
        <f t="shared" si="29"/>
        <v>70.908410000000003</v>
      </c>
      <c r="E180" s="5">
        <f t="shared" si="30"/>
        <v>75.718089999999989</v>
      </c>
      <c r="F180" s="27"/>
    </row>
    <row r="181" spans="1:6" x14ac:dyDescent="0.3">
      <c r="A181" s="2">
        <v>171</v>
      </c>
      <c r="B181" s="5">
        <f t="shared" si="27"/>
        <v>26.469819999999999</v>
      </c>
      <c r="C181" s="5">
        <f t="shared" si="28"/>
        <v>56.153289999999991</v>
      </c>
      <c r="D181" s="5">
        <f t="shared" si="29"/>
        <v>70.908410000000003</v>
      </c>
      <c r="E181" s="5">
        <f t="shared" si="30"/>
        <v>75.718089999999989</v>
      </c>
      <c r="F181" s="27"/>
    </row>
    <row r="182" spans="1:6" x14ac:dyDescent="0.3">
      <c r="A182" s="2">
        <v>172</v>
      </c>
      <c r="B182" s="5">
        <f t="shared" si="27"/>
        <v>26.469819999999999</v>
      </c>
      <c r="C182" s="5">
        <f t="shared" si="28"/>
        <v>56.153289999999991</v>
      </c>
      <c r="D182" s="5">
        <f t="shared" si="29"/>
        <v>70.908410000000003</v>
      </c>
      <c r="E182" s="5">
        <f t="shared" si="30"/>
        <v>75.718089999999989</v>
      </c>
      <c r="F182" s="27"/>
    </row>
    <row r="183" spans="1:6" x14ac:dyDescent="0.3">
      <c r="A183" s="2">
        <v>173</v>
      </c>
      <c r="B183" s="5">
        <f t="shared" si="27"/>
        <v>26.469819999999999</v>
      </c>
      <c r="C183" s="5">
        <f t="shared" si="28"/>
        <v>56.153289999999991</v>
      </c>
      <c r="D183" s="5">
        <f t="shared" si="29"/>
        <v>70.908410000000003</v>
      </c>
      <c r="E183" s="5">
        <f t="shared" si="30"/>
        <v>75.718089999999989</v>
      </c>
      <c r="F183" s="27"/>
    </row>
    <row r="184" spans="1:6" x14ac:dyDescent="0.3">
      <c r="A184" s="2">
        <v>174</v>
      </c>
      <c r="B184" s="5">
        <f t="shared" si="27"/>
        <v>26.469819999999999</v>
      </c>
      <c r="C184" s="5">
        <f t="shared" si="28"/>
        <v>56.153289999999991</v>
      </c>
      <c r="D184" s="5">
        <f t="shared" si="29"/>
        <v>70.908410000000003</v>
      </c>
      <c r="E184" s="5">
        <f t="shared" si="30"/>
        <v>75.718089999999989</v>
      </c>
      <c r="F184" s="27"/>
    </row>
    <row r="185" spans="1:6" x14ac:dyDescent="0.3">
      <c r="A185" s="2">
        <v>175</v>
      </c>
      <c r="B185" s="5">
        <f t="shared" si="27"/>
        <v>26.469819999999999</v>
      </c>
      <c r="C185" s="5">
        <f t="shared" si="28"/>
        <v>56.153289999999991</v>
      </c>
      <c r="D185" s="5">
        <f t="shared" si="29"/>
        <v>70.908410000000003</v>
      </c>
      <c r="E185" s="5">
        <f t="shared" si="30"/>
        <v>75.718089999999989</v>
      </c>
      <c r="F185" s="27"/>
    </row>
    <row r="186" spans="1:6" x14ac:dyDescent="0.3">
      <c r="A186" s="2">
        <v>176</v>
      </c>
      <c r="B186" s="5">
        <f t="shared" si="27"/>
        <v>26.469819999999999</v>
      </c>
      <c r="C186" s="5">
        <f t="shared" si="28"/>
        <v>56.153289999999991</v>
      </c>
      <c r="D186" s="5">
        <f t="shared" si="29"/>
        <v>70.908410000000003</v>
      </c>
      <c r="E186" s="5">
        <f t="shared" si="30"/>
        <v>75.718089999999989</v>
      </c>
      <c r="F186" s="27"/>
    </row>
    <row r="187" spans="1:6" x14ac:dyDescent="0.3">
      <c r="A187" s="2">
        <v>177</v>
      </c>
      <c r="B187" s="5">
        <f t="shared" si="27"/>
        <v>26.469819999999999</v>
      </c>
      <c r="C187" s="5">
        <f t="shared" si="28"/>
        <v>56.153289999999991</v>
      </c>
      <c r="D187" s="5">
        <f t="shared" si="29"/>
        <v>70.908410000000003</v>
      </c>
      <c r="E187" s="5">
        <f t="shared" si="30"/>
        <v>75.718089999999989</v>
      </c>
      <c r="F187" s="27"/>
    </row>
    <row r="188" spans="1:6" x14ac:dyDescent="0.3">
      <c r="A188" s="2">
        <v>178</v>
      </c>
      <c r="B188" s="5">
        <f t="shared" si="27"/>
        <v>26.469819999999999</v>
      </c>
      <c r="C188" s="5">
        <f t="shared" si="28"/>
        <v>56.153289999999991</v>
      </c>
      <c r="D188" s="5">
        <f t="shared" si="29"/>
        <v>70.908410000000003</v>
      </c>
      <c r="E188" s="5">
        <f t="shared" si="30"/>
        <v>75.718089999999989</v>
      </c>
      <c r="F188" s="27"/>
    </row>
    <row r="189" spans="1:6" x14ac:dyDescent="0.3">
      <c r="A189" s="2">
        <v>179</v>
      </c>
      <c r="B189" s="5">
        <f t="shared" si="27"/>
        <v>26.469819999999999</v>
      </c>
      <c r="C189" s="5">
        <f t="shared" si="28"/>
        <v>56.153289999999991</v>
      </c>
      <c r="D189" s="5">
        <f t="shared" si="29"/>
        <v>70.908410000000003</v>
      </c>
      <c r="E189" s="5">
        <f t="shared" si="30"/>
        <v>75.718089999999989</v>
      </c>
      <c r="F189" s="27"/>
    </row>
    <row r="190" spans="1:6" x14ac:dyDescent="0.3">
      <c r="A190" s="2">
        <v>180</v>
      </c>
      <c r="B190" s="5">
        <f t="shared" si="27"/>
        <v>26.469819999999999</v>
      </c>
      <c r="C190" s="5">
        <f t="shared" si="28"/>
        <v>56.153289999999991</v>
      </c>
      <c r="D190" s="5">
        <f t="shared" si="29"/>
        <v>70.908410000000003</v>
      </c>
      <c r="E190" s="5">
        <f t="shared" si="30"/>
        <v>75.718089999999989</v>
      </c>
      <c r="F190" s="27"/>
    </row>
    <row r="191" spans="1:6" x14ac:dyDescent="0.3">
      <c r="A191" s="2">
        <v>181</v>
      </c>
      <c r="B191" s="5">
        <f t="shared" si="27"/>
        <v>26.469819999999999</v>
      </c>
      <c r="C191" s="5">
        <f t="shared" si="28"/>
        <v>56.153289999999991</v>
      </c>
      <c r="D191" s="5">
        <f t="shared" si="29"/>
        <v>70.908410000000003</v>
      </c>
      <c r="E191" s="5">
        <f t="shared" si="30"/>
        <v>75.718089999999989</v>
      </c>
      <c r="F191" s="27"/>
    </row>
    <row r="192" spans="1:6" x14ac:dyDescent="0.3">
      <c r="A192" s="2">
        <v>182</v>
      </c>
      <c r="B192" s="5">
        <f t="shared" si="27"/>
        <v>26.469819999999999</v>
      </c>
      <c r="C192" s="5">
        <f t="shared" si="28"/>
        <v>56.153289999999991</v>
      </c>
      <c r="D192" s="5">
        <f t="shared" si="29"/>
        <v>70.908410000000003</v>
      </c>
      <c r="E192" s="5">
        <f t="shared" si="30"/>
        <v>75.718089999999989</v>
      </c>
      <c r="F192" s="27"/>
    </row>
    <row r="193" spans="1:6" x14ac:dyDescent="0.3">
      <c r="A193" s="2">
        <v>183</v>
      </c>
      <c r="B193" s="5">
        <f t="shared" si="27"/>
        <v>26.469819999999999</v>
      </c>
      <c r="C193" s="5">
        <f t="shared" si="28"/>
        <v>56.153289999999991</v>
      </c>
      <c r="D193" s="5">
        <f t="shared" si="29"/>
        <v>70.908410000000003</v>
      </c>
      <c r="E193" s="5">
        <f t="shared" si="30"/>
        <v>75.718089999999989</v>
      </c>
      <c r="F193" s="27"/>
    </row>
    <row r="194" spans="1:6" x14ac:dyDescent="0.3">
      <c r="A194" s="2">
        <v>184</v>
      </c>
      <c r="B194" s="5">
        <f t="shared" si="27"/>
        <v>26.469819999999999</v>
      </c>
      <c r="C194" s="5">
        <f t="shared" si="28"/>
        <v>56.153289999999991</v>
      </c>
      <c r="D194" s="5">
        <f t="shared" si="29"/>
        <v>70.908410000000003</v>
      </c>
      <c r="E194" s="5">
        <f t="shared" si="30"/>
        <v>75.718089999999989</v>
      </c>
      <c r="F194" s="27"/>
    </row>
    <row r="195" spans="1:6" x14ac:dyDescent="0.3">
      <c r="A195" s="2">
        <v>185</v>
      </c>
      <c r="B195" s="5">
        <f t="shared" si="27"/>
        <v>26.469819999999999</v>
      </c>
      <c r="C195" s="5">
        <f t="shared" si="28"/>
        <v>56.153289999999991</v>
      </c>
      <c r="D195" s="5">
        <f t="shared" si="29"/>
        <v>70.908410000000003</v>
      </c>
      <c r="E195" s="5">
        <f t="shared" si="30"/>
        <v>75.718089999999989</v>
      </c>
      <c r="F195" s="27"/>
    </row>
    <row r="196" spans="1:6" x14ac:dyDescent="0.3">
      <c r="A196" s="2">
        <v>186</v>
      </c>
      <c r="B196" s="5">
        <f t="shared" si="27"/>
        <v>26.469819999999999</v>
      </c>
      <c r="C196" s="5">
        <f t="shared" si="28"/>
        <v>56.153289999999991</v>
      </c>
      <c r="D196" s="5">
        <f t="shared" si="29"/>
        <v>70.908410000000003</v>
      </c>
      <c r="E196" s="5">
        <f t="shared" si="30"/>
        <v>75.718089999999989</v>
      </c>
      <c r="F196" s="27"/>
    </row>
    <row r="197" spans="1:6" x14ac:dyDescent="0.3">
      <c r="A197" s="2">
        <v>187</v>
      </c>
      <c r="B197" s="5">
        <f t="shared" si="27"/>
        <v>26.469819999999999</v>
      </c>
      <c r="C197" s="5">
        <f t="shared" si="28"/>
        <v>56.153289999999991</v>
      </c>
      <c r="D197" s="5">
        <f t="shared" si="29"/>
        <v>70.908410000000003</v>
      </c>
      <c r="E197" s="5">
        <f t="shared" si="30"/>
        <v>75.718089999999989</v>
      </c>
      <c r="F197" s="27"/>
    </row>
    <row r="198" spans="1:6" x14ac:dyDescent="0.3">
      <c r="A198" s="2">
        <v>188</v>
      </c>
      <c r="B198" s="5">
        <f t="shared" si="27"/>
        <v>26.469819999999999</v>
      </c>
      <c r="C198" s="5">
        <f t="shared" si="28"/>
        <v>56.153289999999991</v>
      </c>
      <c r="D198" s="5">
        <f t="shared" si="29"/>
        <v>70.908410000000003</v>
      </c>
      <c r="E198" s="5">
        <f t="shared" si="30"/>
        <v>75.718089999999989</v>
      </c>
      <c r="F198" s="27"/>
    </row>
    <row r="199" spans="1:6" x14ac:dyDescent="0.3">
      <c r="A199" s="2">
        <v>189</v>
      </c>
      <c r="B199" s="5">
        <f t="shared" si="27"/>
        <v>26.469819999999999</v>
      </c>
      <c r="C199" s="5">
        <f t="shared" si="28"/>
        <v>56.153289999999991</v>
      </c>
      <c r="D199" s="5">
        <f t="shared" si="29"/>
        <v>70.908410000000003</v>
      </c>
      <c r="E199" s="5">
        <f t="shared" si="30"/>
        <v>75.718089999999989</v>
      </c>
      <c r="F199" s="27"/>
    </row>
    <row r="200" spans="1:6" x14ac:dyDescent="0.3">
      <c r="A200" s="2">
        <v>190</v>
      </c>
      <c r="B200" s="5">
        <f t="shared" si="27"/>
        <v>26.469819999999999</v>
      </c>
      <c r="C200" s="5">
        <f t="shared" si="28"/>
        <v>56.153289999999991</v>
      </c>
      <c r="D200" s="5">
        <f t="shared" si="29"/>
        <v>70.908410000000003</v>
      </c>
      <c r="E200" s="5">
        <f t="shared" si="30"/>
        <v>75.718089999999989</v>
      </c>
      <c r="F200" s="27"/>
    </row>
    <row r="201" spans="1:6" x14ac:dyDescent="0.3">
      <c r="A201" s="2">
        <v>191</v>
      </c>
      <c r="B201" s="5">
        <f t="shared" si="27"/>
        <v>26.469819999999999</v>
      </c>
      <c r="C201" s="5">
        <f t="shared" si="28"/>
        <v>56.153289999999991</v>
      </c>
      <c r="D201" s="5">
        <f t="shared" si="29"/>
        <v>70.908410000000003</v>
      </c>
      <c r="E201" s="5">
        <f t="shared" si="30"/>
        <v>75.718089999999989</v>
      </c>
      <c r="F201" s="27"/>
    </row>
    <row r="202" spans="1:6" x14ac:dyDescent="0.3">
      <c r="A202" s="2">
        <v>192</v>
      </c>
      <c r="B202" s="5">
        <f t="shared" si="27"/>
        <v>26.469819999999999</v>
      </c>
      <c r="C202" s="5">
        <f t="shared" si="28"/>
        <v>56.153289999999991</v>
      </c>
      <c r="D202" s="5">
        <f t="shared" si="29"/>
        <v>70.908410000000003</v>
      </c>
      <c r="E202" s="5">
        <f t="shared" si="30"/>
        <v>75.718089999999989</v>
      </c>
      <c r="F202" s="27"/>
    </row>
    <row r="203" spans="1:6" x14ac:dyDescent="0.3">
      <c r="A203" s="2">
        <v>193</v>
      </c>
      <c r="B203" s="5">
        <f t="shared" si="27"/>
        <v>26.469819999999999</v>
      </c>
      <c r="C203" s="5">
        <f t="shared" si="28"/>
        <v>56.153289999999991</v>
      </c>
      <c r="D203" s="5">
        <f t="shared" si="29"/>
        <v>70.908410000000003</v>
      </c>
      <c r="E203" s="5">
        <f t="shared" si="30"/>
        <v>75.718089999999989</v>
      </c>
      <c r="F203" s="27"/>
    </row>
    <row r="204" spans="1:6" x14ac:dyDescent="0.3">
      <c r="A204" s="2">
        <v>194</v>
      </c>
      <c r="B204" s="5">
        <f t="shared" si="27"/>
        <v>26.469819999999999</v>
      </c>
      <c r="C204" s="5">
        <f t="shared" si="28"/>
        <v>56.153289999999991</v>
      </c>
      <c r="D204" s="5">
        <f t="shared" si="29"/>
        <v>70.908410000000003</v>
      </c>
      <c r="E204" s="5">
        <f t="shared" si="30"/>
        <v>75.718089999999989</v>
      </c>
      <c r="F204" s="27"/>
    </row>
    <row r="205" spans="1:6" x14ac:dyDescent="0.3">
      <c r="A205" s="2">
        <v>195</v>
      </c>
      <c r="B205" s="5">
        <f t="shared" si="27"/>
        <v>26.469819999999999</v>
      </c>
      <c r="C205" s="5">
        <f t="shared" si="28"/>
        <v>56.153289999999991</v>
      </c>
      <c r="D205" s="5">
        <f t="shared" si="29"/>
        <v>70.908410000000003</v>
      </c>
      <c r="E205" s="5">
        <f t="shared" si="30"/>
        <v>75.718089999999989</v>
      </c>
      <c r="F205" s="27"/>
    </row>
    <row r="206" spans="1:6" x14ac:dyDescent="0.3">
      <c r="A206" s="2">
        <v>196</v>
      </c>
      <c r="B206" s="5">
        <f t="shared" si="27"/>
        <v>26.469819999999999</v>
      </c>
      <c r="C206" s="5">
        <f t="shared" si="28"/>
        <v>56.153289999999991</v>
      </c>
      <c r="D206" s="5">
        <f t="shared" si="29"/>
        <v>70.908410000000003</v>
      </c>
      <c r="E206" s="5">
        <f t="shared" si="30"/>
        <v>75.718089999999989</v>
      </c>
      <c r="F206" s="27"/>
    </row>
    <row r="207" spans="1:6" x14ac:dyDescent="0.3">
      <c r="A207" s="2">
        <v>197</v>
      </c>
      <c r="B207" s="5">
        <f t="shared" si="27"/>
        <v>26.469819999999999</v>
      </c>
      <c r="C207" s="5">
        <f t="shared" si="28"/>
        <v>56.153289999999991</v>
      </c>
      <c r="D207" s="5">
        <f t="shared" si="29"/>
        <v>70.908410000000003</v>
      </c>
      <c r="E207" s="5">
        <f t="shared" si="30"/>
        <v>75.718089999999989</v>
      </c>
      <c r="F207" s="27"/>
    </row>
    <row r="208" spans="1:6" x14ac:dyDescent="0.3">
      <c r="A208" s="2">
        <v>198</v>
      </c>
      <c r="B208" s="5">
        <f t="shared" si="27"/>
        <v>26.469819999999999</v>
      </c>
      <c r="C208" s="5">
        <f t="shared" si="28"/>
        <v>56.153289999999991</v>
      </c>
      <c r="D208" s="5">
        <f t="shared" si="29"/>
        <v>70.908410000000003</v>
      </c>
      <c r="E208" s="5">
        <f t="shared" si="30"/>
        <v>75.718089999999989</v>
      </c>
      <c r="F208" s="27"/>
    </row>
    <row r="209" spans="1:6" x14ac:dyDescent="0.3">
      <c r="A209" s="2">
        <v>199</v>
      </c>
      <c r="B209" s="5">
        <f t="shared" si="27"/>
        <v>26.469819999999999</v>
      </c>
      <c r="C209" s="5">
        <f t="shared" si="28"/>
        <v>56.153289999999991</v>
      </c>
      <c r="D209" s="5">
        <f t="shared" si="29"/>
        <v>70.908410000000003</v>
      </c>
      <c r="E209" s="5">
        <f t="shared" si="30"/>
        <v>75.718089999999989</v>
      </c>
      <c r="F209" s="27"/>
    </row>
    <row r="210" spans="1:6" x14ac:dyDescent="0.3">
      <c r="A210" s="2">
        <v>200</v>
      </c>
      <c r="B210" s="5">
        <f>32.26*1.019+0.2</f>
        <v>33.072939999999996</v>
      </c>
      <c r="C210" s="5">
        <f>69.99*1.019+0.2</f>
        <v>71.519809999999993</v>
      </c>
      <c r="D210" s="5">
        <f>100.76*1.019+0.2</f>
        <v>102.87443999999999</v>
      </c>
      <c r="E210" s="5">
        <f>105.79*1.019+0.2</f>
        <v>108.00001</v>
      </c>
      <c r="F210" s="27"/>
    </row>
    <row r="211" spans="1:6" x14ac:dyDescent="0.3">
      <c r="A211" s="2">
        <v>201</v>
      </c>
      <c r="B211" s="5">
        <f t="shared" ref="B211:B259" si="31">32.26*1.019+0.2</f>
        <v>33.072939999999996</v>
      </c>
      <c r="C211" s="5">
        <f t="shared" ref="C211:C259" si="32">69.99*1.019+0.2</f>
        <v>71.519809999999993</v>
      </c>
      <c r="D211" s="5">
        <f t="shared" ref="D211:D259" si="33">100.76*1.019+0.2</f>
        <v>102.87443999999999</v>
      </c>
      <c r="E211" s="5">
        <f t="shared" ref="E211:E259" si="34">105.79*1.019+0.2</f>
        <v>108.00001</v>
      </c>
      <c r="F211" s="27"/>
    </row>
    <row r="212" spans="1:6" x14ac:dyDescent="0.3">
      <c r="A212" s="2">
        <v>202</v>
      </c>
      <c r="B212" s="5">
        <f t="shared" si="31"/>
        <v>33.072939999999996</v>
      </c>
      <c r="C212" s="5">
        <f t="shared" si="32"/>
        <v>71.519809999999993</v>
      </c>
      <c r="D212" s="5">
        <f t="shared" si="33"/>
        <v>102.87443999999999</v>
      </c>
      <c r="E212" s="5">
        <f t="shared" si="34"/>
        <v>108.00001</v>
      </c>
      <c r="F212" s="27"/>
    </row>
    <row r="213" spans="1:6" x14ac:dyDescent="0.3">
      <c r="A213" s="2">
        <v>203</v>
      </c>
      <c r="B213" s="5">
        <f t="shared" si="31"/>
        <v>33.072939999999996</v>
      </c>
      <c r="C213" s="5">
        <f t="shared" si="32"/>
        <v>71.519809999999993</v>
      </c>
      <c r="D213" s="5">
        <f t="shared" si="33"/>
        <v>102.87443999999999</v>
      </c>
      <c r="E213" s="5">
        <f t="shared" si="34"/>
        <v>108.00001</v>
      </c>
      <c r="F213" s="27"/>
    </row>
    <row r="214" spans="1:6" x14ac:dyDescent="0.3">
      <c r="A214" s="2">
        <v>204</v>
      </c>
      <c r="B214" s="5">
        <f t="shared" si="31"/>
        <v>33.072939999999996</v>
      </c>
      <c r="C214" s="5">
        <f t="shared" si="32"/>
        <v>71.519809999999993</v>
      </c>
      <c r="D214" s="5">
        <f t="shared" si="33"/>
        <v>102.87443999999999</v>
      </c>
      <c r="E214" s="5">
        <f t="shared" si="34"/>
        <v>108.00001</v>
      </c>
      <c r="F214" s="27"/>
    </row>
    <row r="215" spans="1:6" x14ac:dyDescent="0.3">
      <c r="A215" s="2">
        <v>205</v>
      </c>
      <c r="B215" s="5">
        <f t="shared" si="31"/>
        <v>33.072939999999996</v>
      </c>
      <c r="C215" s="5">
        <f t="shared" si="32"/>
        <v>71.519809999999993</v>
      </c>
      <c r="D215" s="5">
        <f t="shared" si="33"/>
        <v>102.87443999999999</v>
      </c>
      <c r="E215" s="5">
        <f t="shared" si="34"/>
        <v>108.00001</v>
      </c>
      <c r="F215" s="27"/>
    </row>
    <row r="216" spans="1:6" x14ac:dyDescent="0.3">
      <c r="A216" s="2">
        <v>206</v>
      </c>
      <c r="B216" s="5">
        <f t="shared" si="31"/>
        <v>33.072939999999996</v>
      </c>
      <c r="C216" s="5">
        <f t="shared" si="32"/>
        <v>71.519809999999993</v>
      </c>
      <c r="D216" s="5">
        <f t="shared" si="33"/>
        <v>102.87443999999999</v>
      </c>
      <c r="E216" s="5">
        <f t="shared" si="34"/>
        <v>108.00001</v>
      </c>
      <c r="F216" s="27"/>
    </row>
    <row r="217" spans="1:6" x14ac:dyDescent="0.3">
      <c r="A217" s="2">
        <v>207</v>
      </c>
      <c r="B217" s="5">
        <f t="shared" si="31"/>
        <v>33.072939999999996</v>
      </c>
      <c r="C217" s="5">
        <f t="shared" si="32"/>
        <v>71.519809999999993</v>
      </c>
      <c r="D217" s="5">
        <f t="shared" si="33"/>
        <v>102.87443999999999</v>
      </c>
      <c r="E217" s="5">
        <f t="shared" si="34"/>
        <v>108.00001</v>
      </c>
      <c r="F217" s="27"/>
    </row>
    <row r="218" spans="1:6" x14ac:dyDescent="0.3">
      <c r="A218" s="2">
        <v>208</v>
      </c>
      <c r="B218" s="5">
        <f t="shared" si="31"/>
        <v>33.072939999999996</v>
      </c>
      <c r="C218" s="5">
        <f t="shared" si="32"/>
        <v>71.519809999999993</v>
      </c>
      <c r="D218" s="5">
        <f t="shared" si="33"/>
        <v>102.87443999999999</v>
      </c>
      <c r="E218" s="5">
        <f t="shared" si="34"/>
        <v>108.00001</v>
      </c>
      <c r="F218" s="27"/>
    </row>
    <row r="219" spans="1:6" x14ac:dyDescent="0.3">
      <c r="A219" s="2">
        <v>209</v>
      </c>
      <c r="B219" s="5">
        <f t="shared" si="31"/>
        <v>33.072939999999996</v>
      </c>
      <c r="C219" s="5">
        <f t="shared" si="32"/>
        <v>71.519809999999993</v>
      </c>
      <c r="D219" s="5">
        <f t="shared" si="33"/>
        <v>102.87443999999999</v>
      </c>
      <c r="E219" s="5">
        <f t="shared" si="34"/>
        <v>108.00001</v>
      </c>
      <c r="F219" s="27"/>
    </row>
    <row r="220" spans="1:6" x14ac:dyDescent="0.3">
      <c r="A220" s="2">
        <v>210</v>
      </c>
      <c r="B220" s="5">
        <f t="shared" si="31"/>
        <v>33.072939999999996</v>
      </c>
      <c r="C220" s="5">
        <f t="shared" si="32"/>
        <v>71.519809999999993</v>
      </c>
      <c r="D220" s="5">
        <f t="shared" si="33"/>
        <v>102.87443999999999</v>
      </c>
      <c r="E220" s="5">
        <f t="shared" si="34"/>
        <v>108.00001</v>
      </c>
      <c r="F220" s="27"/>
    </row>
    <row r="221" spans="1:6" x14ac:dyDescent="0.3">
      <c r="A221" s="2">
        <v>211</v>
      </c>
      <c r="B221" s="5">
        <f t="shared" si="31"/>
        <v>33.072939999999996</v>
      </c>
      <c r="C221" s="5">
        <f t="shared" si="32"/>
        <v>71.519809999999993</v>
      </c>
      <c r="D221" s="5">
        <f t="shared" si="33"/>
        <v>102.87443999999999</v>
      </c>
      <c r="E221" s="5">
        <f t="shared" si="34"/>
        <v>108.00001</v>
      </c>
      <c r="F221" s="27"/>
    </row>
    <row r="222" spans="1:6" x14ac:dyDescent="0.3">
      <c r="A222" s="2">
        <v>212</v>
      </c>
      <c r="B222" s="5">
        <f t="shared" si="31"/>
        <v>33.072939999999996</v>
      </c>
      <c r="C222" s="5">
        <f t="shared" si="32"/>
        <v>71.519809999999993</v>
      </c>
      <c r="D222" s="5">
        <f t="shared" si="33"/>
        <v>102.87443999999999</v>
      </c>
      <c r="E222" s="5">
        <f t="shared" si="34"/>
        <v>108.00001</v>
      </c>
      <c r="F222" s="27"/>
    </row>
    <row r="223" spans="1:6" x14ac:dyDescent="0.3">
      <c r="A223" s="2">
        <v>213</v>
      </c>
      <c r="B223" s="5">
        <f t="shared" si="31"/>
        <v>33.072939999999996</v>
      </c>
      <c r="C223" s="5">
        <f t="shared" si="32"/>
        <v>71.519809999999993</v>
      </c>
      <c r="D223" s="5">
        <f t="shared" si="33"/>
        <v>102.87443999999999</v>
      </c>
      <c r="E223" s="5">
        <f t="shared" si="34"/>
        <v>108.00001</v>
      </c>
      <c r="F223" s="27"/>
    </row>
    <row r="224" spans="1:6" x14ac:dyDescent="0.3">
      <c r="A224" s="2">
        <v>214</v>
      </c>
      <c r="B224" s="5">
        <f t="shared" si="31"/>
        <v>33.072939999999996</v>
      </c>
      <c r="C224" s="5">
        <f t="shared" si="32"/>
        <v>71.519809999999993</v>
      </c>
      <c r="D224" s="5">
        <f t="shared" si="33"/>
        <v>102.87443999999999</v>
      </c>
      <c r="E224" s="5">
        <f t="shared" si="34"/>
        <v>108.00001</v>
      </c>
      <c r="F224" s="27"/>
    </row>
    <row r="225" spans="1:6" x14ac:dyDescent="0.3">
      <c r="A225" s="2">
        <v>215</v>
      </c>
      <c r="B225" s="5">
        <f t="shared" si="31"/>
        <v>33.072939999999996</v>
      </c>
      <c r="C225" s="5">
        <f t="shared" si="32"/>
        <v>71.519809999999993</v>
      </c>
      <c r="D225" s="5">
        <f t="shared" si="33"/>
        <v>102.87443999999999</v>
      </c>
      <c r="E225" s="5">
        <f t="shared" si="34"/>
        <v>108.00001</v>
      </c>
      <c r="F225" s="27"/>
    </row>
    <row r="226" spans="1:6" x14ac:dyDescent="0.3">
      <c r="A226" s="2">
        <v>216</v>
      </c>
      <c r="B226" s="5">
        <f t="shared" si="31"/>
        <v>33.072939999999996</v>
      </c>
      <c r="C226" s="5">
        <f t="shared" si="32"/>
        <v>71.519809999999993</v>
      </c>
      <c r="D226" s="5">
        <f t="shared" si="33"/>
        <v>102.87443999999999</v>
      </c>
      <c r="E226" s="5">
        <f t="shared" si="34"/>
        <v>108.00001</v>
      </c>
      <c r="F226" s="27"/>
    </row>
    <row r="227" spans="1:6" x14ac:dyDescent="0.3">
      <c r="A227" s="2">
        <v>217</v>
      </c>
      <c r="B227" s="5">
        <f t="shared" si="31"/>
        <v>33.072939999999996</v>
      </c>
      <c r="C227" s="5">
        <f t="shared" si="32"/>
        <v>71.519809999999993</v>
      </c>
      <c r="D227" s="5">
        <f t="shared" si="33"/>
        <v>102.87443999999999</v>
      </c>
      <c r="E227" s="5">
        <f t="shared" si="34"/>
        <v>108.00001</v>
      </c>
      <c r="F227" s="27"/>
    </row>
    <row r="228" spans="1:6" x14ac:dyDescent="0.3">
      <c r="A228" s="2">
        <v>218</v>
      </c>
      <c r="B228" s="5">
        <f t="shared" si="31"/>
        <v>33.072939999999996</v>
      </c>
      <c r="C228" s="5">
        <f t="shared" si="32"/>
        <v>71.519809999999993</v>
      </c>
      <c r="D228" s="5">
        <f t="shared" si="33"/>
        <v>102.87443999999999</v>
      </c>
      <c r="E228" s="5">
        <f t="shared" si="34"/>
        <v>108.00001</v>
      </c>
      <c r="F228" s="27"/>
    </row>
    <row r="229" spans="1:6" x14ac:dyDescent="0.3">
      <c r="A229" s="2">
        <v>219</v>
      </c>
      <c r="B229" s="5">
        <f t="shared" si="31"/>
        <v>33.072939999999996</v>
      </c>
      <c r="C229" s="5">
        <f t="shared" si="32"/>
        <v>71.519809999999993</v>
      </c>
      <c r="D229" s="5">
        <f t="shared" si="33"/>
        <v>102.87443999999999</v>
      </c>
      <c r="E229" s="5">
        <f t="shared" si="34"/>
        <v>108.00001</v>
      </c>
      <c r="F229" s="27"/>
    </row>
    <row r="230" spans="1:6" x14ac:dyDescent="0.3">
      <c r="A230" s="2">
        <v>220</v>
      </c>
      <c r="B230" s="5">
        <f t="shared" si="31"/>
        <v>33.072939999999996</v>
      </c>
      <c r="C230" s="5">
        <f t="shared" si="32"/>
        <v>71.519809999999993</v>
      </c>
      <c r="D230" s="5">
        <f t="shared" si="33"/>
        <v>102.87443999999999</v>
      </c>
      <c r="E230" s="5">
        <f t="shared" si="34"/>
        <v>108.00001</v>
      </c>
      <c r="F230" s="27"/>
    </row>
    <row r="231" spans="1:6" x14ac:dyDescent="0.3">
      <c r="A231" s="2">
        <v>221</v>
      </c>
      <c r="B231" s="5">
        <f t="shared" si="31"/>
        <v>33.072939999999996</v>
      </c>
      <c r="C231" s="5">
        <f t="shared" si="32"/>
        <v>71.519809999999993</v>
      </c>
      <c r="D231" s="5">
        <f t="shared" si="33"/>
        <v>102.87443999999999</v>
      </c>
      <c r="E231" s="5">
        <f t="shared" si="34"/>
        <v>108.00001</v>
      </c>
      <c r="F231" s="27"/>
    </row>
    <row r="232" spans="1:6" x14ac:dyDescent="0.3">
      <c r="A232" s="2">
        <v>222</v>
      </c>
      <c r="B232" s="5">
        <f t="shared" si="31"/>
        <v>33.072939999999996</v>
      </c>
      <c r="C232" s="5">
        <f t="shared" si="32"/>
        <v>71.519809999999993</v>
      </c>
      <c r="D232" s="5">
        <f t="shared" si="33"/>
        <v>102.87443999999999</v>
      </c>
      <c r="E232" s="5">
        <f t="shared" si="34"/>
        <v>108.00001</v>
      </c>
      <c r="F232" s="27"/>
    </row>
    <row r="233" spans="1:6" x14ac:dyDescent="0.3">
      <c r="A233" s="2">
        <v>223</v>
      </c>
      <c r="B233" s="5">
        <f t="shared" si="31"/>
        <v>33.072939999999996</v>
      </c>
      <c r="C233" s="5">
        <f t="shared" si="32"/>
        <v>71.519809999999993</v>
      </c>
      <c r="D233" s="5">
        <f t="shared" si="33"/>
        <v>102.87443999999999</v>
      </c>
      <c r="E233" s="5">
        <f t="shared" si="34"/>
        <v>108.00001</v>
      </c>
      <c r="F233" s="27"/>
    </row>
    <row r="234" spans="1:6" x14ac:dyDescent="0.3">
      <c r="A234" s="2">
        <v>224</v>
      </c>
      <c r="B234" s="5">
        <f t="shared" si="31"/>
        <v>33.072939999999996</v>
      </c>
      <c r="C234" s="5">
        <f t="shared" si="32"/>
        <v>71.519809999999993</v>
      </c>
      <c r="D234" s="5">
        <f t="shared" si="33"/>
        <v>102.87443999999999</v>
      </c>
      <c r="E234" s="5">
        <f t="shared" si="34"/>
        <v>108.00001</v>
      </c>
      <c r="F234" s="27"/>
    </row>
    <row r="235" spans="1:6" x14ac:dyDescent="0.3">
      <c r="A235" s="2">
        <v>225</v>
      </c>
      <c r="B235" s="5">
        <f t="shared" si="31"/>
        <v>33.072939999999996</v>
      </c>
      <c r="C235" s="5">
        <f t="shared" si="32"/>
        <v>71.519809999999993</v>
      </c>
      <c r="D235" s="5">
        <f t="shared" si="33"/>
        <v>102.87443999999999</v>
      </c>
      <c r="E235" s="5">
        <f t="shared" si="34"/>
        <v>108.00001</v>
      </c>
      <c r="F235" s="27"/>
    </row>
    <row r="236" spans="1:6" x14ac:dyDescent="0.3">
      <c r="A236" s="2">
        <v>226</v>
      </c>
      <c r="B236" s="5">
        <f t="shared" si="31"/>
        <v>33.072939999999996</v>
      </c>
      <c r="C236" s="5">
        <f t="shared" si="32"/>
        <v>71.519809999999993</v>
      </c>
      <c r="D236" s="5">
        <f t="shared" si="33"/>
        <v>102.87443999999999</v>
      </c>
      <c r="E236" s="5">
        <f t="shared" si="34"/>
        <v>108.00001</v>
      </c>
      <c r="F236" s="27"/>
    </row>
    <row r="237" spans="1:6" x14ac:dyDescent="0.3">
      <c r="A237" s="2">
        <v>227</v>
      </c>
      <c r="B237" s="5">
        <f t="shared" si="31"/>
        <v>33.072939999999996</v>
      </c>
      <c r="C237" s="5">
        <f t="shared" si="32"/>
        <v>71.519809999999993</v>
      </c>
      <c r="D237" s="5">
        <f t="shared" si="33"/>
        <v>102.87443999999999</v>
      </c>
      <c r="E237" s="5">
        <f t="shared" si="34"/>
        <v>108.00001</v>
      </c>
      <c r="F237" s="27"/>
    </row>
    <row r="238" spans="1:6" x14ac:dyDescent="0.3">
      <c r="A238" s="2">
        <v>228</v>
      </c>
      <c r="B238" s="5">
        <f t="shared" si="31"/>
        <v>33.072939999999996</v>
      </c>
      <c r="C238" s="5">
        <f t="shared" si="32"/>
        <v>71.519809999999993</v>
      </c>
      <c r="D238" s="5">
        <f t="shared" si="33"/>
        <v>102.87443999999999</v>
      </c>
      <c r="E238" s="5">
        <f t="shared" si="34"/>
        <v>108.00001</v>
      </c>
      <c r="F238" s="27"/>
    </row>
    <row r="239" spans="1:6" x14ac:dyDescent="0.3">
      <c r="A239" s="2">
        <v>229</v>
      </c>
      <c r="B239" s="5">
        <f t="shared" si="31"/>
        <v>33.072939999999996</v>
      </c>
      <c r="C239" s="5">
        <f t="shared" si="32"/>
        <v>71.519809999999993</v>
      </c>
      <c r="D239" s="5">
        <f t="shared" si="33"/>
        <v>102.87443999999999</v>
      </c>
      <c r="E239" s="5">
        <f t="shared" si="34"/>
        <v>108.00001</v>
      </c>
      <c r="F239" s="27"/>
    </row>
    <row r="240" spans="1:6" x14ac:dyDescent="0.3">
      <c r="A240" s="2">
        <v>230</v>
      </c>
      <c r="B240" s="5">
        <f t="shared" si="31"/>
        <v>33.072939999999996</v>
      </c>
      <c r="C240" s="5">
        <f t="shared" si="32"/>
        <v>71.519809999999993</v>
      </c>
      <c r="D240" s="5">
        <f t="shared" si="33"/>
        <v>102.87443999999999</v>
      </c>
      <c r="E240" s="5">
        <f t="shared" si="34"/>
        <v>108.00001</v>
      </c>
      <c r="F240" s="27"/>
    </row>
    <row r="241" spans="1:6" x14ac:dyDescent="0.3">
      <c r="A241" s="2">
        <v>231</v>
      </c>
      <c r="B241" s="5">
        <f t="shared" si="31"/>
        <v>33.072939999999996</v>
      </c>
      <c r="C241" s="5">
        <f t="shared" si="32"/>
        <v>71.519809999999993</v>
      </c>
      <c r="D241" s="5">
        <f t="shared" si="33"/>
        <v>102.87443999999999</v>
      </c>
      <c r="E241" s="5">
        <f t="shared" si="34"/>
        <v>108.00001</v>
      </c>
      <c r="F241" s="27"/>
    </row>
    <row r="242" spans="1:6" x14ac:dyDescent="0.3">
      <c r="A242" s="2">
        <v>232</v>
      </c>
      <c r="B242" s="5">
        <f t="shared" si="31"/>
        <v>33.072939999999996</v>
      </c>
      <c r="C242" s="5">
        <f t="shared" si="32"/>
        <v>71.519809999999993</v>
      </c>
      <c r="D242" s="5">
        <f t="shared" si="33"/>
        <v>102.87443999999999</v>
      </c>
      <c r="E242" s="5">
        <f t="shared" si="34"/>
        <v>108.00001</v>
      </c>
      <c r="F242" s="27"/>
    </row>
    <row r="243" spans="1:6" x14ac:dyDescent="0.3">
      <c r="A243" s="2">
        <v>233</v>
      </c>
      <c r="B243" s="5">
        <f t="shared" si="31"/>
        <v>33.072939999999996</v>
      </c>
      <c r="C243" s="5">
        <f t="shared" si="32"/>
        <v>71.519809999999993</v>
      </c>
      <c r="D243" s="5">
        <f t="shared" si="33"/>
        <v>102.87443999999999</v>
      </c>
      <c r="E243" s="5">
        <f t="shared" si="34"/>
        <v>108.00001</v>
      </c>
      <c r="F243" s="27"/>
    </row>
    <row r="244" spans="1:6" x14ac:dyDescent="0.3">
      <c r="A244" s="2">
        <v>234</v>
      </c>
      <c r="B244" s="5">
        <f t="shared" si="31"/>
        <v>33.072939999999996</v>
      </c>
      <c r="C244" s="5">
        <f t="shared" si="32"/>
        <v>71.519809999999993</v>
      </c>
      <c r="D244" s="5">
        <f t="shared" si="33"/>
        <v>102.87443999999999</v>
      </c>
      <c r="E244" s="5">
        <f t="shared" si="34"/>
        <v>108.00001</v>
      </c>
      <c r="F244" s="27"/>
    </row>
    <row r="245" spans="1:6" x14ac:dyDescent="0.3">
      <c r="A245" s="2">
        <v>235</v>
      </c>
      <c r="B245" s="5">
        <f t="shared" si="31"/>
        <v>33.072939999999996</v>
      </c>
      <c r="C245" s="5">
        <f t="shared" si="32"/>
        <v>71.519809999999993</v>
      </c>
      <c r="D245" s="5">
        <f t="shared" si="33"/>
        <v>102.87443999999999</v>
      </c>
      <c r="E245" s="5">
        <f t="shared" si="34"/>
        <v>108.00001</v>
      </c>
      <c r="F245" s="27"/>
    </row>
    <row r="246" spans="1:6" x14ac:dyDescent="0.3">
      <c r="A246" s="2">
        <v>236</v>
      </c>
      <c r="B246" s="5">
        <f t="shared" si="31"/>
        <v>33.072939999999996</v>
      </c>
      <c r="C246" s="5">
        <f t="shared" si="32"/>
        <v>71.519809999999993</v>
      </c>
      <c r="D246" s="5">
        <f t="shared" si="33"/>
        <v>102.87443999999999</v>
      </c>
      <c r="E246" s="5">
        <f t="shared" si="34"/>
        <v>108.00001</v>
      </c>
      <c r="F246" s="27"/>
    </row>
    <row r="247" spans="1:6" x14ac:dyDescent="0.3">
      <c r="A247" s="2">
        <v>237</v>
      </c>
      <c r="B247" s="5">
        <f t="shared" si="31"/>
        <v>33.072939999999996</v>
      </c>
      <c r="C247" s="5">
        <f t="shared" si="32"/>
        <v>71.519809999999993</v>
      </c>
      <c r="D247" s="5">
        <f t="shared" si="33"/>
        <v>102.87443999999999</v>
      </c>
      <c r="E247" s="5">
        <f t="shared" si="34"/>
        <v>108.00001</v>
      </c>
      <c r="F247" s="27"/>
    </row>
    <row r="248" spans="1:6" x14ac:dyDescent="0.3">
      <c r="A248" s="2">
        <v>238</v>
      </c>
      <c r="B248" s="5">
        <f t="shared" si="31"/>
        <v>33.072939999999996</v>
      </c>
      <c r="C248" s="5">
        <f t="shared" si="32"/>
        <v>71.519809999999993</v>
      </c>
      <c r="D248" s="5">
        <f t="shared" si="33"/>
        <v>102.87443999999999</v>
      </c>
      <c r="E248" s="5">
        <f t="shared" si="34"/>
        <v>108.00001</v>
      </c>
      <c r="F248" s="27"/>
    </row>
    <row r="249" spans="1:6" x14ac:dyDescent="0.3">
      <c r="A249" s="2">
        <v>239</v>
      </c>
      <c r="B249" s="5">
        <f t="shared" si="31"/>
        <v>33.072939999999996</v>
      </c>
      <c r="C249" s="5">
        <f t="shared" si="32"/>
        <v>71.519809999999993</v>
      </c>
      <c r="D249" s="5">
        <f t="shared" si="33"/>
        <v>102.87443999999999</v>
      </c>
      <c r="E249" s="5">
        <f t="shared" si="34"/>
        <v>108.00001</v>
      </c>
      <c r="F249" s="27"/>
    </row>
    <row r="250" spans="1:6" x14ac:dyDescent="0.3">
      <c r="A250" s="2">
        <v>240</v>
      </c>
      <c r="B250" s="5">
        <f t="shared" si="31"/>
        <v>33.072939999999996</v>
      </c>
      <c r="C250" s="5">
        <f t="shared" si="32"/>
        <v>71.519809999999993</v>
      </c>
      <c r="D250" s="5">
        <f t="shared" si="33"/>
        <v>102.87443999999999</v>
      </c>
      <c r="E250" s="5">
        <f t="shared" si="34"/>
        <v>108.00001</v>
      </c>
      <c r="F250" s="27"/>
    </row>
    <row r="251" spans="1:6" x14ac:dyDescent="0.3">
      <c r="A251" s="2">
        <v>241</v>
      </c>
      <c r="B251" s="5">
        <f t="shared" si="31"/>
        <v>33.072939999999996</v>
      </c>
      <c r="C251" s="5">
        <f t="shared" si="32"/>
        <v>71.519809999999993</v>
      </c>
      <c r="D251" s="5">
        <f t="shared" si="33"/>
        <v>102.87443999999999</v>
      </c>
      <c r="E251" s="5">
        <f t="shared" si="34"/>
        <v>108.00001</v>
      </c>
      <c r="F251" s="27"/>
    </row>
    <row r="252" spans="1:6" x14ac:dyDescent="0.3">
      <c r="A252" s="2">
        <v>242</v>
      </c>
      <c r="B252" s="5">
        <f t="shared" si="31"/>
        <v>33.072939999999996</v>
      </c>
      <c r="C252" s="5">
        <f t="shared" si="32"/>
        <v>71.519809999999993</v>
      </c>
      <c r="D252" s="5">
        <f t="shared" si="33"/>
        <v>102.87443999999999</v>
      </c>
      <c r="E252" s="5">
        <f t="shared" si="34"/>
        <v>108.00001</v>
      </c>
      <c r="F252" s="27"/>
    </row>
    <row r="253" spans="1:6" x14ac:dyDescent="0.3">
      <c r="A253" s="2">
        <v>243</v>
      </c>
      <c r="B253" s="5">
        <f t="shared" si="31"/>
        <v>33.072939999999996</v>
      </c>
      <c r="C253" s="5">
        <f t="shared" si="32"/>
        <v>71.519809999999993</v>
      </c>
      <c r="D253" s="5">
        <f t="shared" si="33"/>
        <v>102.87443999999999</v>
      </c>
      <c r="E253" s="5">
        <f t="shared" si="34"/>
        <v>108.00001</v>
      </c>
      <c r="F253" s="27"/>
    </row>
    <row r="254" spans="1:6" x14ac:dyDescent="0.3">
      <c r="A254" s="2">
        <v>244</v>
      </c>
      <c r="B254" s="5">
        <f t="shared" si="31"/>
        <v>33.072939999999996</v>
      </c>
      <c r="C254" s="5">
        <f t="shared" si="32"/>
        <v>71.519809999999993</v>
      </c>
      <c r="D254" s="5">
        <f t="shared" si="33"/>
        <v>102.87443999999999</v>
      </c>
      <c r="E254" s="5">
        <f t="shared" si="34"/>
        <v>108.00001</v>
      </c>
      <c r="F254" s="27"/>
    </row>
    <row r="255" spans="1:6" x14ac:dyDescent="0.3">
      <c r="A255" s="2">
        <v>245</v>
      </c>
      <c r="B255" s="5">
        <f t="shared" si="31"/>
        <v>33.072939999999996</v>
      </c>
      <c r="C255" s="5">
        <f t="shared" si="32"/>
        <v>71.519809999999993</v>
      </c>
      <c r="D255" s="5">
        <f t="shared" si="33"/>
        <v>102.87443999999999</v>
      </c>
      <c r="E255" s="5">
        <f t="shared" si="34"/>
        <v>108.00001</v>
      </c>
      <c r="F255" s="27"/>
    </row>
    <row r="256" spans="1:6" x14ac:dyDescent="0.3">
      <c r="A256" s="2">
        <v>246</v>
      </c>
      <c r="B256" s="5">
        <f t="shared" si="31"/>
        <v>33.072939999999996</v>
      </c>
      <c r="C256" s="5">
        <f t="shared" si="32"/>
        <v>71.519809999999993</v>
      </c>
      <c r="D256" s="5">
        <f t="shared" si="33"/>
        <v>102.87443999999999</v>
      </c>
      <c r="E256" s="5">
        <f t="shared" si="34"/>
        <v>108.00001</v>
      </c>
      <c r="F256" s="27"/>
    </row>
    <row r="257" spans="1:6" x14ac:dyDescent="0.3">
      <c r="A257" s="2">
        <v>247</v>
      </c>
      <c r="B257" s="5">
        <f t="shared" si="31"/>
        <v>33.072939999999996</v>
      </c>
      <c r="C257" s="5">
        <f t="shared" si="32"/>
        <v>71.519809999999993</v>
      </c>
      <c r="D257" s="5">
        <f t="shared" si="33"/>
        <v>102.87443999999999</v>
      </c>
      <c r="E257" s="5">
        <f t="shared" si="34"/>
        <v>108.00001</v>
      </c>
      <c r="F257" s="27"/>
    </row>
    <row r="258" spans="1:6" x14ac:dyDescent="0.3">
      <c r="A258" s="2">
        <v>248</v>
      </c>
      <c r="B258" s="5">
        <f t="shared" si="31"/>
        <v>33.072939999999996</v>
      </c>
      <c r="C258" s="5">
        <f t="shared" si="32"/>
        <v>71.519809999999993</v>
      </c>
      <c r="D258" s="5">
        <f t="shared" si="33"/>
        <v>102.87443999999999</v>
      </c>
      <c r="E258" s="5">
        <f t="shared" si="34"/>
        <v>108.00001</v>
      </c>
      <c r="F258" s="27"/>
    </row>
    <row r="259" spans="1:6" x14ac:dyDescent="0.3">
      <c r="A259" s="2">
        <v>249</v>
      </c>
      <c r="B259" s="5">
        <f t="shared" si="31"/>
        <v>33.072939999999996</v>
      </c>
      <c r="C259" s="5">
        <f t="shared" si="32"/>
        <v>71.519809999999993</v>
      </c>
      <c r="D259" s="5">
        <f t="shared" si="33"/>
        <v>102.87443999999999</v>
      </c>
      <c r="E259" s="5">
        <f t="shared" si="34"/>
        <v>108.00001</v>
      </c>
      <c r="F259" s="27"/>
    </row>
  </sheetData>
  <mergeCells count="1">
    <mergeCell ref="H20:K4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90EB3D-AAE8-4A07-8522-3A7E24DF1459}">
  <dimension ref="A1:I37"/>
  <sheetViews>
    <sheetView topLeftCell="A3" zoomScaleNormal="100" workbookViewId="0">
      <selection activeCell="A3" sqref="A3"/>
    </sheetView>
  </sheetViews>
  <sheetFormatPr baseColWidth="10" defaultRowHeight="14.4" x14ac:dyDescent="0.3"/>
  <cols>
    <col min="1" max="2" width="26.44140625" customWidth="1"/>
    <col min="3" max="3" width="25" customWidth="1"/>
    <col min="5" max="5" width="14.109375" customWidth="1"/>
    <col min="6" max="6" width="26.44140625" customWidth="1"/>
    <col min="8" max="8" width="23.6640625" customWidth="1"/>
    <col min="9" max="9" width="25.88671875" customWidth="1"/>
  </cols>
  <sheetData>
    <row r="1" spans="1:9" x14ac:dyDescent="0.3">
      <c r="A1" t="s">
        <v>492</v>
      </c>
    </row>
    <row r="2" spans="1:9" x14ac:dyDescent="0.3">
      <c r="A2" t="s">
        <v>496</v>
      </c>
    </row>
    <row r="4" spans="1:9" x14ac:dyDescent="0.3">
      <c r="A4" t="s">
        <v>494</v>
      </c>
      <c r="E4" t="s">
        <v>151</v>
      </c>
      <c r="H4" t="s">
        <v>152</v>
      </c>
    </row>
    <row r="5" spans="1:9" x14ac:dyDescent="0.3">
      <c r="A5" t="s">
        <v>154</v>
      </c>
      <c r="H5" t="s">
        <v>153</v>
      </c>
    </row>
    <row r="6" spans="1:9" x14ac:dyDescent="0.3">
      <c r="A6" s="60" t="s">
        <v>493</v>
      </c>
      <c r="B6" s="60"/>
      <c r="C6" s="60"/>
    </row>
    <row r="7" spans="1:9" x14ac:dyDescent="0.3">
      <c r="A7" s="58" t="s">
        <v>155</v>
      </c>
      <c r="B7" s="4" t="s">
        <v>1</v>
      </c>
      <c r="C7" s="58" t="s">
        <v>495</v>
      </c>
      <c r="E7" s="4" t="s">
        <v>0</v>
      </c>
      <c r="F7" s="4" t="s">
        <v>1</v>
      </c>
      <c r="H7" s="4" t="s">
        <v>155</v>
      </c>
      <c r="I7" s="4" t="s">
        <v>1</v>
      </c>
    </row>
    <row r="8" spans="1:9" x14ac:dyDescent="0.3">
      <c r="A8" s="55">
        <v>1</v>
      </c>
      <c r="B8" s="62">
        <v>13.64</v>
      </c>
      <c r="C8" s="61">
        <v>15.276800000000001</v>
      </c>
      <c r="E8" s="2">
        <v>1</v>
      </c>
      <c r="F8" s="4">
        <v>12.4</v>
      </c>
      <c r="H8" s="2">
        <v>1</v>
      </c>
      <c r="I8" s="4">
        <v>11.06</v>
      </c>
    </row>
    <row r="9" spans="1:9" x14ac:dyDescent="0.3">
      <c r="A9" s="55">
        <v>2</v>
      </c>
      <c r="B9" s="62">
        <v>13.64</v>
      </c>
      <c r="C9" s="61">
        <v>15.276800000000001</v>
      </c>
      <c r="E9" s="2">
        <v>2</v>
      </c>
      <c r="F9" s="4">
        <v>12.4</v>
      </c>
      <c r="H9" s="2">
        <v>2</v>
      </c>
      <c r="I9" s="4">
        <v>11.06</v>
      </c>
    </row>
    <row r="10" spans="1:9" x14ac:dyDescent="0.3">
      <c r="A10" s="55">
        <v>3</v>
      </c>
      <c r="B10" s="62">
        <v>14.74</v>
      </c>
      <c r="C10" s="61">
        <v>16.508800000000001</v>
      </c>
      <c r="E10" s="2">
        <v>3</v>
      </c>
      <c r="F10" s="4">
        <v>13.4</v>
      </c>
      <c r="H10" s="2">
        <v>3</v>
      </c>
      <c r="I10" s="4">
        <v>12.06</v>
      </c>
    </row>
    <row r="11" spans="1:9" x14ac:dyDescent="0.3">
      <c r="A11" s="55">
        <v>4</v>
      </c>
      <c r="B11" s="62">
        <v>14.74</v>
      </c>
      <c r="C11" s="61">
        <v>16.508800000000001</v>
      </c>
      <c r="E11" s="2">
        <v>4</v>
      </c>
      <c r="F11" s="4">
        <v>13.4</v>
      </c>
      <c r="H11" s="2">
        <v>4</v>
      </c>
      <c r="I11" s="4">
        <v>12.06</v>
      </c>
    </row>
    <row r="12" spans="1:9" x14ac:dyDescent="0.3">
      <c r="A12" s="55">
        <v>5</v>
      </c>
      <c r="B12" s="62">
        <v>14.74</v>
      </c>
      <c r="C12" s="61">
        <v>16.508800000000001</v>
      </c>
      <c r="E12" s="2">
        <v>5</v>
      </c>
      <c r="F12" s="4">
        <v>13.4</v>
      </c>
      <c r="H12" s="2">
        <v>5</v>
      </c>
      <c r="I12" s="4">
        <v>12.06</v>
      </c>
    </row>
    <row r="13" spans="1:9" x14ac:dyDescent="0.3">
      <c r="A13" s="55">
        <v>6</v>
      </c>
      <c r="B13" s="62">
        <v>16.059999999999999</v>
      </c>
      <c r="C13" s="61">
        <v>17.987200000000001</v>
      </c>
      <c r="E13" s="2">
        <v>6</v>
      </c>
      <c r="F13" s="4">
        <v>14.6</v>
      </c>
      <c r="H13" s="2">
        <v>6</v>
      </c>
      <c r="I13" s="4">
        <v>13.14</v>
      </c>
    </row>
    <row r="14" spans="1:9" x14ac:dyDescent="0.3">
      <c r="A14" s="55">
        <v>7</v>
      </c>
      <c r="B14" s="62">
        <v>16.059999999999999</v>
      </c>
      <c r="C14" s="61">
        <v>17.987200000000001</v>
      </c>
      <c r="E14" s="2">
        <v>7</v>
      </c>
      <c r="F14" s="4">
        <v>14.6</v>
      </c>
      <c r="H14" s="2">
        <v>7</v>
      </c>
      <c r="I14" s="4">
        <v>13.14</v>
      </c>
    </row>
    <row r="15" spans="1:9" x14ac:dyDescent="0.3">
      <c r="A15" s="55">
        <v>8</v>
      </c>
      <c r="B15" s="62">
        <v>16.059999999999999</v>
      </c>
      <c r="C15" s="61">
        <v>17.987200000000001</v>
      </c>
      <c r="E15" s="2">
        <v>8</v>
      </c>
      <c r="F15" s="4">
        <v>14.6</v>
      </c>
      <c r="H15" s="2">
        <v>8</v>
      </c>
      <c r="I15" s="4">
        <v>13.14</v>
      </c>
    </row>
    <row r="16" spans="1:9" x14ac:dyDescent="0.3">
      <c r="A16" s="55">
        <v>9</v>
      </c>
      <c r="B16" s="62">
        <v>16.059999999999999</v>
      </c>
      <c r="C16" s="61">
        <v>17.987200000000001</v>
      </c>
      <c r="E16" s="2">
        <v>9</v>
      </c>
      <c r="F16" s="4">
        <v>14.6</v>
      </c>
      <c r="H16" s="2">
        <v>9</v>
      </c>
      <c r="I16" s="4">
        <v>13.14</v>
      </c>
    </row>
    <row r="17" spans="1:9" x14ac:dyDescent="0.3">
      <c r="A17" s="55">
        <v>10</v>
      </c>
      <c r="B17" s="62">
        <v>16.059999999999999</v>
      </c>
      <c r="C17" s="61">
        <v>17.987200000000001</v>
      </c>
      <c r="E17" s="2">
        <v>10</v>
      </c>
      <c r="F17" s="4">
        <v>14.6</v>
      </c>
      <c r="H17" s="2">
        <v>10</v>
      </c>
      <c r="I17" s="4">
        <v>13.14</v>
      </c>
    </row>
    <row r="18" spans="1:9" x14ac:dyDescent="0.3">
      <c r="A18" s="55">
        <v>11</v>
      </c>
      <c r="B18" s="62">
        <v>19.03</v>
      </c>
      <c r="C18" s="61">
        <v>21.313600000000005</v>
      </c>
      <c r="E18" s="2">
        <v>11</v>
      </c>
      <c r="F18" s="4">
        <v>17.3</v>
      </c>
      <c r="H18" s="2">
        <v>11</v>
      </c>
      <c r="I18" s="4">
        <v>15.57</v>
      </c>
    </row>
    <row r="19" spans="1:9" x14ac:dyDescent="0.3">
      <c r="A19" s="55">
        <v>12</v>
      </c>
      <c r="B19" s="62">
        <v>19.03</v>
      </c>
      <c r="C19" s="61">
        <v>21.313600000000005</v>
      </c>
      <c r="E19" s="2">
        <v>12</v>
      </c>
      <c r="F19" s="4">
        <v>17.3</v>
      </c>
      <c r="H19" s="2">
        <v>12</v>
      </c>
      <c r="I19" s="4">
        <v>15.57</v>
      </c>
    </row>
    <row r="20" spans="1:9" x14ac:dyDescent="0.3">
      <c r="A20" s="55">
        <v>13</v>
      </c>
      <c r="B20" s="62">
        <v>19.03</v>
      </c>
      <c r="C20" s="61">
        <v>21.313600000000005</v>
      </c>
      <c r="E20" s="2">
        <v>13</v>
      </c>
      <c r="F20" s="4">
        <v>17.3</v>
      </c>
      <c r="H20" s="2">
        <v>13</v>
      </c>
      <c r="I20" s="4">
        <v>15.57</v>
      </c>
    </row>
    <row r="21" spans="1:9" x14ac:dyDescent="0.3">
      <c r="A21" s="55">
        <v>14</v>
      </c>
      <c r="B21" s="62">
        <v>19.03</v>
      </c>
      <c r="C21" s="61">
        <v>21.313600000000005</v>
      </c>
      <c r="E21" s="2">
        <v>14</v>
      </c>
      <c r="F21" s="4">
        <v>17.3</v>
      </c>
      <c r="H21" s="2">
        <v>14</v>
      </c>
      <c r="I21" s="4">
        <v>15.57</v>
      </c>
    </row>
    <row r="22" spans="1:9" x14ac:dyDescent="0.3">
      <c r="A22" s="55">
        <v>15</v>
      </c>
      <c r="B22" s="62">
        <v>19.03</v>
      </c>
      <c r="C22" s="61">
        <v>21.313600000000005</v>
      </c>
      <c r="E22" s="2">
        <v>15</v>
      </c>
      <c r="F22" s="4">
        <v>17.3</v>
      </c>
      <c r="H22" s="2">
        <v>15</v>
      </c>
      <c r="I22" s="4">
        <v>15.57</v>
      </c>
    </row>
    <row r="23" spans="1:9" x14ac:dyDescent="0.3">
      <c r="A23" s="55">
        <v>16</v>
      </c>
      <c r="B23" s="62">
        <v>23.65</v>
      </c>
      <c r="C23" s="61">
        <v>26.488</v>
      </c>
      <c r="E23" s="2">
        <v>16</v>
      </c>
      <c r="F23" s="4">
        <v>21.5</v>
      </c>
      <c r="H23" s="2">
        <v>16</v>
      </c>
      <c r="I23" s="4">
        <v>19.350000000000001</v>
      </c>
    </row>
    <row r="24" spans="1:9" x14ac:dyDescent="0.3">
      <c r="A24" s="55">
        <v>17</v>
      </c>
      <c r="B24" s="62">
        <v>23.65</v>
      </c>
      <c r="C24" s="61">
        <v>26.488</v>
      </c>
      <c r="E24" s="2">
        <v>17</v>
      </c>
      <c r="F24" s="4">
        <v>21.5</v>
      </c>
      <c r="H24" s="2">
        <v>17</v>
      </c>
      <c r="I24" s="4">
        <v>19.350000000000001</v>
      </c>
    </row>
    <row r="25" spans="1:9" x14ac:dyDescent="0.3">
      <c r="A25" s="55">
        <v>18</v>
      </c>
      <c r="B25" s="62">
        <v>23.65</v>
      </c>
      <c r="C25" s="61">
        <v>26.488</v>
      </c>
      <c r="E25" s="2">
        <v>18</v>
      </c>
      <c r="F25" s="4">
        <v>21.5</v>
      </c>
      <c r="H25" s="2">
        <v>18</v>
      </c>
      <c r="I25" s="4">
        <v>19.350000000000001</v>
      </c>
    </row>
    <row r="26" spans="1:9" x14ac:dyDescent="0.3">
      <c r="A26" s="55">
        <v>19</v>
      </c>
      <c r="B26" s="62">
        <v>23.65</v>
      </c>
      <c r="C26" s="61">
        <v>26.488</v>
      </c>
      <c r="E26" s="2">
        <v>19</v>
      </c>
      <c r="F26" s="4">
        <v>21.5</v>
      </c>
      <c r="H26" s="2">
        <v>19</v>
      </c>
      <c r="I26" s="4">
        <v>19.350000000000001</v>
      </c>
    </row>
    <row r="27" spans="1:9" x14ac:dyDescent="0.3">
      <c r="A27" s="55">
        <v>20</v>
      </c>
      <c r="B27" s="62">
        <v>23.65</v>
      </c>
      <c r="C27" s="61">
        <v>26.488</v>
      </c>
      <c r="E27" s="2">
        <v>20</v>
      </c>
      <c r="F27" s="4">
        <v>21.5</v>
      </c>
      <c r="H27" s="2">
        <v>20</v>
      </c>
      <c r="I27" s="4">
        <v>19.350000000000001</v>
      </c>
    </row>
    <row r="28" spans="1:9" x14ac:dyDescent="0.3">
      <c r="A28" s="55">
        <v>21</v>
      </c>
      <c r="B28" s="62">
        <v>28.38</v>
      </c>
      <c r="C28" s="61">
        <v>31.785600000000002</v>
      </c>
      <c r="E28" s="2">
        <v>21</v>
      </c>
      <c r="F28" s="4">
        <v>25.8</v>
      </c>
      <c r="H28" s="2">
        <v>21</v>
      </c>
      <c r="I28" s="4">
        <v>23.22</v>
      </c>
    </row>
    <row r="29" spans="1:9" x14ac:dyDescent="0.3">
      <c r="A29" s="55">
        <v>22</v>
      </c>
      <c r="B29" s="62">
        <v>28.38</v>
      </c>
      <c r="C29" s="61">
        <v>31.785600000000002</v>
      </c>
      <c r="E29" s="2">
        <v>22</v>
      </c>
      <c r="F29" s="4">
        <v>25.8</v>
      </c>
      <c r="H29" s="2">
        <v>22</v>
      </c>
      <c r="I29" s="4">
        <v>23.22</v>
      </c>
    </row>
    <row r="30" spans="1:9" x14ac:dyDescent="0.3">
      <c r="A30" s="55">
        <v>23</v>
      </c>
      <c r="B30" s="62">
        <v>28.38</v>
      </c>
      <c r="C30" s="61">
        <v>31.785600000000002</v>
      </c>
      <c r="E30" s="2">
        <v>23</v>
      </c>
      <c r="F30" s="4">
        <v>25.8</v>
      </c>
      <c r="H30" s="2">
        <v>23</v>
      </c>
      <c r="I30" s="4">
        <v>23.22</v>
      </c>
    </row>
    <row r="31" spans="1:9" x14ac:dyDescent="0.3">
      <c r="A31" s="55">
        <v>24</v>
      </c>
      <c r="B31" s="62">
        <v>28.38</v>
      </c>
      <c r="C31" s="61">
        <v>31.785600000000002</v>
      </c>
      <c r="E31" s="2">
        <v>24</v>
      </c>
      <c r="F31" s="4">
        <v>25.8</v>
      </c>
      <c r="H31" s="2">
        <v>24</v>
      </c>
      <c r="I31" s="4">
        <v>23.22</v>
      </c>
    </row>
    <row r="32" spans="1:9" x14ac:dyDescent="0.3">
      <c r="A32" s="55">
        <v>25</v>
      </c>
      <c r="B32" s="62">
        <v>28.38</v>
      </c>
      <c r="C32" s="61">
        <v>31.785600000000002</v>
      </c>
      <c r="E32" s="2">
        <v>25</v>
      </c>
      <c r="F32" s="4">
        <v>25.8</v>
      </c>
      <c r="H32" s="2">
        <v>25</v>
      </c>
      <c r="I32" s="4">
        <v>23.22</v>
      </c>
    </row>
    <row r="33" spans="1:9" x14ac:dyDescent="0.3">
      <c r="A33" s="55">
        <v>26</v>
      </c>
      <c r="B33" s="62">
        <v>33.22</v>
      </c>
      <c r="C33" s="61">
        <v>37.206400000000002</v>
      </c>
      <c r="E33" s="2">
        <v>26</v>
      </c>
      <c r="F33" s="4">
        <v>30.2</v>
      </c>
      <c r="H33" s="2">
        <v>26</v>
      </c>
      <c r="I33" s="4">
        <v>27.18</v>
      </c>
    </row>
    <row r="34" spans="1:9" x14ac:dyDescent="0.3">
      <c r="A34" s="55">
        <v>27</v>
      </c>
      <c r="B34" s="62">
        <v>33.22</v>
      </c>
      <c r="C34" s="61">
        <v>37.206400000000002</v>
      </c>
      <c r="E34" s="2">
        <v>27</v>
      </c>
      <c r="F34" s="4">
        <v>30.2</v>
      </c>
      <c r="H34" s="2">
        <v>27</v>
      </c>
      <c r="I34" s="4">
        <v>27.18</v>
      </c>
    </row>
    <row r="35" spans="1:9" x14ac:dyDescent="0.3">
      <c r="A35" s="55">
        <v>28</v>
      </c>
      <c r="B35" s="62">
        <v>33.22</v>
      </c>
      <c r="C35" s="61">
        <v>37.206400000000002</v>
      </c>
      <c r="E35" s="2">
        <v>28</v>
      </c>
      <c r="F35" s="4">
        <v>30.2</v>
      </c>
      <c r="H35" s="2">
        <v>28</v>
      </c>
      <c r="I35" s="4">
        <v>27.18</v>
      </c>
    </row>
    <row r="36" spans="1:9" x14ac:dyDescent="0.3">
      <c r="A36" s="55">
        <v>29</v>
      </c>
      <c r="B36" s="62">
        <v>33.22</v>
      </c>
      <c r="C36" s="61">
        <v>37.206400000000002</v>
      </c>
      <c r="E36" s="2">
        <v>29</v>
      </c>
      <c r="F36" s="4">
        <v>30.2</v>
      </c>
      <c r="H36" s="2">
        <v>29</v>
      </c>
      <c r="I36" s="4">
        <v>27.18</v>
      </c>
    </row>
    <row r="37" spans="1:9" x14ac:dyDescent="0.3">
      <c r="A37" s="55">
        <v>30</v>
      </c>
      <c r="B37" s="62">
        <v>33.22</v>
      </c>
      <c r="C37" s="61">
        <v>37.206400000000002</v>
      </c>
      <c r="E37" s="2">
        <v>30</v>
      </c>
      <c r="F37" s="4">
        <v>30.2</v>
      </c>
      <c r="H37" s="2">
        <v>30</v>
      </c>
      <c r="I37" s="4">
        <v>27.18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3:R110"/>
  <sheetViews>
    <sheetView topLeftCell="A8" zoomScaleNormal="100" workbookViewId="0">
      <selection activeCell="B29" sqref="B29:B34"/>
    </sheetView>
  </sheetViews>
  <sheetFormatPr baseColWidth="10" defaultRowHeight="14.4" x14ac:dyDescent="0.3"/>
  <cols>
    <col min="12" max="12" width="24.109375" customWidth="1"/>
    <col min="13" max="13" width="29.44140625" customWidth="1"/>
    <col min="14" max="14" width="23.109375" customWidth="1"/>
    <col min="15" max="15" width="24.5546875" customWidth="1"/>
    <col min="16" max="16" width="22.5546875" customWidth="1"/>
    <col min="17" max="17" width="23.88671875" customWidth="1"/>
    <col min="18" max="18" width="20.44140625" customWidth="1"/>
  </cols>
  <sheetData>
    <row r="3" spans="1:18" x14ac:dyDescent="0.3">
      <c r="A3" t="s">
        <v>491</v>
      </c>
    </row>
    <row r="10" spans="1:18" x14ac:dyDescent="0.3">
      <c r="A10" s="2" t="s">
        <v>63</v>
      </c>
      <c r="B10" s="2" t="s">
        <v>123</v>
      </c>
      <c r="C10" s="12" t="s">
        <v>122</v>
      </c>
      <c r="D10" s="12" t="s">
        <v>124</v>
      </c>
      <c r="E10" s="12" t="s">
        <v>125</v>
      </c>
      <c r="F10" s="12" t="s">
        <v>126</v>
      </c>
      <c r="G10" s="12" t="s">
        <v>127</v>
      </c>
      <c r="H10" s="12" t="s">
        <v>128</v>
      </c>
      <c r="I10" s="2" t="s">
        <v>64</v>
      </c>
      <c r="L10" s="2" t="s">
        <v>5</v>
      </c>
      <c r="M10" s="2" t="s">
        <v>6</v>
      </c>
      <c r="N10" s="2" t="s">
        <v>7</v>
      </c>
      <c r="O10" s="2" t="s">
        <v>8</v>
      </c>
      <c r="P10" s="2" t="s">
        <v>9</v>
      </c>
      <c r="Q10" s="2" t="s">
        <v>65</v>
      </c>
      <c r="R10" s="2" t="s">
        <v>66</v>
      </c>
    </row>
    <row r="11" spans="1:18" x14ac:dyDescent="0.3">
      <c r="A11" s="6">
        <v>1</v>
      </c>
      <c r="B11" s="13">
        <v>13.36</v>
      </c>
      <c r="C11" s="14">
        <f>20.34+2.2</f>
        <v>22.54</v>
      </c>
      <c r="D11" s="14">
        <f>22.38+2.2</f>
        <v>24.58</v>
      </c>
      <c r="E11" s="14">
        <f>23.96+2.2+3.25</f>
        <v>29.41</v>
      </c>
      <c r="F11" s="14">
        <f>25.5+2.2</f>
        <v>27.7</v>
      </c>
      <c r="G11" s="14">
        <f>27.06+2.2</f>
        <v>29.259999999999998</v>
      </c>
      <c r="H11" s="14">
        <f>28.24+2.2</f>
        <v>30.439999999999998</v>
      </c>
      <c r="I11" s="15">
        <v>62.71</v>
      </c>
      <c r="L11" s="2" t="s">
        <v>10</v>
      </c>
      <c r="M11" s="2" t="s">
        <v>67</v>
      </c>
      <c r="N11" s="2" t="s">
        <v>68</v>
      </c>
      <c r="O11" s="2" t="s">
        <v>69</v>
      </c>
      <c r="P11" s="2" t="s">
        <v>22</v>
      </c>
      <c r="Q11" s="2" t="s">
        <v>14</v>
      </c>
      <c r="R11" s="2" t="s">
        <v>26</v>
      </c>
    </row>
    <row r="12" spans="1:18" x14ac:dyDescent="0.3">
      <c r="A12" s="7">
        <v>2</v>
      </c>
      <c r="B12" s="13">
        <v>13.36</v>
      </c>
      <c r="C12" s="14">
        <f t="shared" ref="C12:C14" si="0">20.34+2.2</f>
        <v>22.54</v>
      </c>
      <c r="D12" s="14">
        <f t="shared" ref="D12:D14" si="1">22.38+2.2</f>
        <v>24.58</v>
      </c>
      <c r="E12" s="14">
        <f t="shared" ref="E12:E14" si="2">23.96+2.2+3.25</f>
        <v>29.41</v>
      </c>
      <c r="F12" s="14">
        <f t="shared" ref="F12:F14" si="3">25.5+2.2</f>
        <v>27.7</v>
      </c>
      <c r="G12" s="14">
        <f t="shared" ref="G12:G14" si="4">27.06+2.2</f>
        <v>29.259999999999998</v>
      </c>
      <c r="H12" s="14">
        <f t="shared" ref="H12:H14" si="5">28.24+2.2</f>
        <v>30.439999999999998</v>
      </c>
      <c r="I12" s="16">
        <v>62.71</v>
      </c>
      <c r="L12" s="91"/>
      <c r="M12" s="2" t="s">
        <v>70</v>
      </c>
      <c r="N12" s="2" t="s">
        <v>71</v>
      </c>
      <c r="O12" s="2" t="s">
        <v>47</v>
      </c>
      <c r="P12" s="2" t="s">
        <v>41</v>
      </c>
      <c r="Q12" s="2" t="s">
        <v>18</v>
      </c>
      <c r="R12" s="2" t="s">
        <v>72</v>
      </c>
    </row>
    <row r="13" spans="1:18" x14ac:dyDescent="0.3">
      <c r="A13" s="7">
        <v>3</v>
      </c>
      <c r="B13" s="13">
        <v>13.36</v>
      </c>
      <c r="C13" s="14">
        <f t="shared" si="0"/>
        <v>22.54</v>
      </c>
      <c r="D13" s="14">
        <f t="shared" si="1"/>
        <v>24.58</v>
      </c>
      <c r="E13" s="14">
        <f t="shared" si="2"/>
        <v>29.41</v>
      </c>
      <c r="F13" s="14">
        <f t="shared" si="3"/>
        <v>27.7</v>
      </c>
      <c r="G13" s="14">
        <f t="shared" si="4"/>
        <v>29.259999999999998</v>
      </c>
      <c r="H13" s="14">
        <f t="shared" si="5"/>
        <v>30.439999999999998</v>
      </c>
      <c r="I13" s="16">
        <v>62.71</v>
      </c>
      <c r="L13" s="92"/>
      <c r="M13" s="2" t="s">
        <v>73</v>
      </c>
      <c r="N13" s="2" t="s">
        <v>74</v>
      </c>
      <c r="O13" s="2" t="s">
        <v>50</v>
      </c>
      <c r="P13" s="2" t="s">
        <v>48</v>
      </c>
      <c r="Q13" s="2" t="s">
        <v>37</v>
      </c>
      <c r="R13" s="2" t="s">
        <v>30</v>
      </c>
    </row>
    <row r="14" spans="1:18" x14ac:dyDescent="0.3">
      <c r="A14" s="10">
        <v>4</v>
      </c>
      <c r="B14" s="13">
        <v>13.36</v>
      </c>
      <c r="C14" s="14">
        <f t="shared" si="0"/>
        <v>22.54</v>
      </c>
      <c r="D14" s="14">
        <f t="shared" si="1"/>
        <v>24.58</v>
      </c>
      <c r="E14" s="14">
        <f t="shared" si="2"/>
        <v>29.41</v>
      </c>
      <c r="F14" s="14">
        <f t="shared" si="3"/>
        <v>27.7</v>
      </c>
      <c r="G14" s="14">
        <f t="shared" si="4"/>
        <v>29.259999999999998</v>
      </c>
      <c r="H14" s="14">
        <f t="shared" si="5"/>
        <v>30.439999999999998</v>
      </c>
      <c r="I14" s="17">
        <v>62.71</v>
      </c>
      <c r="L14" s="92"/>
      <c r="M14" s="2" t="s">
        <v>75</v>
      </c>
      <c r="N14" s="2" t="s">
        <v>76</v>
      </c>
      <c r="O14" s="2" t="s">
        <v>17</v>
      </c>
      <c r="P14" s="2" t="s">
        <v>51</v>
      </c>
      <c r="Q14" s="2" t="s">
        <v>43</v>
      </c>
      <c r="R14" s="2" t="s">
        <v>34</v>
      </c>
    </row>
    <row r="15" spans="1:18" x14ac:dyDescent="0.3">
      <c r="A15" s="6">
        <v>5</v>
      </c>
      <c r="B15" s="13">
        <v>15.5</v>
      </c>
      <c r="C15" s="14">
        <f>23.01+2.2</f>
        <v>25.21</v>
      </c>
      <c r="D15" s="14">
        <f>27.89+2.2</f>
        <v>30.09</v>
      </c>
      <c r="E15" s="14">
        <f>30.54+2.2+3.25</f>
        <v>35.99</v>
      </c>
      <c r="F15" s="14">
        <f>33.26+2.2</f>
        <v>35.46</v>
      </c>
      <c r="G15" s="14">
        <f>35.93+2.2</f>
        <v>38.130000000000003</v>
      </c>
      <c r="H15" s="14">
        <f>38.99+2.2</f>
        <v>41.190000000000005</v>
      </c>
      <c r="I15" s="15">
        <v>75.010000000000005</v>
      </c>
      <c r="L15" s="92"/>
      <c r="M15" s="2" t="s">
        <v>27</v>
      </c>
      <c r="N15" s="2" t="s">
        <v>77</v>
      </c>
      <c r="O15" s="2" t="s">
        <v>33</v>
      </c>
      <c r="P15" s="2" t="s">
        <v>57</v>
      </c>
      <c r="Q15" s="2" t="s">
        <v>46</v>
      </c>
      <c r="R15" s="2" t="s">
        <v>39</v>
      </c>
    </row>
    <row r="16" spans="1:18" x14ac:dyDescent="0.3">
      <c r="A16" s="7">
        <v>6</v>
      </c>
      <c r="B16" s="13">
        <v>15.5</v>
      </c>
      <c r="C16" s="14">
        <f t="shared" ref="C16:C19" si="6">23.01+2.2</f>
        <v>25.21</v>
      </c>
      <c r="D16" s="14">
        <f t="shared" ref="D16:D19" si="7">27.89+2.2</f>
        <v>30.09</v>
      </c>
      <c r="E16" s="14">
        <f t="shared" ref="E16:E19" si="8">30.54+2.2+3.25</f>
        <v>35.99</v>
      </c>
      <c r="F16" s="14">
        <f t="shared" ref="F16:F19" si="9">33.26+2.2</f>
        <v>35.46</v>
      </c>
      <c r="G16" s="14">
        <f t="shared" ref="G16:G19" si="10">35.93+2.2</f>
        <v>38.130000000000003</v>
      </c>
      <c r="H16" s="14">
        <f t="shared" ref="H16:H19" si="11">38.99+2.2</f>
        <v>41.190000000000005</v>
      </c>
      <c r="I16" s="16">
        <v>75.010000000000005</v>
      </c>
      <c r="L16" s="92"/>
      <c r="M16" s="2" t="s">
        <v>78</v>
      </c>
      <c r="N16" s="2" t="s">
        <v>79</v>
      </c>
      <c r="O16" s="2" t="s">
        <v>80</v>
      </c>
      <c r="P16" s="2" t="s">
        <v>81</v>
      </c>
      <c r="Q16" s="2" t="s">
        <v>49</v>
      </c>
      <c r="R16" s="2" t="s">
        <v>42</v>
      </c>
    </row>
    <row r="17" spans="1:18" x14ac:dyDescent="0.3">
      <c r="A17" s="7">
        <v>7</v>
      </c>
      <c r="B17" s="13">
        <v>15.5</v>
      </c>
      <c r="C17" s="14">
        <f t="shared" si="6"/>
        <v>25.21</v>
      </c>
      <c r="D17" s="14">
        <f t="shared" si="7"/>
        <v>30.09</v>
      </c>
      <c r="E17" s="14">
        <f t="shared" si="8"/>
        <v>35.99</v>
      </c>
      <c r="F17" s="14">
        <f t="shared" si="9"/>
        <v>35.46</v>
      </c>
      <c r="G17" s="14">
        <f t="shared" si="10"/>
        <v>38.130000000000003</v>
      </c>
      <c r="H17" s="14">
        <f t="shared" si="11"/>
        <v>41.190000000000005</v>
      </c>
      <c r="I17" s="16">
        <v>75.010000000000005</v>
      </c>
      <c r="L17" s="92"/>
      <c r="M17" s="2" t="s">
        <v>82</v>
      </c>
      <c r="N17" s="2" t="s">
        <v>29</v>
      </c>
      <c r="O17" s="2" t="s">
        <v>83</v>
      </c>
      <c r="P17" s="2" t="s">
        <v>84</v>
      </c>
      <c r="Q17" s="2" t="s">
        <v>52</v>
      </c>
      <c r="R17" s="2" t="s">
        <v>45</v>
      </c>
    </row>
    <row r="18" spans="1:18" x14ac:dyDescent="0.3">
      <c r="A18" s="7">
        <v>8</v>
      </c>
      <c r="B18" s="13">
        <v>15.5</v>
      </c>
      <c r="C18" s="14">
        <f t="shared" si="6"/>
        <v>25.21</v>
      </c>
      <c r="D18" s="14">
        <f t="shared" si="7"/>
        <v>30.09</v>
      </c>
      <c r="E18" s="14">
        <f t="shared" si="8"/>
        <v>35.99</v>
      </c>
      <c r="F18" s="14">
        <f t="shared" si="9"/>
        <v>35.46</v>
      </c>
      <c r="G18" s="14">
        <f t="shared" si="10"/>
        <v>38.130000000000003</v>
      </c>
      <c r="H18" s="14">
        <f t="shared" si="11"/>
        <v>41.190000000000005</v>
      </c>
      <c r="I18" s="16">
        <v>75.010000000000005</v>
      </c>
      <c r="L18" s="93"/>
      <c r="M18" s="2" t="s">
        <v>36</v>
      </c>
      <c r="N18" s="2" t="s">
        <v>85</v>
      </c>
      <c r="O18" s="2" t="s">
        <v>62</v>
      </c>
      <c r="P18" s="2" t="s">
        <v>86</v>
      </c>
      <c r="Q18" s="2" t="s">
        <v>55</v>
      </c>
      <c r="R18" s="2" t="s">
        <v>53</v>
      </c>
    </row>
    <row r="19" spans="1:18" x14ac:dyDescent="0.3">
      <c r="A19" s="10">
        <v>9</v>
      </c>
      <c r="B19" s="13">
        <v>15.5</v>
      </c>
      <c r="C19" s="14">
        <f t="shared" si="6"/>
        <v>25.21</v>
      </c>
      <c r="D19" s="14">
        <f t="shared" si="7"/>
        <v>30.09</v>
      </c>
      <c r="E19" s="14">
        <f t="shared" si="8"/>
        <v>35.99</v>
      </c>
      <c r="F19" s="14">
        <f t="shared" si="9"/>
        <v>35.46</v>
      </c>
      <c r="G19" s="14">
        <f t="shared" si="10"/>
        <v>38.130000000000003</v>
      </c>
      <c r="H19" s="14">
        <f t="shared" si="11"/>
        <v>41.190000000000005</v>
      </c>
      <c r="I19" s="17">
        <v>75.010000000000005</v>
      </c>
      <c r="L19" s="94"/>
      <c r="M19" s="95"/>
      <c r="N19" s="2" t="s">
        <v>38</v>
      </c>
      <c r="O19" s="26" t="s">
        <v>137</v>
      </c>
      <c r="P19" s="2" t="s">
        <v>88</v>
      </c>
      <c r="Q19" s="2" t="s">
        <v>56</v>
      </c>
      <c r="R19" s="2" t="s">
        <v>54</v>
      </c>
    </row>
    <row r="20" spans="1:18" x14ac:dyDescent="0.3">
      <c r="A20" s="6">
        <v>10</v>
      </c>
      <c r="B20" s="13">
        <v>16.63</v>
      </c>
      <c r="C20" s="18">
        <f>25.68+2.2</f>
        <v>27.88</v>
      </c>
      <c r="D20" s="18">
        <f>33.4+2.2</f>
        <v>35.6</v>
      </c>
      <c r="E20" s="18">
        <f>37.14+2.2+3.25</f>
        <v>42.59</v>
      </c>
      <c r="F20" s="18">
        <f>41.02+2.2</f>
        <v>43.220000000000006</v>
      </c>
      <c r="G20" s="18">
        <f>44.81+2.2</f>
        <v>47.010000000000005</v>
      </c>
      <c r="H20" s="18">
        <f>49.75+2.2</f>
        <v>51.95</v>
      </c>
      <c r="I20" s="19">
        <v>109.23</v>
      </c>
      <c r="L20" s="85"/>
      <c r="M20" s="87"/>
      <c r="N20" s="2" t="s">
        <v>40</v>
      </c>
      <c r="O20" s="4" t="s">
        <v>148</v>
      </c>
      <c r="P20" s="2" t="s">
        <v>89</v>
      </c>
      <c r="Q20" s="2" t="s">
        <v>90</v>
      </c>
      <c r="R20" s="2" t="s">
        <v>91</v>
      </c>
    </row>
    <row r="21" spans="1:18" x14ac:dyDescent="0.3">
      <c r="A21" s="7">
        <v>11</v>
      </c>
      <c r="B21" s="13">
        <v>16.63</v>
      </c>
      <c r="C21" s="18">
        <f t="shared" ref="C21:C24" si="12">25.68+2.2</f>
        <v>27.88</v>
      </c>
      <c r="D21" s="18">
        <f t="shared" ref="D21:D24" si="13">33.4+2.2</f>
        <v>35.6</v>
      </c>
      <c r="E21" s="18">
        <f t="shared" ref="E21:E24" si="14">37.14+2.2+3.25</f>
        <v>42.59</v>
      </c>
      <c r="F21" s="18">
        <f t="shared" ref="F21:F24" si="15">41.02+2.2</f>
        <v>43.220000000000006</v>
      </c>
      <c r="G21" s="18">
        <f t="shared" ref="G21:G24" si="16">44.81+2.2</f>
        <v>47.010000000000005</v>
      </c>
      <c r="H21" s="18">
        <f t="shared" ref="H21:H24" si="17">49.75+2.2</f>
        <v>51.95</v>
      </c>
      <c r="I21" s="20">
        <v>109.23</v>
      </c>
      <c r="L21" s="88"/>
      <c r="M21" s="90"/>
      <c r="N21" s="2" t="s">
        <v>92</v>
      </c>
      <c r="O21" t="s">
        <v>149</v>
      </c>
      <c r="P21" s="39"/>
      <c r="Q21" s="2" t="s">
        <v>93</v>
      </c>
      <c r="R21" s="2" t="s">
        <v>94</v>
      </c>
    </row>
    <row r="22" spans="1:18" x14ac:dyDescent="0.3">
      <c r="A22" s="7">
        <v>12</v>
      </c>
      <c r="B22" s="13">
        <v>16.63</v>
      </c>
      <c r="C22" s="18">
        <f t="shared" si="12"/>
        <v>27.88</v>
      </c>
      <c r="D22" s="18">
        <f t="shared" si="13"/>
        <v>35.6</v>
      </c>
      <c r="E22" s="18">
        <f t="shared" si="14"/>
        <v>42.59</v>
      </c>
      <c r="F22" s="18">
        <f t="shared" si="15"/>
        <v>43.220000000000006</v>
      </c>
      <c r="G22" s="18">
        <f t="shared" si="16"/>
        <v>47.010000000000005</v>
      </c>
      <c r="H22" s="18">
        <f t="shared" si="17"/>
        <v>51.95</v>
      </c>
      <c r="I22" s="20">
        <v>109.23</v>
      </c>
      <c r="L22" s="30"/>
      <c r="M22" s="31"/>
      <c r="N22" s="31"/>
      <c r="O22" s="28" t="s">
        <v>87</v>
      </c>
      <c r="P22" s="32"/>
      <c r="Q22" s="2" t="s">
        <v>95</v>
      </c>
      <c r="R22" s="2" t="s">
        <v>96</v>
      </c>
    </row>
    <row r="23" spans="1:18" x14ac:dyDescent="0.3">
      <c r="A23" s="7">
        <v>13</v>
      </c>
      <c r="B23" s="13">
        <v>16.63</v>
      </c>
      <c r="C23" s="18">
        <f t="shared" si="12"/>
        <v>27.88</v>
      </c>
      <c r="D23" s="18">
        <f t="shared" si="13"/>
        <v>35.6</v>
      </c>
      <c r="E23" s="18">
        <f t="shared" si="14"/>
        <v>42.59</v>
      </c>
      <c r="F23" s="18">
        <f t="shared" si="15"/>
        <v>43.220000000000006</v>
      </c>
      <c r="G23" s="18">
        <f t="shared" si="16"/>
        <v>47.010000000000005</v>
      </c>
      <c r="H23" s="18">
        <f t="shared" si="17"/>
        <v>51.95</v>
      </c>
      <c r="I23" s="20">
        <v>109.23</v>
      </c>
      <c r="L23" s="33"/>
      <c r="M23" s="34"/>
      <c r="N23" s="34"/>
      <c r="O23" s="34"/>
      <c r="P23" s="35"/>
      <c r="Q23" s="2" t="s">
        <v>58</v>
      </c>
      <c r="R23" s="2" t="s">
        <v>97</v>
      </c>
    </row>
    <row r="24" spans="1:18" x14ac:dyDescent="0.3">
      <c r="A24" s="10">
        <v>14</v>
      </c>
      <c r="B24" s="13">
        <v>16.63</v>
      </c>
      <c r="C24" s="18">
        <f t="shared" si="12"/>
        <v>27.88</v>
      </c>
      <c r="D24" s="18">
        <f t="shared" si="13"/>
        <v>35.6</v>
      </c>
      <c r="E24" s="18">
        <f t="shared" si="14"/>
        <v>42.59</v>
      </c>
      <c r="F24" s="18">
        <f t="shared" si="15"/>
        <v>43.220000000000006</v>
      </c>
      <c r="G24" s="18">
        <f t="shared" si="16"/>
        <v>47.010000000000005</v>
      </c>
      <c r="H24" s="18">
        <f t="shared" si="17"/>
        <v>51.95</v>
      </c>
      <c r="I24" s="21">
        <v>109.23</v>
      </c>
      <c r="L24" s="33"/>
      <c r="M24" s="34"/>
      <c r="N24" s="34"/>
      <c r="O24" s="34"/>
      <c r="P24" s="35"/>
      <c r="Q24" s="2" t="s">
        <v>98</v>
      </c>
      <c r="R24" s="2" t="s">
        <v>99</v>
      </c>
    </row>
    <row r="25" spans="1:18" x14ac:dyDescent="0.3">
      <c r="A25" s="6">
        <v>15</v>
      </c>
      <c r="B25" s="13">
        <v>17.77</v>
      </c>
      <c r="C25" s="14">
        <f>28.35+2.2</f>
        <v>30.55</v>
      </c>
      <c r="D25" s="14">
        <f>38.9+2.2</f>
        <v>41.1</v>
      </c>
      <c r="E25" s="14">
        <f>43.72+2.2+3.25</f>
        <v>49.17</v>
      </c>
      <c r="F25" s="14">
        <f>48.77+2.2</f>
        <v>50.970000000000006</v>
      </c>
      <c r="G25" s="14">
        <f>53.68+2.2</f>
        <v>55.88</v>
      </c>
      <c r="H25" s="14">
        <f>60.5+2.2</f>
        <v>62.7</v>
      </c>
      <c r="I25" s="15">
        <v>119.34</v>
      </c>
      <c r="L25" s="33"/>
      <c r="M25" s="34"/>
      <c r="N25" s="34"/>
      <c r="O25" s="34"/>
      <c r="P25" s="35"/>
      <c r="Q25" s="2" t="s">
        <v>100</v>
      </c>
      <c r="R25" s="2" t="s">
        <v>44</v>
      </c>
    </row>
    <row r="26" spans="1:18" x14ac:dyDescent="0.3">
      <c r="A26" s="7">
        <v>16</v>
      </c>
      <c r="B26" s="13">
        <v>17.77</v>
      </c>
      <c r="C26" s="14">
        <f t="shared" ref="C26:C29" si="18">28.35+2.2</f>
        <v>30.55</v>
      </c>
      <c r="D26" s="14">
        <f t="shared" ref="D26:D29" si="19">38.9+2.2</f>
        <v>41.1</v>
      </c>
      <c r="E26" s="14">
        <f t="shared" ref="E26:E29" si="20">43.72+2.2+3.25</f>
        <v>49.17</v>
      </c>
      <c r="F26" s="14">
        <f t="shared" ref="F26:F29" si="21">48.77+2.2</f>
        <v>50.970000000000006</v>
      </c>
      <c r="G26" s="14">
        <f t="shared" ref="G26:G29" si="22">53.68+2.2</f>
        <v>55.88</v>
      </c>
      <c r="H26" s="14">
        <f t="shared" ref="H26:H29" si="23">60.5+2.2</f>
        <v>62.7</v>
      </c>
      <c r="I26" s="16">
        <v>119.34</v>
      </c>
      <c r="L26" s="33"/>
      <c r="M26" s="34"/>
      <c r="N26" s="34"/>
      <c r="O26" s="34"/>
      <c r="P26" s="35"/>
      <c r="Q26" s="2" t="s">
        <v>101</v>
      </c>
      <c r="R26" s="2" t="s">
        <v>60</v>
      </c>
    </row>
    <row r="27" spans="1:18" x14ac:dyDescent="0.3">
      <c r="A27" s="7">
        <v>17</v>
      </c>
      <c r="B27" s="13">
        <v>17.77</v>
      </c>
      <c r="C27" s="14">
        <f t="shared" si="18"/>
        <v>30.55</v>
      </c>
      <c r="D27" s="14">
        <f t="shared" si="19"/>
        <v>41.1</v>
      </c>
      <c r="E27" s="14">
        <f t="shared" si="20"/>
        <v>49.17</v>
      </c>
      <c r="F27" s="14">
        <f t="shared" si="21"/>
        <v>50.970000000000006</v>
      </c>
      <c r="G27" s="14">
        <f t="shared" si="22"/>
        <v>55.88</v>
      </c>
      <c r="H27" s="14">
        <f t="shared" si="23"/>
        <v>62.7</v>
      </c>
      <c r="I27" s="16">
        <v>119.34</v>
      </c>
      <c r="L27" s="33"/>
      <c r="M27" s="34"/>
      <c r="N27" s="34"/>
      <c r="O27" s="34"/>
      <c r="P27" s="35"/>
      <c r="Q27" s="2" t="s">
        <v>59</v>
      </c>
      <c r="R27" s="2" t="s">
        <v>102</v>
      </c>
    </row>
    <row r="28" spans="1:18" x14ac:dyDescent="0.3">
      <c r="A28" s="7">
        <v>18</v>
      </c>
      <c r="B28" s="13">
        <v>17.77</v>
      </c>
      <c r="C28" s="14">
        <f t="shared" si="18"/>
        <v>30.55</v>
      </c>
      <c r="D28" s="14">
        <f t="shared" si="19"/>
        <v>41.1</v>
      </c>
      <c r="E28" s="14">
        <f t="shared" si="20"/>
        <v>49.17</v>
      </c>
      <c r="F28" s="14">
        <f t="shared" si="21"/>
        <v>50.970000000000006</v>
      </c>
      <c r="G28" s="14">
        <f t="shared" si="22"/>
        <v>55.88</v>
      </c>
      <c r="H28" s="14">
        <f t="shared" si="23"/>
        <v>62.7</v>
      </c>
      <c r="I28" s="16">
        <v>119.34</v>
      </c>
      <c r="L28" s="33"/>
      <c r="M28" s="34"/>
      <c r="N28" s="34"/>
      <c r="O28" s="34"/>
      <c r="P28" s="35"/>
      <c r="Q28" s="2" t="s">
        <v>103</v>
      </c>
      <c r="R28" s="2" t="s">
        <v>104</v>
      </c>
    </row>
    <row r="29" spans="1:18" x14ac:dyDescent="0.3">
      <c r="A29" s="10">
        <v>19</v>
      </c>
      <c r="B29" s="13">
        <v>17.77</v>
      </c>
      <c r="C29" s="14">
        <f t="shared" si="18"/>
        <v>30.55</v>
      </c>
      <c r="D29" s="14">
        <f t="shared" si="19"/>
        <v>41.1</v>
      </c>
      <c r="E29" s="14">
        <f t="shared" si="20"/>
        <v>49.17</v>
      </c>
      <c r="F29" s="14">
        <f t="shared" si="21"/>
        <v>50.970000000000006</v>
      </c>
      <c r="G29" s="14">
        <f t="shared" si="22"/>
        <v>55.88</v>
      </c>
      <c r="H29" s="14">
        <f t="shared" si="23"/>
        <v>62.7</v>
      </c>
      <c r="I29" s="17">
        <v>119.34</v>
      </c>
      <c r="L29" s="33"/>
      <c r="M29" s="34"/>
      <c r="N29" s="34"/>
      <c r="O29" s="34"/>
      <c r="P29" s="35"/>
      <c r="Q29" s="2" t="s">
        <v>105</v>
      </c>
      <c r="R29" s="2" t="s">
        <v>106</v>
      </c>
    </row>
    <row r="30" spans="1:18" x14ac:dyDescent="0.3">
      <c r="A30" s="6">
        <v>20</v>
      </c>
      <c r="B30" s="13">
        <v>22.29</v>
      </c>
      <c r="C30" s="18">
        <f>31+2.2</f>
        <v>33.200000000000003</v>
      </c>
      <c r="D30" s="14">
        <f>44.44+2.2</f>
        <v>46.64</v>
      </c>
      <c r="E30" s="14">
        <f>50.31+2.2+3.25</f>
        <v>55.760000000000005</v>
      </c>
      <c r="F30" s="14">
        <f>56.53+2.2</f>
        <v>58.730000000000004</v>
      </c>
      <c r="G30" s="14">
        <f>62.57+2.2</f>
        <v>64.77</v>
      </c>
      <c r="H30" s="14">
        <f>71.27+2.2</f>
        <v>73.47</v>
      </c>
      <c r="I30" s="15">
        <v>144.80000000000001</v>
      </c>
      <c r="L30" s="33"/>
      <c r="M30" s="34"/>
      <c r="N30" s="34"/>
      <c r="O30" s="34"/>
      <c r="P30" s="35"/>
      <c r="Q30" s="2" t="s">
        <v>107</v>
      </c>
      <c r="R30" s="2" t="s">
        <v>108</v>
      </c>
    </row>
    <row r="31" spans="1:18" x14ac:dyDescent="0.3">
      <c r="A31" s="7">
        <v>21</v>
      </c>
      <c r="B31" s="13">
        <v>22.29</v>
      </c>
      <c r="C31" s="18">
        <f t="shared" ref="C31:C39" si="24">31+2.2</f>
        <v>33.200000000000003</v>
      </c>
      <c r="D31" s="14">
        <f t="shared" ref="D31:D39" si="25">44.44+2.2</f>
        <v>46.64</v>
      </c>
      <c r="E31" s="14">
        <f t="shared" ref="E31:E39" si="26">50.31+2.2+3.25</f>
        <v>55.760000000000005</v>
      </c>
      <c r="F31" s="14">
        <f t="shared" ref="F31:F39" si="27">56.53+2.2</f>
        <v>58.730000000000004</v>
      </c>
      <c r="G31" s="14">
        <f t="shared" ref="G31:G39" si="28">62.57+2.2</f>
        <v>64.77</v>
      </c>
      <c r="H31" s="14">
        <f t="shared" ref="H31:H39" si="29">71.27+2.2</f>
        <v>73.47</v>
      </c>
      <c r="I31" s="16">
        <v>144.80000000000001</v>
      </c>
      <c r="L31" s="33"/>
      <c r="M31" s="34"/>
      <c r="N31" s="34"/>
      <c r="O31" s="34"/>
      <c r="P31" s="35"/>
      <c r="Q31" s="2" t="s">
        <v>109</v>
      </c>
      <c r="R31" s="2" t="s">
        <v>110</v>
      </c>
    </row>
    <row r="32" spans="1:18" x14ac:dyDescent="0.3">
      <c r="A32" s="7">
        <v>22</v>
      </c>
      <c r="B32" s="13">
        <v>22.29</v>
      </c>
      <c r="C32" s="18">
        <f t="shared" si="24"/>
        <v>33.200000000000003</v>
      </c>
      <c r="D32" s="14">
        <f t="shared" si="25"/>
        <v>46.64</v>
      </c>
      <c r="E32" s="14">
        <f t="shared" si="26"/>
        <v>55.760000000000005</v>
      </c>
      <c r="F32" s="14">
        <f t="shared" si="27"/>
        <v>58.730000000000004</v>
      </c>
      <c r="G32" s="14">
        <f t="shared" si="28"/>
        <v>64.77</v>
      </c>
      <c r="H32" s="14">
        <f t="shared" si="29"/>
        <v>73.47</v>
      </c>
      <c r="I32" s="16">
        <v>144.80000000000001</v>
      </c>
      <c r="L32" s="33"/>
      <c r="M32" s="34"/>
      <c r="N32" s="34"/>
      <c r="O32" s="34"/>
      <c r="P32" s="35"/>
      <c r="Q32" s="2" t="s">
        <v>111</v>
      </c>
      <c r="R32" s="2" t="s">
        <v>112</v>
      </c>
    </row>
    <row r="33" spans="1:18" x14ac:dyDescent="0.3">
      <c r="A33" s="7">
        <v>23</v>
      </c>
      <c r="B33" s="13">
        <v>22.29</v>
      </c>
      <c r="C33" s="18">
        <f t="shared" si="24"/>
        <v>33.200000000000003</v>
      </c>
      <c r="D33" s="14">
        <f t="shared" si="25"/>
        <v>46.64</v>
      </c>
      <c r="E33" s="14">
        <f t="shared" si="26"/>
        <v>55.760000000000005</v>
      </c>
      <c r="F33" s="14">
        <f t="shared" si="27"/>
        <v>58.730000000000004</v>
      </c>
      <c r="G33" s="14">
        <f t="shared" si="28"/>
        <v>64.77</v>
      </c>
      <c r="H33" s="14">
        <f t="shared" si="29"/>
        <v>73.47</v>
      </c>
      <c r="I33" s="16">
        <v>144.80000000000001</v>
      </c>
      <c r="L33" s="33"/>
      <c r="M33" s="34"/>
      <c r="N33" s="34"/>
      <c r="O33" s="34"/>
      <c r="P33" s="35"/>
      <c r="Q33" s="2" t="s">
        <v>113</v>
      </c>
      <c r="R33" s="91"/>
    </row>
    <row r="34" spans="1:18" x14ac:dyDescent="0.3">
      <c r="A34" s="7">
        <v>24</v>
      </c>
      <c r="B34" s="13">
        <v>22.29</v>
      </c>
      <c r="C34" s="18">
        <f t="shared" si="24"/>
        <v>33.200000000000003</v>
      </c>
      <c r="D34" s="14">
        <f t="shared" si="25"/>
        <v>46.64</v>
      </c>
      <c r="E34" s="14">
        <f t="shared" si="26"/>
        <v>55.760000000000005</v>
      </c>
      <c r="F34" s="14">
        <f t="shared" si="27"/>
        <v>58.730000000000004</v>
      </c>
      <c r="G34" s="14">
        <f t="shared" si="28"/>
        <v>64.77</v>
      </c>
      <c r="H34" s="14">
        <f t="shared" si="29"/>
        <v>73.47</v>
      </c>
      <c r="I34" s="16">
        <v>144.80000000000001</v>
      </c>
      <c r="L34" s="33"/>
      <c r="M34" s="34"/>
      <c r="N34" s="34"/>
      <c r="O34" s="34"/>
      <c r="P34" s="35"/>
      <c r="Q34" s="2" t="s">
        <v>114</v>
      </c>
      <c r="R34" s="92"/>
    </row>
    <row r="35" spans="1:18" x14ac:dyDescent="0.3">
      <c r="A35" s="7">
        <v>25</v>
      </c>
      <c r="B35" s="13">
        <v>22.29</v>
      </c>
      <c r="C35" s="18">
        <f t="shared" si="24"/>
        <v>33.200000000000003</v>
      </c>
      <c r="D35" s="14">
        <f t="shared" si="25"/>
        <v>46.64</v>
      </c>
      <c r="E35" s="14">
        <f t="shared" si="26"/>
        <v>55.760000000000005</v>
      </c>
      <c r="F35" s="14">
        <f t="shared" si="27"/>
        <v>58.730000000000004</v>
      </c>
      <c r="G35" s="14">
        <f t="shared" si="28"/>
        <v>64.77</v>
      </c>
      <c r="H35" s="14">
        <f t="shared" si="29"/>
        <v>73.47</v>
      </c>
      <c r="I35" s="16">
        <v>144.80000000000001</v>
      </c>
      <c r="L35" s="33"/>
      <c r="M35" s="34"/>
      <c r="N35" s="34"/>
      <c r="O35" s="34"/>
      <c r="P35" s="35"/>
      <c r="Q35" s="2" t="s">
        <v>61</v>
      </c>
      <c r="R35" s="92"/>
    </row>
    <row r="36" spans="1:18" x14ac:dyDescent="0.3">
      <c r="A36" s="7">
        <v>26</v>
      </c>
      <c r="B36" s="13">
        <v>22.29</v>
      </c>
      <c r="C36" s="18">
        <f t="shared" si="24"/>
        <v>33.200000000000003</v>
      </c>
      <c r="D36" s="14">
        <f t="shared" si="25"/>
        <v>46.64</v>
      </c>
      <c r="E36" s="14">
        <f t="shared" si="26"/>
        <v>55.760000000000005</v>
      </c>
      <c r="F36" s="14">
        <f t="shared" si="27"/>
        <v>58.730000000000004</v>
      </c>
      <c r="G36" s="14">
        <f t="shared" si="28"/>
        <v>64.77</v>
      </c>
      <c r="H36" s="14">
        <f t="shared" si="29"/>
        <v>73.47</v>
      </c>
      <c r="I36" s="16">
        <v>144.80000000000001</v>
      </c>
      <c r="L36" s="33"/>
      <c r="M36" s="34"/>
      <c r="N36" s="34"/>
      <c r="O36" s="34"/>
      <c r="P36" s="35"/>
      <c r="Q36" s="2" t="s">
        <v>115</v>
      </c>
      <c r="R36" s="92"/>
    </row>
    <row r="37" spans="1:18" x14ac:dyDescent="0.3">
      <c r="A37" s="7">
        <v>27</v>
      </c>
      <c r="B37" s="13">
        <v>22.29</v>
      </c>
      <c r="C37" s="18">
        <f t="shared" si="24"/>
        <v>33.200000000000003</v>
      </c>
      <c r="D37" s="14">
        <f t="shared" si="25"/>
        <v>46.64</v>
      </c>
      <c r="E37" s="14">
        <f t="shared" si="26"/>
        <v>55.760000000000005</v>
      </c>
      <c r="F37" s="14">
        <f t="shared" si="27"/>
        <v>58.730000000000004</v>
      </c>
      <c r="G37" s="14">
        <f t="shared" si="28"/>
        <v>64.77</v>
      </c>
      <c r="H37" s="14">
        <f t="shared" si="29"/>
        <v>73.47</v>
      </c>
      <c r="I37" s="16">
        <v>144.80000000000001</v>
      </c>
      <c r="L37" s="33"/>
      <c r="M37" s="34"/>
      <c r="N37" s="34"/>
      <c r="O37" s="34"/>
      <c r="P37" s="35"/>
      <c r="Q37" s="2" t="s">
        <v>116</v>
      </c>
      <c r="R37" s="92"/>
    </row>
    <row r="38" spans="1:18" x14ac:dyDescent="0.3">
      <c r="A38" s="7">
        <v>28</v>
      </c>
      <c r="B38" s="13">
        <v>22.29</v>
      </c>
      <c r="C38" s="18">
        <f t="shared" si="24"/>
        <v>33.200000000000003</v>
      </c>
      <c r="D38" s="14">
        <f t="shared" si="25"/>
        <v>46.64</v>
      </c>
      <c r="E38" s="14">
        <f t="shared" si="26"/>
        <v>55.760000000000005</v>
      </c>
      <c r="F38" s="14">
        <f t="shared" si="27"/>
        <v>58.730000000000004</v>
      </c>
      <c r="G38" s="14">
        <f t="shared" si="28"/>
        <v>64.77</v>
      </c>
      <c r="H38" s="14">
        <f t="shared" si="29"/>
        <v>73.47</v>
      </c>
      <c r="I38" s="16">
        <v>144.80000000000001</v>
      </c>
      <c r="L38" s="36"/>
      <c r="M38" s="37"/>
      <c r="N38" s="37"/>
      <c r="O38" s="37"/>
      <c r="P38" s="38"/>
      <c r="Q38" s="2" t="s">
        <v>117</v>
      </c>
      <c r="R38" s="93"/>
    </row>
    <row r="39" spans="1:18" x14ac:dyDescent="0.3">
      <c r="A39" s="10">
        <v>29</v>
      </c>
      <c r="B39" s="13">
        <v>22.29</v>
      </c>
      <c r="C39" s="18">
        <f t="shared" si="24"/>
        <v>33.200000000000003</v>
      </c>
      <c r="D39" s="14">
        <f t="shared" si="25"/>
        <v>46.64</v>
      </c>
      <c r="E39" s="14">
        <f t="shared" si="26"/>
        <v>55.760000000000005</v>
      </c>
      <c r="F39" s="14">
        <f t="shared" si="27"/>
        <v>58.730000000000004</v>
      </c>
      <c r="G39" s="14">
        <f t="shared" si="28"/>
        <v>64.77</v>
      </c>
      <c r="H39" s="14">
        <f t="shared" si="29"/>
        <v>73.47</v>
      </c>
      <c r="I39" s="17">
        <v>144.80000000000001</v>
      </c>
    </row>
    <row r="40" spans="1:18" x14ac:dyDescent="0.3">
      <c r="A40" s="6">
        <v>30</v>
      </c>
      <c r="B40" s="13">
        <v>25.67</v>
      </c>
      <c r="C40" s="14">
        <f>37.02+2.2</f>
        <v>39.220000000000006</v>
      </c>
      <c r="D40" s="14">
        <f>51.67+2.2</f>
        <v>53.870000000000005</v>
      </c>
      <c r="E40" s="14">
        <f>59.85+2.2+6.5</f>
        <v>68.550000000000011</v>
      </c>
      <c r="F40" s="14">
        <f>68.29+2.2</f>
        <v>70.490000000000009</v>
      </c>
      <c r="G40" s="14">
        <f>76.61+2.2</f>
        <v>78.81</v>
      </c>
      <c r="H40" s="14">
        <f>87.2+2.2</f>
        <v>89.4</v>
      </c>
      <c r="I40" s="15">
        <v>174.03</v>
      </c>
    </row>
    <row r="41" spans="1:18" x14ac:dyDescent="0.3">
      <c r="A41" s="7">
        <v>31</v>
      </c>
      <c r="B41" s="13">
        <v>25.67</v>
      </c>
      <c r="C41" s="14">
        <f t="shared" ref="C41:C49" si="30">37.02+2.2</f>
        <v>39.220000000000006</v>
      </c>
      <c r="D41" s="14">
        <f t="shared" ref="D41:D49" si="31">51.67+2.2</f>
        <v>53.870000000000005</v>
      </c>
      <c r="E41" s="14">
        <f t="shared" ref="E41:E49" si="32">59.85+2.2+6.5</f>
        <v>68.550000000000011</v>
      </c>
      <c r="F41" s="14">
        <f t="shared" ref="F41:F49" si="33">68.29+2.2</f>
        <v>70.490000000000009</v>
      </c>
      <c r="G41" s="14">
        <f t="shared" ref="G41:G49" si="34">76.61+2.2</f>
        <v>78.81</v>
      </c>
      <c r="H41" s="14">
        <f t="shared" ref="H41:H49" si="35">87.2+2.2</f>
        <v>89.4</v>
      </c>
      <c r="I41" s="16">
        <v>174.03</v>
      </c>
    </row>
    <row r="42" spans="1:18" x14ac:dyDescent="0.3">
      <c r="A42" s="7">
        <v>32</v>
      </c>
      <c r="B42" s="13">
        <v>25.67</v>
      </c>
      <c r="C42" s="14">
        <f t="shared" si="30"/>
        <v>39.220000000000006</v>
      </c>
      <c r="D42" s="14">
        <f t="shared" si="31"/>
        <v>53.870000000000005</v>
      </c>
      <c r="E42" s="14">
        <f t="shared" si="32"/>
        <v>68.550000000000011</v>
      </c>
      <c r="F42" s="14">
        <f t="shared" si="33"/>
        <v>70.490000000000009</v>
      </c>
      <c r="G42" s="14">
        <f t="shared" si="34"/>
        <v>78.81</v>
      </c>
      <c r="H42" s="14">
        <f t="shared" si="35"/>
        <v>89.4</v>
      </c>
      <c r="I42" s="16">
        <v>174.03</v>
      </c>
    </row>
    <row r="43" spans="1:18" x14ac:dyDescent="0.3">
      <c r="A43" s="7">
        <v>33</v>
      </c>
      <c r="B43" s="13">
        <v>25.67</v>
      </c>
      <c r="C43" s="14">
        <f t="shared" si="30"/>
        <v>39.220000000000006</v>
      </c>
      <c r="D43" s="14">
        <f t="shared" si="31"/>
        <v>53.870000000000005</v>
      </c>
      <c r="E43" s="14">
        <f t="shared" si="32"/>
        <v>68.550000000000011</v>
      </c>
      <c r="F43" s="14">
        <f t="shared" si="33"/>
        <v>70.490000000000009</v>
      </c>
      <c r="G43" s="14">
        <f t="shared" si="34"/>
        <v>78.81</v>
      </c>
      <c r="H43" s="14">
        <f t="shared" si="35"/>
        <v>89.4</v>
      </c>
      <c r="I43" s="16">
        <v>174.03</v>
      </c>
    </row>
    <row r="44" spans="1:18" x14ac:dyDescent="0.3">
      <c r="A44" s="7">
        <v>34</v>
      </c>
      <c r="B44" s="13">
        <v>25.67</v>
      </c>
      <c r="C44" s="14">
        <f t="shared" si="30"/>
        <v>39.220000000000006</v>
      </c>
      <c r="D44" s="14">
        <f t="shared" si="31"/>
        <v>53.870000000000005</v>
      </c>
      <c r="E44" s="14">
        <f t="shared" si="32"/>
        <v>68.550000000000011</v>
      </c>
      <c r="F44" s="14">
        <f t="shared" si="33"/>
        <v>70.490000000000009</v>
      </c>
      <c r="G44" s="14">
        <f t="shared" si="34"/>
        <v>78.81</v>
      </c>
      <c r="H44" s="14">
        <f t="shared" si="35"/>
        <v>89.4</v>
      </c>
      <c r="I44" s="16">
        <v>174.03</v>
      </c>
    </row>
    <row r="45" spans="1:18" x14ac:dyDescent="0.3">
      <c r="A45" s="7">
        <v>35</v>
      </c>
      <c r="B45" s="13">
        <v>25.67</v>
      </c>
      <c r="C45" s="14">
        <f t="shared" si="30"/>
        <v>39.220000000000006</v>
      </c>
      <c r="D45" s="14">
        <f t="shared" si="31"/>
        <v>53.870000000000005</v>
      </c>
      <c r="E45" s="14">
        <f t="shared" si="32"/>
        <v>68.550000000000011</v>
      </c>
      <c r="F45" s="14">
        <f t="shared" si="33"/>
        <v>70.490000000000009</v>
      </c>
      <c r="G45" s="14">
        <f t="shared" si="34"/>
        <v>78.81</v>
      </c>
      <c r="H45" s="14">
        <f t="shared" si="35"/>
        <v>89.4</v>
      </c>
      <c r="I45" s="16">
        <v>174.03</v>
      </c>
    </row>
    <row r="46" spans="1:18" x14ac:dyDescent="0.3">
      <c r="A46" s="7">
        <v>36</v>
      </c>
      <c r="B46" s="13">
        <v>25.67</v>
      </c>
      <c r="C46" s="14">
        <f t="shared" si="30"/>
        <v>39.220000000000006</v>
      </c>
      <c r="D46" s="14">
        <f t="shared" si="31"/>
        <v>53.870000000000005</v>
      </c>
      <c r="E46" s="14">
        <f t="shared" si="32"/>
        <v>68.550000000000011</v>
      </c>
      <c r="F46" s="14">
        <f t="shared" si="33"/>
        <v>70.490000000000009</v>
      </c>
      <c r="G46" s="14">
        <f t="shared" si="34"/>
        <v>78.81</v>
      </c>
      <c r="H46" s="14">
        <f t="shared" si="35"/>
        <v>89.4</v>
      </c>
      <c r="I46" s="16">
        <v>174.03</v>
      </c>
    </row>
    <row r="47" spans="1:18" x14ac:dyDescent="0.3">
      <c r="A47" s="7">
        <v>37</v>
      </c>
      <c r="B47" s="13">
        <v>25.67</v>
      </c>
      <c r="C47" s="14">
        <f t="shared" si="30"/>
        <v>39.220000000000006</v>
      </c>
      <c r="D47" s="14">
        <f t="shared" si="31"/>
        <v>53.870000000000005</v>
      </c>
      <c r="E47" s="14">
        <f t="shared" si="32"/>
        <v>68.550000000000011</v>
      </c>
      <c r="F47" s="14">
        <f t="shared" si="33"/>
        <v>70.490000000000009</v>
      </c>
      <c r="G47" s="14">
        <f t="shared" si="34"/>
        <v>78.81</v>
      </c>
      <c r="H47" s="14">
        <f t="shared" si="35"/>
        <v>89.4</v>
      </c>
      <c r="I47" s="16">
        <v>174.03</v>
      </c>
    </row>
    <row r="48" spans="1:18" x14ac:dyDescent="0.3">
      <c r="A48" s="7">
        <v>38</v>
      </c>
      <c r="B48" s="13">
        <v>25.67</v>
      </c>
      <c r="C48" s="14">
        <f t="shared" si="30"/>
        <v>39.220000000000006</v>
      </c>
      <c r="D48" s="14">
        <f t="shared" si="31"/>
        <v>53.870000000000005</v>
      </c>
      <c r="E48" s="14">
        <f t="shared" si="32"/>
        <v>68.550000000000011</v>
      </c>
      <c r="F48" s="14">
        <f t="shared" si="33"/>
        <v>70.490000000000009</v>
      </c>
      <c r="G48" s="14">
        <f t="shared" si="34"/>
        <v>78.81</v>
      </c>
      <c r="H48" s="14">
        <f t="shared" si="35"/>
        <v>89.4</v>
      </c>
      <c r="I48" s="16">
        <v>174.03</v>
      </c>
    </row>
    <row r="49" spans="1:9" x14ac:dyDescent="0.3">
      <c r="A49" s="10">
        <v>39</v>
      </c>
      <c r="B49" s="13">
        <v>25.67</v>
      </c>
      <c r="C49" s="14">
        <f t="shared" si="30"/>
        <v>39.220000000000006</v>
      </c>
      <c r="D49" s="14">
        <f t="shared" si="31"/>
        <v>53.870000000000005</v>
      </c>
      <c r="E49" s="14">
        <f t="shared" si="32"/>
        <v>68.550000000000011</v>
      </c>
      <c r="F49" s="14">
        <f t="shared" si="33"/>
        <v>70.490000000000009</v>
      </c>
      <c r="G49" s="14">
        <f t="shared" si="34"/>
        <v>78.81</v>
      </c>
      <c r="H49" s="14">
        <f t="shared" si="35"/>
        <v>89.4</v>
      </c>
      <c r="I49" s="17">
        <v>174.03</v>
      </c>
    </row>
    <row r="50" spans="1:9" x14ac:dyDescent="0.3">
      <c r="A50" s="6">
        <v>40</v>
      </c>
      <c r="B50" s="13">
        <v>25.67</v>
      </c>
      <c r="C50" s="18">
        <f>43.04+2.2</f>
        <v>45.24</v>
      </c>
      <c r="D50" s="18">
        <f>58.91+2.2</f>
        <v>61.11</v>
      </c>
      <c r="E50" s="18">
        <f>69.38+2.2+6.5</f>
        <v>78.08</v>
      </c>
      <c r="F50" s="18">
        <f>80.08+2.2</f>
        <v>82.28</v>
      </c>
      <c r="G50" s="18">
        <f>90.67+2.2</f>
        <v>92.87</v>
      </c>
      <c r="H50" s="18">
        <f>103.15+2.2</f>
        <v>105.35000000000001</v>
      </c>
      <c r="I50" s="19">
        <v>204.37</v>
      </c>
    </row>
    <row r="51" spans="1:9" x14ac:dyDescent="0.3">
      <c r="A51" s="7">
        <v>41</v>
      </c>
      <c r="B51" s="13">
        <v>25.67</v>
      </c>
      <c r="C51" s="18">
        <f t="shared" ref="C51:C59" si="36">43.04+2.2</f>
        <v>45.24</v>
      </c>
      <c r="D51" s="18">
        <f t="shared" ref="D51:D59" si="37">58.91+2.2</f>
        <v>61.11</v>
      </c>
      <c r="E51" s="18">
        <f t="shared" ref="E51:E59" si="38">69.38+2.2+6.5</f>
        <v>78.08</v>
      </c>
      <c r="F51" s="18">
        <f t="shared" ref="F51:F59" si="39">80.08+2.2</f>
        <v>82.28</v>
      </c>
      <c r="G51" s="18">
        <f t="shared" ref="G51:G59" si="40">90.67+2.2</f>
        <v>92.87</v>
      </c>
      <c r="H51" s="18">
        <f t="shared" ref="H51:H59" si="41">103.15+2.2</f>
        <v>105.35000000000001</v>
      </c>
      <c r="I51" s="20">
        <v>204.37</v>
      </c>
    </row>
    <row r="52" spans="1:9" x14ac:dyDescent="0.3">
      <c r="A52" s="7">
        <v>42</v>
      </c>
      <c r="B52" s="13">
        <v>25.67</v>
      </c>
      <c r="C52" s="18">
        <f t="shared" si="36"/>
        <v>45.24</v>
      </c>
      <c r="D52" s="18">
        <f t="shared" si="37"/>
        <v>61.11</v>
      </c>
      <c r="E52" s="18">
        <f t="shared" si="38"/>
        <v>78.08</v>
      </c>
      <c r="F52" s="18">
        <f t="shared" si="39"/>
        <v>82.28</v>
      </c>
      <c r="G52" s="18">
        <f t="shared" si="40"/>
        <v>92.87</v>
      </c>
      <c r="H52" s="18">
        <f t="shared" si="41"/>
        <v>105.35000000000001</v>
      </c>
      <c r="I52" s="20">
        <v>204.37</v>
      </c>
    </row>
    <row r="53" spans="1:9" x14ac:dyDescent="0.3">
      <c r="A53" s="7">
        <v>43</v>
      </c>
      <c r="B53" s="13">
        <v>25.67</v>
      </c>
      <c r="C53" s="18">
        <f t="shared" si="36"/>
        <v>45.24</v>
      </c>
      <c r="D53" s="18">
        <f t="shared" si="37"/>
        <v>61.11</v>
      </c>
      <c r="E53" s="18">
        <f t="shared" si="38"/>
        <v>78.08</v>
      </c>
      <c r="F53" s="18">
        <f t="shared" si="39"/>
        <v>82.28</v>
      </c>
      <c r="G53" s="18">
        <f t="shared" si="40"/>
        <v>92.87</v>
      </c>
      <c r="H53" s="18">
        <f t="shared" si="41"/>
        <v>105.35000000000001</v>
      </c>
      <c r="I53" s="20">
        <v>204.37</v>
      </c>
    </row>
    <row r="54" spans="1:9" x14ac:dyDescent="0.3">
      <c r="A54" s="7">
        <v>44</v>
      </c>
      <c r="B54" s="13">
        <v>25.67</v>
      </c>
      <c r="C54" s="18">
        <f t="shared" si="36"/>
        <v>45.24</v>
      </c>
      <c r="D54" s="18">
        <f t="shared" si="37"/>
        <v>61.11</v>
      </c>
      <c r="E54" s="18">
        <f t="shared" si="38"/>
        <v>78.08</v>
      </c>
      <c r="F54" s="18">
        <f t="shared" si="39"/>
        <v>82.28</v>
      </c>
      <c r="G54" s="18">
        <f t="shared" si="40"/>
        <v>92.87</v>
      </c>
      <c r="H54" s="18">
        <f t="shared" si="41"/>
        <v>105.35000000000001</v>
      </c>
      <c r="I54" s="20">
        <v>204.37</v>
      </c>
    </row>
    <row r="55" spans="1:9" x14ac:dyDescent="0.3">
      <c r="A55" s="7">
        <v>45</v>
      </c>
      <c r="B55" s="13">
        <v>25.67</v>
      </c>
      <c r="C55" s="18">
        <f t="shared" si="36"/>
        <v>45.24</v>
      </c>
      <c r="D55" s="18">
        <f t="shared" si="37"/>
        <v>61.11</v>
      </c>
      <c r="E55" s="18">
        <f t="shared" si="38"/>
        <v>78.08</v>
      </c>
      <c r="F55" s="18">
        <f t="shared" si="39"/>
        <v>82.28</v>
      </c>
      <c r="G55" s="18">
        <f t="shared" si="40"/>
        <v>92.87</v>
      </c>
      <c r="H55" s="18">
        <f t="shared" si="41"/>
        <v>105.35000000000001</v>
      </c>
      <c r="I55" s="20">
        <v>204.37</v>
      </c>
    </row>
    <row r="56" spans="1:9" x14ac:dyDescent="0.3">
      <c r="A56" s="7">
        <v>46</v>
      </c>
      <c r="B56" s="13">
        <v>25.67</v>
      </c>
      <c r="C56" s="18">
        <f t="shared" si="36"/>
        <v>45.24</v>
      </c>
      <c r="D56" s="18">
        <f t="shared" si="37"/>
        <v>61.11</v>
      </c>
      <c r="E56" s="18">
        <f t="shared" si="38"/>
        <v>78.08</v>
      </c>
      <c r="F56" s="18">
        <f t="shared" si="39"/>
        <v>82.28</v>
      </c>
      <c r="G56" s="18">
        <f t="shared" si="40"/>
        <v>92.87</v>
      </c>
      <c r="H56" s="18">
        <f t="shared" si="41"/>
        <v>105.35000000000001</v>
      </c>
      <c r="I56" s="20">
        <v>204.37</v>
      </c>
    </row>
    <row r="57" spans="1:9" x14ac:dyDescent="0.3">
      <c r="A57" s="7">
        <v>47</v>
      </c>
      <c r="B57" s="13">
        <v>25.67</v>
      </c>
      <c r="C57" s="18">
        <f t="shared" si="36"/>
        <v>45.24</v>
      </c>
      <c r="D57" s="18">
        <f t="shared" si="37"/>
        <v>61.11</v>
      </c>
      <c r="E57" s="18">
        <f t="shared" si="38"/>
        <v>78.08</v>
      </c>
      <c r="F57" s="18">
        <f t="shared" si="39"/>
        <v>82.28</v>
      </c>
      <c r="G57" s="18">
        <f t="shared" si="40"/>
        <v>92.87</v>
      </c>
      <c r="H57" s="18">
        <f t="shared" si="41"/>
        <v>105.35000000000001</v>
      </c>
      <c r="I57" s="20">
        <v>204.37</v>
      </c>
    </row>
    <row r="58" spans="1:9" x14ac:dyDescent="0.3">
      <c r="A58" s="7">
        <v>48</v>
      </c>
      <c r="B58" s="13">
        <v>25.67</v>
      </c>
      <c r="C58" s="18">
        <f t="shared" si="36"/>
        <v>45.24</v>
      </c>
      <c r="D58" s="18">
        <f t="shared" si="37"/>
        <v>61.11</v>
      </c>
      <c r="E58" s="18">
        <f t="shared" si="38"/>
        <v>78.08</v>
      </c>
      <c r="F58" s="18">
        <f t="shared" si="39"/>
        <v>82.28</v>
      </c>
      <c r="G58" s="18">
        <f t="shared" si="40"/>
        <v>92.87</v>
      </c>
      <c r="H58" s="18">
        <f t="shared" si="41"/>
        <v>105.35000000000001</v>
      </c>
      <c r="I58" s="20">
        <v>204.37</v>
      </c>
    </row>
    <row r="59" spans="1:9" x14ac:dyDescent="0.3">
      <c r="A59" s="10">
        <v>49</v>
      </c>
      <c r="B59" s="13">
        <v>25.67</v>
      </c>
      <c r="C59" s="18">
        <f t="shared" si="36"/>
        <v>45.24</v>
      </c>
      <c r="D59" s="18">
        <f t="shared" si="37"/>
        <v>61.11</v>
      </c>
      <c r="E59" s="18">
        <f t="shared" si="38"/>
        <v>78.08</v>
      </c>
      <c r="F59" s="18">
        <f t="shared" si="39"/>
        <v>82.28</v>
      </c>
      <c r="G59" s="18">
        <f t="shared" si="40"/>
        <v>92.87</v>
      </c>
      <c r="H59" s="18">
        <f t="shared" si="41"/>
        <v>105.35000000000001</v>
      </c>
      <c r="I59" s="21">
        <v>204.37</v>
      </c>
    </row>
    <row r="60" spans="1:9" x14ac:dyDescent="0.3">
      <c r="A60" s="6">
        <v>50</v>
      </c>
      <c r="B60" s="13">
        <f>26.87 +2.2</f>
        <v>29.07</v>
      </c>
      <c r="C60" s="18">
        <f>49.05+2.2</f>
        <v>51.25</v>
      </c>
      <c r="D60" s="18">
        <f>66.14+2.2</f>
        <v>68.34</v>
      </c>
      <c r="E60" s="18">
        <f>78.9+2.2+6.5</f>
        <v>87.600000000000009</v>
      </c>
      <c r="F60" s="18">
        <f>91.86+2.2</f>
        <v>94.06</v>
      </c>
      <c r="G60" s="18">
        <f>104.72+2.2</f>
        <v>106.92</v>
      </c>
      <c r="H60" s="18">
        <f>119.09+2.2</f>
        <v>121.29</v>
      </c>
      <c r="I60" s="19">
        <v>242.37</v>
      </c>
    </row>
    <row r="61" spans="1:9" x14ac:dyDescent="0.3">
      <c r="A61" s="7">
        <v>51</v>
      </c>
      <c r="B61" s="13">
        <f t="shared" ref="B61:B69" si="42">26.87 +2.2</f>
        <v>29.07</v>
      </c>
      <c r="C61" s="18">
        <f t="shared" ref="C61:C69" si="43">49.05+2.2</f>
        <v>51.25</v>
      </c>
      <c r="D61" s="18">
        <f t="shared" ref="D61:D69" si="44">66.14+2.2</f>
        <v>68.34</v>
      </c>
      <c r="E61" s="18">
        <f t="shared" ref="E61:E69" si="45">78.9+2.2+6.5</f>
        <v>87.600000000000009</v>
      </c>
      <c r="F61" s="18">
        <f t="shared" ref="F61:F69" si="46">91.86+2.2</f>
        <v>94.06</v>
      </c>
      <c r="G61" s="18">
        <f t="shared" ref="G61:G69" si="47">104.72+2.2</f>
        <v>106.92</v>
      </c>
      <c r="H61" s="18">
        <f t="shared" ref="H61:H69" si="48">119.09+2.2</f>
        <v>121.29</v>
      </c>
      <c r="I61" s="20">
        <v>242.37</v>
      </c>
    </row>
    <row r="62" spans="1:9" x14ac:dyDescent="0.3">
      <c r="A62" s="7">
        <v>52</v>
      </c>
      <c r="B62" s="13">
        <f t="shared" si="42"/>
        <v>29.07</v>
      </c>
      <c r="C62" s="18">
        <f t="shared" si="43"/>
        <v>51.25</v>
      </c>
      <c r="D62" s="18">
        <f t="shared" si="44"/>
        <v>68.34</v>
      </c>
      <c r="E62" s="18">
        <f t="shared" si="45"/>
        <v>87.600000000000009</v>
      </c>
      <c r="F62" s="18">
        <f t="shared" si="46"/>
        <v>94.06</v>
      </c>
      <c r="G62" s="18">
        <f t="shared" si="47"/>
        <v>106.92</v>
      </c>
      <c r="H62" s="18">
        <f t="shared" si="48"/>
        <v>121.29</v>
      </c>
      <c r="I62" s="20">
        <v>242.37</v>
      </c>
    </row>
    <row r="63" spans="1:9" x14ac:dyDescent="0.3">
      <c r="A63" s="7">
        <v>53</v>
      </c>
      <c r="B63" s="13">
        <f t="shared" si="42"/>
        <v>29.07</v>
      </c>
      <c r="C63" s="18">
        <f t="shared" si="43"/>
        <v>51.25</v>
      </c>
      <c r="D63" s="18">
        <f t="shared" si="44"/>
        <v>68.34</v>
      </c>
      <c r="E63" s="18">
        <f t="shared" si="45"/>
        <v>87.600000000000009</v>
      </c>
      <c r="F63" s="18">
        <f t="shared" si="46"/>
        <v>94.06</v>
      </c>
      <c r="G63" s="18">
        <f t="shared" si="47"/>
        <v>106.92</v>
      </c>
      <c r="H63" s="18">
        <f t="shared" si="48"/>
        <v>121.29</v>
      </c>
      <c r="I63" s="20">
        <v>242.37</v>
      </c>
    </row>
    <row r="64" spans="1:9" x14ac:dyDescent="0.3">
      <c r="A64" s="7">
        <v>54</v>
      </c>
      <c r="B64" s="13">
        <f t="shared" si="42"/>
        <v>29.07</v>
      </c>
      <c r="C64" s="18">
        <f t="shared" si="43"/>
        <v>51.25</v>
      </c>
      <c r="D64" s="18">
        <f t="shared" si="44"/>
        <v>68.34</v>
      </c>
      <c r="E64" s="18">
        <f t="shared" si="45"/>
        <v>87.600000000000009</v>
      </c>
      <c r="F64" s="18">
        <f t="shared" si="46"/>
        <v>94.06</v>
      </c>
      <c r="G64" s="18">
        <f t="shared" si="47"/>
        <v>106.92</v>
      </c>
      <c r="H64" s="18">
        <f t="shared" si="48"/>
        <v>121.29</v>
      </c>
      <c r="I64" s="20">
        <v>242.37</v>
      </c>
    </row>
    <row r="65" spans="1:9" x14ac:dyDescent="0.3">
      <c r="A65" s="7">
        <v>55</v>
      </c>
      <c r="B65" s="13">
        <f t="shared" si="42"/>
        <v>29.07</v>
      </c>
      <c r="C65" s="18">
        <f t="shared" si="43"/>
        <v>51.25</v>
      </c>
      <c r="D65" s="18">
        <f t="shared" si="44"/>
        <v>68.34</v>
      </c>
      <c r="E65" s="18">
        <f t="shared" si="45"/>
        <v>87.600000000000009</v>
      </c>
      <c r="F65" s="18">
        <f t="shared" si="46"/>
        <v>94.06</v>
      </c>
      <c r="G65" s="18">
        <f t="shared" si="47"/>
        <v>106.92</v>
      </c>
      <c r="H65" s="18">
        <f t="shared" si="48"/>
        <v>121.29</v>
      </c>
      <c r="I65" s="20">
        <v>242.37</v>
      </c>
    </row>
    <row r="66" spans="1:9" x14ac:dyDescent="0.3">
      <c r="A66" s="7">
        <v>56</v>
      </c>
      <c r="B66" s="13">
        <f t="shared" si="42"/>
        <v>29.07</v>
      </c>
      <c r="C66" s="18">
        <f t="shared" si="43"/>
        <v>51.25</v>
      </c>
      <c r="D66" s="18">
        <f t="shared" si="44"/>
        <v>68.34</v>
      </c>
      <c r="E66" s="18">
        <f t="shared" si="45"/>
        <v>87.600000000000009</v>
      </c>
      <c r="F66" s="18">
        <f t="shared" si="46"/>
        <v>94.06</v>
      </c>
      <c r="G66" s="18">
        <f t="shared" si="47"/>
        <v>106.92</v>
      </c>
      <c r="H66" s="18">
        <f t="shared" si="48"/>
        <v>121.29</v>
      </c>
      <c r="I66" s="20">
        <v>242.37</v>
      </c>
    </row>
    <row r="67" spans="1:9" x14ac:dyDescent="0.3">
      <c r="A67" s="7">
        <v>57</v>
      </c>
      <c r="B67" s="13">
        <f t="shared" si="42"/>
        <v>29.07</v>
      </c>
      <c r="C67" s="18">
        <f t="shared" si="43"/>
        <v>51.25</v>
      </c>
      <c r="D67" s="18">
        <f t="shared" si="44"/>
        <v>68.34</v>
      </c>
      <c r="E67" s="18">
        <f t="shared" si="45"/>
        <v>87.600000000000009</v>
      </c>
      <c r="F67" s="18">
        <f t="shared" si="46"/>
        <v>94.06</v>
      </c>
      <c r="G67" s="18">
        <f t="shared" si="47"/>
        <v>106.92</v>
      </c>
      <c r="H67" s="18">
        <f t="shared" si="48"/>
        <v>121.29</v>
      </c>
      <c r="I67" s="20">
        <v>242.37</v>
      </c>
    </row>
    <row r="68" spans="1:9" x14ac:dyDescent="0.3">
      <c r="A68" s="7">
        <v>58</v>
      </c>
      <c r="B68" s="13">
        <f t="shared" si="42"/>
        <v>29.07</v>
      </c>
      <c r="C68" s="18">
        <f t="shared" si="43"/>
        <v>51.25</v>
      </c>
      <c r="D68" s="18">
        <f t="shared" si="44"/>
        <v>68.34</v>
      </c>
      <c r="E68" s="18">
        <f t="shared" si="45"/>
        <v>87.600000000000009</v>
      </c>
      <c r="F68" s="18">
        <f t="shared" si="46"/>
        <v>94.06</v>
      </c>
      <c r="G68" s="18">
        <f t="shared" si="47"/>
        <v>106.92</v>
      </c>
      <c r="H68" s="18">
        <f t="shared" si="48"/>
        <v>121.29</v>
      </c>
      <c r="I68" s="20">
        <v>242.37</v>
      </c>
    </row>
    <row r="69" spans="1:9" x14ac:dyDescent="0.3">
      <c r="A69" s="10">
        <v>59</v>
      </c>
      <c r="B69" s="13">
        <f t="shared" si="42"/>
        <v>29.07</v>
      </c>
      <c r="C69" s="18">
        <f t="shared" si="43"/>
        <v>51.25</v>
      </c>
      <c r="D69" s="18">
        <f t="shared" si="44"/>
        <v>68.34</v>
      </c>
      <c r="E69" s="18">
        <f t="shared" si="45"/>
        <v>87.600000000000009</v>
      </c>
      <c r="F69" s="18">
        <f t="shared" si="46"/>
        <v>94.06</v>
      </c>
      <c r="G69" s="18">
        <f t="shared" si="47"/>
        <v>106.92</v>
      </c>
      <c r="H69" s="18">
        <f t="shared" si="48"/>
        <v>121.29</v>
      </c>
      <c r="I69" s="21">
        <v>242.37</v>
      </c>
    </row>
    <row r="70" spans="1:9" x14ac:dyDescent="0.3">
      <c r="A70" s="6">
        <v>60</v>
      </c>
      <c r="B70" s="13">
        <f>30.25+2.2</f>
        <v>32.450000000000003</v>
      </c>
      <c r="C70" s="18">
        <f>55.09+2.2</f>
        <v>57.290000000000006</v>
      </c>
      <c r="D70" s="18">
        <f>73.39+2.2</f>
        <v>75.59</v>
      </c>
      <c r="E70" s="18">
        <f>88.44+2.2+6.5</f>
        <v>97.14</v>
      </c>
      <c r="F70" s="18">
        <f>103.65+2.2</f>
        <v>105.85000000000001</v>
      </c>
      <c r="G70" s="18">
        <f>118.77+2.2</f>
        <v>120.97</v>
      </c>
      <c r="H70" s="18">
        <f>135.04+2.2</f>
        <v>137.23999999999998</v>
      </c>
      <c r="I70" s="19">
        <v>274.89</v>
      </c>
    </row>
    <row r="71" spans="1:9" x14ac:dyDescent="0.3">
      <c r="A71" s="7">
        <v>61</v>
      </c>
      <c r="B71" s="13">
        <f t="shared" ref="B71:B79" si="49">30.25+2.2</f>
        <v>32.450000000000003</v>
      </c>
      <c r="C71" s="18">
        <f t="shared" ref="C71:C79" si="50">55.09+2.2</f>
        <v>57.290000000000006</v>
      </c>
      <c r="D71" s="18">
        <f t="shared" ref="D71:D79" si="51">73.39+2.2</f>
        <v>75.59</v>
      </c>
      <c r="E71" s="18">
        <f t="shared" ref="E71:E79" si="52">88.44+2.2+6.5</f>
        <v>97.14</v>
      </c>
      <c r="F71" s="18">
        <f t="shared" ref="F71:F79" si="53">103.65+2.2</f>
        <v>105.85000000000001</v>
      </c>
      <c r="G71" s="18">
        <f t="shared" ref="G71:G79" si="54">118.77+2.2</f>
        <v>120.97</v>
      </c>
      <c r="H71" s="18">
        <f t="shared" ref="H71:H79" si="55">135.04+2.2</f>
        <v>137.23999999999998</v>
      </c>
      <c r="I71" s="20">
        <v>274.89</v>
      </c>
    </row>
    <row r="72" spans="1:9" x14ac:dyDescent="0.3">
      <c r="A72" s="7">
        <v>62</v>
      </c>
      <c r="B72" s="13">
        <f t="shared" si="49"/>
        <v>32.450000000000003</v>
      </c>
      <c r="C72" s="18">
        <f t="shared" si="50"/>
        <v>57.290000000000006</v>
      </c>
      <c r="D72" s="18">
        <f t="shared" si="51"/>
        <v>75.59</v>
      </c>
      <c r="E72" s="18">
        <f t="shared" si="52"/>
        <v>97.14</v>
      </c>
      <c r="F72" s="18">
        <f t="shared" si="53"/>
        <v>105.85000000000001</v>
      </c>
      <c r="G72" s="18">
        <f t="shared" si="54"/>
        <v>120.97</v>
      </c>
      <c r="H72" s="18">
        <f t="shared" si="55"/>
        <v>137.23999999999998</v>
      </c>
      <c r="I72" s="20">
        <v>274.89</v>
      </c>
    </row>
    <row r="73" spans="1:9" x14ac:dyDescent="0.3">
      <c r="A73" s="7">
        <v>63</v>
      </c>
      <c r="B73" s="13">
        <f t="shared" si="49"/>
        <v>32.450000000000003</v>
      </c>
      <c r="C73" s="18">
        <f t="shared" si="50"/>
        <v>57.290000000000006</v>
      </c>
      <c r="D73" s="18">
        <f t="shared" si="51"/>
        <v>75.59</v>
      </c>
      <c r="E73" s="18">
        <f t="shared" si="52"/>
        <v>97.14</v>
      </c>
      <c r="F73" s="18">
        <f t="shared" si="53"/>
        <v>105.85000000000001</v>
      </c>
      <c r="G73" s="18">
        <f t="shared" si="54"/>
        <v>120.97</v>
      </c>
      <c r="H73" s="18">
        <f t="shared" si="55"/>
        <v>137.23999999999998</v>
      </c>
      <c r="I73" s="20">
        <v>274.89</v>
      </c>
    </row>
    <row r="74" spans="1:9" x14ac:dyDescent="0.3">
      <c r="A74" s="7">
        <v>64</v>
      </c>
      <c r="B74" s="13">
        <f t="shared" si="49"/>
        <v>32.450000000000003</v>
      </c>
      <c r="C74" s="18">
        <f t="shared" si="50"/>
        <v>57.290000000000006</v>
      </c>
      <c r="D74" s="18">
        <f t="shared" si="51"/>
        <v>75.59</v>
      </c>
      <c r="E74" s="18">
        <f t="shared" si="52"/>
        <v>97.14</v>
      </c>
      <c r="F74" s="18">
        <f t="shared" si="53"/>
        <v>105.85000000000001</v>
      </c>
      <c r="G74" s="18">
        <f t="shared" si="54"/>
        <v>120.97</v>
      </c>
      <c r="H74" s="18">
        <f t="shared" si="55"/>
        <v>137.23999999999998</v>
      </c>
      <c r="I74" s="20">
        <v>274.89</v>
      </c>
    </row>
    <row r="75" spans="1:9" x14ac:dyDescent="0.3">
      <c r="A75" s="7">
        <v>65</v>
      </c>
      <c r="B75" s="13">
        <f t="shared" si="49"/>
        <v>32.450000000000003</v>
      </c>
      <c r="C75" s="18">
        <f t="shared" si="50"/>
        <v>57.290000000000006</v>
      </c>
      <c r="D75" s="18">
        <f t="shared" si="51"/>
        <v>75.59</v>
      </c>
      <c r="E75" s="18">
        <f t="shared" si="52"/>
        <v>97.14</v>
      </c>
      <c r="F75" s="18">
        <f t="shared" si="53"/>
        <v>105.85000000000001</v>
      </c>
      <c r="G75" s="18">
        <f t="shared" si="54"/>
        <v>120.97</v>
      </c>
      <c r="H75" s="18">
        <f t="shared" si="55"/>
        <v>137.23999999999998</v>
      </c>
      <c r="I75" s="20">
        <v>274.89</v>
      </c>
    </row>
    <row r="76" spans="1:9" x14ac:dyDescent="0.3">
      <c r="A76" s="7">
        <v>66</v>
      </c>
      <c r="B76" s="13">
        <f t="shared" si="49"/>
        <v>32.450000000000003</v>
      </c>
      <c r="C76" s="18">
        <f t="shared" si="50"/>
        <v>57.290000000000006</v>
      </c>
      <c r="D76" s="18">
        <f t="shared" si="51"/>
        <v>75.59</v>
      </c>
      <c r="E76" s="18">
        <f t="shared" si="52"/>
        <v>97.14</v>
      </c>
      <c r="F76" s="18">
        <f t="shared" si="53"/>
        <v>105.85000000000001</v>
      </c>
      <c r="G76" s="18">
        <f t="shared" si="54"/>
        <v>120.97</v>
      </c>
      <c r="H76" s="18">
        <f t="shared" si="55"/>
        <v>137.23999999999998</v>
      </c>
      <c r="I76" s="20">
        <v>274.89</v>
      </c>
    </row>
    <row r="77" spans="1:9" x14ac:dyDescent="0.3">
      <c r="A77" s="7">
        <v>67</v>
      </c>
      <c r="B77" s="13">
        <f t="shared" si="49"/>
        <v>32.450000000000003</v>
      </c>
      <c r="C77" s="18">
        <f t="shared" si="50"/>
        <v>57.290000000000006</v>
      </c>
      <c r="D77" s="18">
        <f t="shared" si="51"/>
        <v>75.59</v>
      </c>
      <c r="E77" s="18">
        <f t="shared" si="52"/>
        <v>97.14</v>
      </c>
      <c r="F77" s="18">
        <f t="shared" si="53"/>
        <v>105.85000000000001</v>
      </c>
      <c r="G77" s="18">
        <f t="shared" si="54"/>
        <v>120.97</v>
      </c>
      <c r="H77" s="18">
        <f t="shared" si="55"/>
        <v>137.23999999999998</v>
      </c>
      <c r="I77" s="20">
        <v>274.89</v>
      </c>
    </row>
    <row r="78" spans="1:9" x14ac:dyDescent="0.3">
      <c r="A78" s="7">
        <v>68</v>
      </c>
      <c r="B78" s="13">
        <f t="shared" si="49"/>
        <v>32.450000000000003</v>
      </c>
      <c r="C78" s="18">
        <f t="shared" si="50"/>
        <v>57.290000000000006</v>
      </c>
      <c r="D78" s="18">
        <f t="shared" si="51"/>
        <v>75.59</v>
      </c>
      <c r="E78" s="18">
        <f t="shared" si="52"/>
        <v>97.14</v>
      </c>
      <c r="F78" s="18">
        <f t="shared" si="53"/>
        <v>105.85000000000001</v>
      </c>
      <c r="G78" s="18">
        <f t="shared" si="54"/>
        <v>120.97</v>
      </c>
      <c r="H78" s="18">
        <f t="shared" si="55"/>
        <v>137.23999999999998</v>
      </c>
      <c r="I78" s="20">
        <v>274.89</v>
      </c>
    </row>
    <row r="79" spans="1:9" x14ac:dyDescent="0.3">
      <c r="A79" s="10">
        <v>69</v>
      </c>
      <c r="B79" s="13">
        <f t="shared" si="49"/>
        <v>32.450000000000003</v>
      </c>
      <c r="C79" s="18">
        <f t="shared" si="50"/>
        <v>57.290000000000006</v>
      </c>
      <c r="D79" s="18">
        <f t="shared" si="51"/>
        <v>75.59</v>
      </c>
      <c r="E79" s="18">
        <f t="shared" si="52"/>
        <v>97.14</v>
      </c>
      <c r="F79" s="18">
        <f t="shared" si="53"/>
        <v>105.85000000000001</v>
      </c>
      <c r="G79" s="18">
        <f t="shared" si="54"/>
        <v>120.97</v>
      </c>
      <c r="H79" s="18">
        <f t="shared" si="55"/>
        <v>137.23999999999998</v>
      </c>
      <c r="I79" s="21">
        <v>274.89</v>
      </c>
    </row>
    <row r="80" spans="1:9" x14ac:dyDescent="0.3">
      <c r="A80" s="6">
        <v>70</v>
      </c>
      <c r="B80" s="13">
        <f>33.64+2.2</f>
        <v>35.840000000000003</v>
      </c>
      <c r="C80" s="18">
        <f>61.1+2.2</f>
        <v>63.300000000000004</v>
      </c>
      <c r="D80" s="18">
        <f>80.62+2.2</f>
        <v>82.820000000000007</v>
      </c>
      <c r="E80" s="18">
        <f>97.97+2.2+6.5</f>
        <v>106.67</v>
      </c>
      <c r="F80" s="18">
        <f>115.42+2.2</f>
        <v>117.62</v>
      </c>
      <c r="G80" s="18">
        <f>132.81+2.2</f>
        <v>135.01</v>
      </c>
      <c r="H80" s="18">
        <f>150.98+2.2</f>
        <v>153.17999999999998</v>
      </c>
      <c r="I80" s="19">
        <v>304.13</v>
      </c>
    </row>
    <row r="81" spans="1:9" x14ac:dyDescent="0.3">
      <c r="A81" s="7">
        <v>71</v>
      </c>
      <c r="B81" s="13">
        <f t="shared" ref="B81:B89" si="56">33.64+2.2</f>
        <v>35.840000000000003</v>
      </c>
      <c r="C81" s="18">
        <f t="shared" ref="C81:C89" si="57">61.1+2.2</f>
        <v>63.300000000000004</v>
      </c>
      <c r="D81" s="18">
        <f t="shared" ref="D81:D89" si="58">80.62+2.2</f>
        <v>82.820000000000007</v>
      </c>
      <c r="E81" s="18">
        <f t="shared" ref="E81:E89" si="59">97.97+2.2+6.5</f>
        <v>106.67</v>
      </c>
      <c r="F81" s="18">
        <f t="shared" ref="F81:F89" si="60">115.42+2.2</f>
        <v>117.62</v>
      </c>
      <c r="G81" s="18">
        <f t="shared" ref="G81:G89" si="61">132.81+2.2</f>
        <v>135.01</v>
      </c>
      <c r="H81" s="18">
        <f>150.98+2.2</f>
        <v>153.17999999999998</v>
      </c>
      <c r="I81" s="20">
        <v>304.13</v>
      </c>
    </row>
    <row r="82" spans="1:9" x14ac:dyDescent="0.3">
      <c r="A82" s="7">
        <v>72</v>
      </c>
      <c r="B82" s="13">
        <f t="shared" si="56"/>
        <v>35.840000000000003</v>
      </c>
      <c r="C82" s="18">
        <f t="shared" si="57"/>
        <v>63.300000000000004</v>
      </c>
      <c r="D82" s="18">
        <f t="shared" si="58"/>
        <v>82.820000000000007</v>
      </c>
      <c r="E82" s="18">
        <f t="shared" si="59"/>
        <v>106.67</v>
      </c>
      <c r="F82" s="18">
        <f t="shared" si="60"/>
        <v>117.62</v>
      </c>
      <c r="G82" s="18">
        <f t="shared" si="61"/>
        <v>135.01</v>
      </c>
      <c r="H82" s="18">
        <f t="shared" ref="H82:H89" si="62">150.98+2.2</f>
        <v>153.17999999999998</v>
      </c>
      <c r="I82" s="20">
        <v>304.13</v>
      </c>
    </row>
    <row r="83" spans="1:9" x14ac:dyDescent="0.3">
      <c r="A83" s="7">
        <v>73</v>
      </c>
      <c r="B83" s="13">
        <f t="shared" si="56"/>
        <v>35.840000000000003</v>
      </c>
      <c r="C83" s="18">
        <f t="shared" si="57"/>
        <v>63.300000000000004</v>
      </c>
      <c r="D83" s="18">
        <f t="shared" si="58"/>
        <v>82.820000000000007</v>
      </c>
      <c r="E83" s="18">
        <f t="shared" si="59"/>
        <v>106.67</v>
      </c>
      <c r="F83" s="18">
        <f t="shared" si="60"/>
        <v>117.62</v>
      </c>
      <c r="G83" s="18">
        <f t="shared" si="61"/>
        <v>135.01</v>
      </c>
      <c r="H83" s="18">
        <f t="shared" si="62"/>
        <v>153.17999999999998</v>
      </c>
      <c r="I83" s="20">
        <v>304.13</v>
      </c>
    </row>
    <row r="84" spans="1:9" x14ac:dyDescent="0.3">
      <c r="A84" s="7">
        <v>74</v>
      </c>
      <c r="B84" s="13">
        <f t="shared" si="56"/>
        <v>35.840000000000003</v>
      </c>
      <c r="C84" s="18">
        <f t="shared" si="57"/>
        <v>63.300000000000004</v>
      </c>
      <c r="D84" s="18">
        <f t="shared" si="58"/>
        <v>82.820000000000007</v>
      </c>
      <c r="E84" s="18">
        <f t="shared" si="59"/>
        <v>106.67</v>
      </c>
      <c r="F84" s="18">
        <f t="shared" si="60"/>
        <v>117.62</v>
      </c>
      <c r="G84" s="18">
        <f t="shared" si="61"/>
        <v>135.01</v>
      </c>
      <c r="H84" s="18">
        <f t="shared" si="62"/>
        <v>153.17999999999998</v>
      </c>
      <c r="I84" s="20">
        <v>304.13</v>
      </c>
    </row>
    <row r="85" spans="1:9" x14ac:dyDescent="0.3">
      <c r="A85" s="7">
        <v>75</v>
      </c>
      <c r="B85" s="13">
        <f t="shared" si="56"/>
        <v>35.840000000000003</v>
      </c>
      <c r="C85" s="18">
        <f t="shared" si="57"/>
        <v>63.300000000000004</v>
      </c>
      <c r="D85" s="18">
        <f t="shared" si="58"/>
        <v>82.820000000000007</v>
      </c>
      <c r="E85" s="18">
        <f t="shared" si="59"/>
        <v>106.67</v>
      </c>
      <c r="F85" s="18">
        <f t="shared" si="60"/>
        <v>117.62</v>
      </c>
      <c r="G85" s="18">
        <f t="shared" si="61"/>
        <v>135.01</v>
      </c>
      <c r="H85" s="18">
        <f t="shared" si="62"/>
        <v>153.17999999999998</v>
      </c>
      <c r="I85" s="20">
        <v>304.13</v>
      </c>
    </row>
    <row r="86" spans="1:9" x14ac:dyDescent="0.3">
      <c r="A86" s="7">
        <v>76</v>
      </c>
      <c r="B86" s="13">
        <f t="shared" si="56"/>
        <v>35.840000000000003</v>
      </c>
      <c r="C86" s="18">
        <f t="shared" si="57"/>
        <v>63.300000000000004</v>
      </c>
      <c r="D86" s="18">
        <f t="shared" si="58"/>
        <v>82.820000000000007</v>
      </c>
      <c r="E86" s="18">
        <f t="shared" si="59"/>
        <v>106.67</v>
      </c>
      <c r="F86" s="18">
        <f t="shared" si="60"/>
        <v>117.62</v>
      </c>
      <c r="G86" s="18">
        <f t="shared" si="61"/>
        <v>135.01</v>
      </c>
      <c r="H86" s="18">
        <f t="shared" si="62"/>
        <v>153.17999999999998</v>
      </c>
      <c r="I86" s="20">
        <v>304.13</v>
      </c>
    </row>
    <row r="87" spans="1:9" x14ac:dyDescent="0.3">
      <c r="A87" s="7">
        <v>77</v>
      </c>
      <c r="B87" s="13">
        <f t="shared" si="56"/>
        <v>35.840000000000003</v>
      </c>
      <c r="C87" s="18">
        <f t="shared" si="57"/>
        <v>63.300000000000004</v>
      </c>
      <c r="D87" s="18">
        <f t="shared" si="58"/>
        <v>82.820000000000007</v>
      </c>
      <c r="E87" s="18">
        <f t="shared" si="59"/>
        <v>106.67</v>
      </c>
      <c r="F87" s="18">
        <f t="shared" si="60"/>
        <v>117.62</v>
      </c>
      <c r="G87" s="18">
        <f t="shared" si="61"/>
        <v>135.01</v>
      </c>
      <c r="H87" s="18">
        <f t="shared" si="62"/>
        <v>153.17999999999998</v>
      </c>
      <c r="I87" s="20">
        <v>304.13</v>
      </c>
    </row>
    <row r="88" spans="1:9" x14ac:dyDescent="0.3">
      <c r="A88" s="7">
        <v>78</v>
      </c>
      <c r="B88" s="13">
        <f t="shared" si="56"/>
        <v>35.840000000000003</v>
      </c>
      <c r="C88" s="18">
        <f t="shared" si="57"/>
        <v>63.300000000000004</v>
      </c>
      <c r="D88" s="18">
        <f t="shared" si="58"/>
        <v>82.820000000000007</v>
      </c>
      <c r="E88" s="18">
        <f t="shared" si="59"/>
        <v>106.67</v>
      </c>
      <c r="F88" s="18">
        <f t="shared" si="60"/>
        <v>117.62</v>
      </c>
      <c r="G88" s="18">
        <f t="shared" si="61"/>
        <v>135.01</v>
      </c>
      <c r="H88" s="18">
        <f t="shared" si="62"/>
        <v>153.17999999999998</v>
      </c>
      <c r="I88" s="20">
        <v>304.13</v>
      </c>
    </row>
    <row r="89" spans="1:9" x14ac:dyDescent="0.3">
      <c r="A89" s="10">
        <v>79</v>
      </c>
      <c r="B89" s="13">
        <f t="shared" si="56"/>
        <v>35.840000000000003</v>
      </c>
      <c r="C89" s="18">
        <f t="shared" si="57"/>
        <v>63.300000000000004</v>
      </c>
      <c r="D89" s="18">
        <f t="shared" si="58"/>
        <v>82.820000000000007</v>
      </c>
      <c r="E89" s="18">
        <f t="shared" si="59"/>
        <v>106.67</v>
      </c>
      <c r="F89" s="18">
        <f t="shared" si="60"/>
        <v>117.62</v>
      </c>
      <c r="G89" s="18">
        <f t="shared" si="61"/>
        <v>135.01</v>
      </c>
      <c r="H89" s="18">
        <f t="shared" si="62"/>
        <v>153.17999999999998</v>
      </c>
      <c r="I89" s="21">
        <v>304.13</v>
      </c>
    </row>
    <row r="90" spans="1:9" x14ac:dyDescent="0.3">
      <c r="A90" s="6">
        <v>80</v>
      </c>
      <c r="B90" s="13">
        <f>37.02+2.2</f>
        <v>39.220000000000006</v>
      </c>
      <c r="C90" s="18">
        <f>67.12+2.2</f>
        <v>69.320000000000007</v>
      </c>
      <c r="D90" s="18">
        <f>87.85+2.2</f>
        <v>90.05</v>
      </c>
      <c r="E90" s="18">
        <f>107.51+2.2+6.5</f>
        <v>116.21000000000001</v>
      </c>
      <c r="F90" s="18">
        <f>127.2+2.2</f>
        <v>129.4</v>
      </c>
      <c r="G90" s="18">
        <f>146.86+2.2</f>
        <v>149.06</v>
      </c>
      <c r="H90" s="18">
        <f>166.94+2.2</f>
        <v>169.14</v>
      </c>
      <c r="I90" s="19">
        <v>337.75</v>
      </c>
    </row>
    <row r="91" spans="1:9" x14ac:dyDescent="0.3">
      <c r="A91" s="7">
        <v>81</v>
      </c>
      <c r="B91" s="13">
        <f t="shared" ref="B91:B99" si="63">37.02+2.2</f>
        <v>39.220000000000006</v>
      </c>
      <c r="C91" s="18">
        <f t="shared" ref="C91:C99" si="64">67.12+2.2</f>
        <v>69.320000000000007</v>
      </c>
      <c r="D91" s="18">
        <f t="shared" ref="D91:D99" si="65">87.85+2.2</f>
        <v>90.05</v>
      </c>
      <c r="E91" s="18">
        <f t="shared" ref="E91:E99" si="66">107.51+2.2+6.5</f>
        <v>116.21000000000001</v>
      </c>
      <c r="F91" s="18">
        <f t="shared" ref="F91:F99" si="67">127.2+2.2</f>
        <v>129.4</v>
      </c>
      <c r="G91" s="18">
        <f t="shared" ref="G91:G99" si="68">146.86+2.2</f>
        <v>149.06</v>
      </c>
      <c r="H91" s="18">
        <f t="shared" ref="H91:H99" si="69">166.94+2.2</f>
        <v>169.14</v>
      </c>
      <c r="I91" s="20">
        <v>337.75</v>
      </c>
    </row>
    <row r="92" spans="1:9" x14ac:dyDescent="0.3">
      <c r="A92" s="7">
        <v>82</v>
      </c>
      <c r="B92" s="13">
        <f t="shared" si="63"/>
        <v>39.220000000000006</v>
      </c>
      <c r="C92" s="18">
        <f t="shared" si="64"/>
        <v>69.320000000000007</v>
      </c>
      <c r="D92" s="18">
        <f t="shared" si="65"/>
        <v>90.05</v>
      </c>
      <c r="E92" s="18">
        <f t="shared" si="66"/>
        <v>116.21000000000001</v>
      </c>
      <c r="F92" s="18">
        <f t="shared" si="67"/>
        <v>129.4</v>
      </c>
      <c r="G92" s="18">
        <f t="shared" si="68"/>
        <v>149.06</v>
      </c>
      <c r="H92" s="18">
        <f t="shared" si="69"/>
        <v>169.14</v>
      </c>
      <c r="I92" s="20">
        <v>337.75</v>
      </c>
    </row>
    <row r="93" spans="1:9" x14ac:dyDescent="0.3">
      <c r="A93" s="7">
        <v>83</v>
      </c>
      <c r="B93" s="13">
        <f t="shared" si="63"/>
        <v>39.220000000000006</v>
      </c>
      <c r="C93" s="18">
        <f t="shared" si="64"/>
        <v>69.320000000000007</v>
      </c>
      <c r="D93" s="18">
        <f t="shared" si="65"/>
        <v>90.05</v>
      </c>
      <c r="E93" s="18">
        <f t="shared" si="66"/>
        <v>116.21000000000001</v>
      </c>
      <c r="F93" s="18">
        <f t="shared" si="67"/>
        <v>129.4</v>
      </c>
      <c r="G93" s="18">
        <f t="shared" si="68"/>
        <v>149.06</v>
      </c>
      <c r="H93" s="18">
        <f t="shared" si="69"/>
        <v>169.14</v>
      </c>
      <c r="I93" s="20">
        <v>337.75</v>
      </c>
    </row>
    <row r="94" spans="1:9" x14ac:dyDescent="0.3">
      <c r="A94" s="7">
        <v>84</v>
      </c>
      <c r="B94" s="13">
        <f t="shared" si="63"/>
        <v>39.220000000000006</v>
      </c>
      <c r="C94" s="18">
        <f t="shared" si="64"/>
        <v>69.320000000000007</v>
      </c>
      <c r="D94" s="18">
        <f t="shared" si="65"/>
        <v>90.05</v>
      </c>
      <c r="E94" s="18">
        <f t="shared" si="66"/>
        <v>116.21000000000001</v>
      </c>
      <c r="F94" s="18">
        <f t="shared" si="67"/>
        <v>129.4</v>
      </c>
      <c r="G94" s="18">
        <f t="shared" si="68"/>
        <v>149.06</v>
      </c>
      <c r="H94" s="18">
        <f t="shared" si="69"/>
        <v>169.14</v>
      </c>
      <c r="I94" s="20">
        <v>337.75</v>
      </c>
    </row>
    <row r="95" spans="1:9" x14ac:dyDescent="0.3">
      <c r="A95" s="7">
        <v>85</v>
      </c>
      <c r="B95" s="13">
        <f t="shared" si="63"/>
        <v>39.220000000000006</v>
      </c>
      <c r="C95" s="18">
        <f t="shared" si="64"/>
        <v>69.320000000000007</v>
      </c>
      <c r="D95" s="18">
        <f t="shared" si="65"/>
        <v>90.05</v>
      </c>
      <c r="E95" s="18">
        <f t="shared" si="66"/>
        <v>116.21000000000001</v>
      </c>
      <c r="F95" s="18">
        <f t="shared" si="67"/>
        <v>129.4</v>
      </c>
      <c r="G95" s="18">
        <f t="shared" si="68"/>
        <v>149.06</v>
      </c>
      <c r="H95" s="18">
        <f t="shared" si="69"/>
        <v>169.14</v>
      </c>
      <c r="I95" s="20">
        <v>337.75</v>
      </c>
    </row>
    <row r="96" spans="1:9" x14ac:dyDescent="0.3">
      <c r="A96" s="7">
        <v>86</v>
      </c>
      <c r="B96" s="13">
        <f t="shared" si="63"/>
        <v>39.220000000000006</v>
      </c>
      <c r="C96" s="18">
        <f t="shared" si="64"/>
        <v>69.320000000000007</v>
      </c>
      <c r="D96" s="18">
        <f t="shared" si="65"/>
        <v>90.05</v>
      </c>
      <c r="E96" s="18">
        <f t="shared" si="66"/>
        <v>116.21000000000001</v>
      </c>
      <c r="F96" s="18">
        <f t="shared" si="67"/>
        <v>129.4</v>
      </c>
      <c r="G96" s="18">
        <f t="shared" si="68"/>
        <v>149.06</v>
      </c>
      <c r="H96" s="18">
        <f t="shared" si="69"/>
        <v>169.14</v>
      </c>
      <c r="I96" s="20">
        <v>337.75</v>
      </c>
    </row>
    <row r="97" spans="1:9" x14ac:dyDescent="0.3">
      <c r="A97" s="7">
        <v>87</v>
      </c>
      <c r="B97" s="13">
        <f t="shared" si="63"/>
        <v>39.220000000000006</v>
      </c>
      <c r="C97" s="18">
        <f t="shared" si="64"/>
        <v>69.320000000000007</v>
      </c>
      <c r="D97" s="18">
        <f t="shared" si="65"/>
        <v>90.05</v>
      </c>
      <c r="E97" s="18">
        <f t="shared" si="66"/>
        <v>116.21000000000001</v>
      </c>
      <c r="F97" s="18">
        <f t="shared" si="67"/>
        <v>129.4</v>
      </c>
      <c r="G97" s="18">
        <f t="shared" si="68"/>
        <v>149.06</v>
      </c>
      <c r="H97" s="18">
        <f t="shared" si="69"/>
        <v>169.14</v>
      </c>
      <c r="I97" s="20">
        <v>337.75</v>
      </c>
    </row>
    <row r="98" spans="1:9" x14ac:dyDescent="0.3">
      <c r="A98" s="7">
        <v>88</v>
      </c>
      <c r="B98" s="13">
        <f t="shared" si="63"/>
        <v>39.220000000000006</v>
      </c>
      <c r="C98" s="18">
        <f t="shared" si="64"/>
        <v>69.320000000000007</v>
      </c>
      <c r="D98" s="18">
        <f t="shared" si="65"/>
        <v>90.05</v>
      </c>
      <c r="E98" s="18">
        <f t="shared" si="66"/>
        <v>116.21000000000001</v>
      </c>
      <c r="F98" s="18">
        <f t="shared" si="67"/>
        <v>129.4</v>
      </c>
      <c r="G98" s="18">
        <f t="shared" si="68"/>
        <v>149.06</v>
      </c>
      <c r="H98" s="18">
        <f t="shared" si="69"/>
        <v>169.14</v>
      </c>
      <c r="I98" s="20">
        <v>337.75</v>
      </c>
    </row>
    <row r="99" spans="1:9" x14ac:dyDescent="0.3">
      <c r="A99" s="10">
        <v>89</v>
      </c>
      <c r="B99" s="13">
        <f t="shared" si="63"/>
        <v>39.220000000000006</v>
      </c>
      <c r="C99" s="18">
        <f t="shared" si="64"/>
        <v>69.320000000000007</v>
      </c>
      <c r="D99" s="18">
        <f t="shared" si="65"/>
        <v>90.05</v>
      </c>
      <c r="E99" s="18">
        <f t="shared" si="66"/>
        <v>116.21000000000001</v>
      </c>
      <c r="F99" s="18">
        <f t="shared" si="67"/>
        <v>129.4</v>
      </c>
      <c r="G99" s="18">
        <f t="shared" si="68"/>
        <v>149.06</v>
      </c>
      <c r="H99" s="18">
        <f t="shared" si="69"/>
        <v>169.14</v>
      </c>
      <c r="I99" s="21">
        <v>337.75</v>
      </c>
    </row>
    <row r="100" spans="1:9" x14ac:dyDescent="0.3">
      <c r="A100" s="6">
        <v>90</v>
      </c>
      <c r="B100" s="13">
        <f>40.42+2.2</f>
        <v>42.620000000000005</v>
      </c>
      <c r="C100" s="18">
        <f>73.13+2.2</f>
        <v>75.33</v>
      </c>
      <c r="D100" s="18">
        <f>95.09+2.2</f>
        <v>97.29</v>
      </c>
      <c r="E100" s="18">
        <f>117.03+2.2+6.5</f>
        <v>125.73</v>
      </c>
      <c r="F100" s="18">
        <f>138.97+2.2</f>
        <v>141.16999999999999</v>
      </c>
      <c r="G100" s="18">
        <f>160.93+2.2</f>
        <v>163.13</v>
      </c>
      <c r="H100" s="18">
        <f>182.87+2.2</f>
        <v>185.07</v>
      </c>
      <c r="I100" s="19">
        <v>368.06</v>
      </c>
    </row>
    <row r="101" spans="1:9" x14ac:dyDescent="0.3">
      <c r="A101" s="7">
        <v>91</v>
      </c>
      <c r="B101" s="13">
        <f t="shared" ref="B101:B110" si="70">40.42+2.2</f>
        <v>42.620000000000005</v>
      </c>
      <c r="C101" s="18">
        <f t="shared" ref="C101:C110" si="71">73.13+2.2</f>
        <v>75.33</v>
      </c>
      <c r="D101" s="18">
        <f t="shared" ref="D101:D110" si="72">95.09+2.2</f>
        <v>97.29</v>
      </c>
      <c r="E101" s="18">
        <f t="shared" ref="E101:E110" si="73">117.03+2.2+6.5</f>
        <v>125.73</v>
      </c>
      <c r="F101" s="18">
        <f t="shared" ref="F101:F110" si="74">138.97+2.2</f>
        <v>141.16999999999999</v>
      </c>
      <c r="G101" s="18">
        <f t="shared" ref="G101:G110" si="75">160.93+2.2</f>
        <v>163.13</v>
      </c>
      <c r="H101" s="18">
        <f t="shared" ref="H101:H110" si="76">182.87+2.2</f>
        <v>185.07</v>
      </c>
      <c r="I101" s="20">
        <v>368.06</v>
      </c>
    </row>
    <row r="102" spans="1:9" x14ac:dyDescent="0.3">
      <c r="A102" s="7">
        <v>92</v>
      </c>
      <c r="B102" s="13">
        <f t="shared" si="70"/>
        <v>42.620000000000005</v>
      </c>
      <c r="C102" s="18">
        <f t="shared" si="71"/>
        <v>75.33</v>
      </c>
      <c r="D102" s="18">
        <f t="shared" si="72"/>
        <v>97.29</v>
      </c>
      <c r="E102" s="18">
        <f t="shared" si="73"/>
        <v>125.73</v>
      </c>
      <c r="F102" s="18">
        <f t="shared" si="74"/>
        <v>141.16999999999999</v>
      </c>
      <c r="G102" s="18">
        <f t="shared" si="75"/>
        <v>163.13</v>
      </c>
      <c r="H102" s="18">
        <f t="shared" si="76"/>
        <v>185.07</v>
      </c>
      <c r="I102" s="20">
        <v>368.06</v>
      </c>
    </row>
    <row r="103" spans="1:9" x14ac:dyDescent="0.3">
      <c r="A103" s="7">
        <v>93</v>
      </c>
      <c r="B103" s="13">
        <f t="shared" si="70"/>
        <v>42.620000000000005</v>
      </c>
      <c r="C103" s="18">
        <f t="shared" si="71"/>
        <v>75.33</v>
      </c>
      <c r="D103" s="18">
        <f t="shared" si="72"/>
        <v>97.29</v>
      </c>
      <c r="E103" s="18">
        <f t="shared" si="73"/>
        <v>125.73</v>
      </c>
      <c r="F103" s="18">
        <f t="shared" si="74"/>
        <v>141.16999999999999</v>
      </c>
      <c r="G103" s="18">
        <f t="shared" si="75"/>
        <v>163.13</v>
      </c>
      <c r="H103" s="18">
        <f t="shared" si="76"/>
        <v>185.07</v>
      </c>
      <c r="I103" s="20">
        <v>368.06</v>
      </c>
    </row>
    <row r="104" spans="1:9" x14ac:dyDescent="0.3">
      <c r="A104" s="7">
        <v>94</v>
      </c>
      <c r="B104" s="13">
        <f t="shared" si="70"/>
        <v>42.620000000000005</v>
      </c>
      <c r="C104" s="18">
        <f t="shared" si="71"/>
        <v>75.33</v>
      </c>
      <c r="D104" s="18">
        <f t="shared" si="72"/>
        <v>97.29</v>
      </c>
      <c r="E104" s="18">
        <f t="shared" si="73"/>
        <v>125.73</v>
      </c>
      <c r="F104" s="18">
        <f t="shared" si="74"/>
        <v>141.16999999999999</v>
      </c>
      <c r="G104" s="18">
        <f t="shared" si="75"/>
        <v>163.13</v>
      </c>
      <c r="H104" s="18">
        <f t="shared" si="76"/>
        <v>185.07</v>
      </c>
      <c r="I104" s="20">
        <v>368.06</v>
      </c>
    </row>
    <row r="105" spans="1:9" x14ac:dyDescent="0.3">
      <c r="A105" s="7">
        <v>95</v>
      </c>
      <c r="B105" s="13">
        <f t="shared" si="70"/>
        <v>42.620000000000005</v>
      </c>
      <c r="C105" s="18">
        <f t="shared" si="71"/>
        <v>75.33</v>
      </c>
      <c r="D105" s="18">
        <f t="shared" si="72"/>
        <v>97.29</v>
      </c>
      <c r="E105" s="18">
        <f t="shared" si="73"/>
        <v>125.73</v>
      </c>
      <c r="F105" s="18">
        <f t="shared" si="74"/>
        <v>141.16999999999999</v>
      </c>
      <c r="G105" s="18">
        <f t="shared" si="75"/>
        <v>163.13</v>
      </c>
      <c r="H105" s="18">
        <f t="shared" si="76"/>
        <v>185.07</v>
      </c>
      <c r="I105" s="20">
        <v>368.06</v>
      </c>
    </row>
    <row r="106" spans="1:9" x14ac:dyDescent="0.3">
      <c r="A106" s="7">
        <v>96</v>
      </c>
      <c r="B106" s="13">
        <f t="shared" si="70"/>
        <v>42.620000000000005</v>
      </c>
      <c r="C106" s="18">
        <f t="shared" si="71"/>
        <v>75.33</v>
      </c>
      <c r="D106" s="18">
        <f t="shared" si="72"/>
        <v>97.29</v>
      </c>
      <c r="E106" s="18">
        <f t="shared" si="73"/>
        <v>125.73</v>
      </c>
      <c r="F106" s="18">
        <f t="shared" si="74"/>
        <v>141.16999999999999</v>
      </c>
      <c r="G106" s="18">
        <f t="shared" si="75"/>
        <v>163.13</v>
      </c>
      <c r="H106" s="18">
        <f t="shared" si="76"/>
        <v>185.07</v>
      </c>
      <c r="I106" s="20">
        <v>368.06</v>
      </c>
    </row>
    <row r="107" spans="1:9" x14ac:dyDescent="0.3">
      <c r="A107" s="7">
        <v>97</v>
      </c>
      <c r="B107" s="13">
        <f t="shared" si="70"/>
        <v>42.620000000000005</v>
      </c>
      <c r="C107" s="18">
        <f t="shared" si="71"/>
        <v>75.33</v>
      </c>
      <c r="D107" s="18">
        <f t="shared" si="72"/>
        <v>97.29</v>
      </c>
      <c r="E107" s="18">
        <f t="shared" si="73"/>
        <v>125.73</v>
      </c>
      <c r="F107" s="18">
        <f t="shared" si="74"/>
        <v>141.16999999999999</v>
      </c>
      <c r="G107" s="18">
        <f t="shared" si="75"/>
        <v>163.13</v>
      </c>
      <c r="H107" s="18">
        <f t="shared" si="76"/>
        <v>185.07</v>
      </c>
      <c r="I107" s="20">
        <v>368.06</v>
      </c>
    </row>
    <row r="108" spans="1:9" x14ac:dyDescent="0.3">
      <c r="A108" s="7">
        <v>98</v>
      </c>
      <c r="B108" s="13">
        <f t="shared" si="70"/>
        <v>42.620000000000005</v>
      </c>
      <c r="C108" s="18">
        <f t="shared" si="71"/>
        <v>75.33</v>
      </c>
      <c r="D108" s="18">
        <f t="shared" si="72"/>
        <v>97.29</v>
      </c>
      <c r="E108" s="18">
        <f t="shared" si="73"/>
        <v>125.73</v>
      </c>
      <c r="F108" s="18">
        <f t="shared" si="74"/>
        <v>141.16999999999999</v>
      </c>
      <c r="G108" s="18">
        <f t="shared" si="75"/>
        <v>163.13</v>
      </c>
      <c r="H108" s="18">
        <f t="shared" si="76"/>
        <v>185.07</v>
      </c>
      <c r="I108" s="20">
        <v>368.06</v>
      </c>
    </row>
    <row r="109" spans="1:9" x14ac:dyDescent="0.3">
      <c r="A109" s="7">
        <v>99</v>
      </c>
      <c r="B109" s="13">
        <f t="shared" si="70"/>
        <v>42.620000000000005</v>
      </c>
      <c r="C109" s="18">
        <f t="shared" si="71"/>
        <v>75.33</v>
      </c>
      <c r="D109" s="18">
        <f t="shared" si="72"/>
        <v>97.29</v>
      </c>
      <c r="E109" s="18">
        <f t="shared" si="73"/>
        <v>125.73</v>
      </c>
      <c r="F109" s="18">
        <f t="shared" si="74"/>
        <v>141.16999999999999</v>
      </c>
      <c r="G109" s="18">
        <f t="shared" si="75"/>
        <v>163.13</v>
      </c>
      <c r="H109" s="18">
        <f t="shared" si="76"/>
        <v>185.07</v>
      </c>
      <c r="I109" s="20">
        <v>368.06</v>
      </c>
    </row>
    <row r="110" spans="1:9" x14ac:dyDescent="0.3">
      <c r="A110" s="10">
        <v>100</v>
      </c>
      <c r="B110" s="13">
        <f t="shared" si="70"/>
        <v>42.620000000000005</v>
      </c>
      <c r="C110" s="18">
        <f t="shared" si="71"/>
        <v>75.33</v>
      </c>
      <c r="D110" s="18">
        <f t="shared" si="72"/>
        <v>97.29</v>
      </c>
      <c r="E110" s="18">
        <f t="shared" si="73"/>
        <v>125.73</v>
      </c>
      <c r="F110" s="18">
        <f t="shared" si="74"/>
        <v>141.16999999999999</v>
      </c>
      <c r="G110" s="18">
        <f t="shared" si="75"/>
        <v>163.13</v>
      </c>
      <c r="H110" s="18">
        <f t="shared" si="76"/>
        <v>185.07</v>
      </c>
      <c r="I110" s="21">
        <v>368.06</v>
      </c>
    </row>
  </sheetData>
  <sortState xmlns:xlrd2="http://schemas.microsoft.com/office/spreadsheetml/2017/richdata2" ref="R12:R32">
    <sortCondition ref="R12:R32"/>
  </sortState>
  <mergeCells count="3">
    <mergeCell ref="L12:L18"/>
    <mergeCell ref="L19:M21"/>
    <mergeCell ref="R33:R38"/>
  </mergeCells>
  <pageMargins left="0.25" right="0.25" top="0.75" bottom="0.75" header="0.3" footer="0.3"/>
  <pageSetup paperSize="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6920B7-CB63-4627-86EA-69ED78C417F2}">
  <dimension ref="A1:Y110"/>
  <sheetViews>
    <sheetView zoomScaleNormal="100" workbookViewId="0">
      <selection activeCell="I18" sqref="I18"/>
    </sheetView>
  </sheetViews>
  <sheetFormatPr baseColWidth="10" defaultRowHeight="14.4" x14ac:dyDescent="0.3"/>
  <cols>
    <col min="2" max="2" width="12.5546875" customWidth="1"/>
    <col min="3" max="3" width="14.88671875" customWidth="1"/>
    <col min="4" max="4" width="14.44140625" customWidth="1"/>
    <col min="15" max="15" width="24.109375" customWidth="1"/>
    <col min="16" max="16" width="29.44140625" customWidth="1"/>
    <col min="17" max="17" width="23.109375" customWidth="1"/>
    <col min="18" max="18" width="24.5546875" customWidth="1"/>
    <col min="19" max="19" width="22.5546875" customWidth="1"/>
    <col min="20" max="20" width="23.88671875" customWidth="1"/>
    <col min="21" max="21" width="22.6640625" customWidth="1"/>
    <col min="22" max="22" width="25.44140625" customWidth="1"/>
    <col min="23" max="23" width="26.6640625" customWidth="1"/>
    <col min="24" max="24" width="22.109375" customWidth="1"/>
    <col min="25" max="25" width="21.109375" customWidth="1"/>
  </cols>
  <sheetData>
    <row r="1" spans="1:25" ht="15" thickBot="1" x14ac:dyDescent="0.35"/>
    <row r="2" spans="1:25" ht="15" thickBot="1" x14ac:dyDescent="0.35">
      <c r="A2" s="73" t="s">
        <v>502</v>
      </c>
      <c r="B2" s="74" t="s">
        <v>503</v>
      </c>
      <c r="C2" s="96" t="s">
        <v>504</v>
      </c>
      <c r="D2" s="97"/>
    </row>
    <row r="3" spans="1:25" ht="15" thickBot="1" x14ac:dyDescent="0.35">
      <c r="A3" s="71" t="s">
        <v>505</v>
      </c>
      <c r="B3" s="72" t="s">
        <v>506</v>
      </c>
      <c r="C3" s="72" t="s">
        <v>507</v>
      </c>
      <c r="D3" s="75" t="s">
        <v>508</v>
      </c>
    </row>
    <row r="10" spans="1:25" x14ac:dyDescent="0.3">
      <c r="A10" s="65" t="s">
        <v>63</v>
      </c>
      <c r="B10" s="65" t="s">
        <v>123</v>
      </c>
      <c r="C10" s="76" t="s">
        <v>122</v>
      </c>
      <c r="D10" s="76" t="s">
        <v>124</v>
      </c>
      <c r="E10" s="76" t="s">
        <v>125</v>
      </c>
      <c r="F10" s="76" t="s">
        <v>126</v>
      </c>
      <c r="G10" s="76" t="s">
        <v>127</v>
      </c>
      <c r="H10" s="76" t="s">
        <v>128</v>
      </c>
      <c r="I10" s="77" t="s">
        <v>498</v>
      </c>
      <c r="J10" s="77" t="s">
        <v>499</v>
      </c>
      <c r="K10" s="77" t="s">
        <v>500</v>
      </c>
      <c r="L10" s="77" t="s">
        <v>501</v>
      </c>
      <c r="O10" s="2" t="s">
        <v>5</v>
      </c>
      <c r="P10" s="2" t="s">
        <v>6</v>
      </c>
      <c r="Q10" s="2" t="s">
        <v>7</v>
      </c>
      <c r="R10" s="2" t="s">
        <v>8</v>
      </c>
      <c r="S10" s="2" t="s">
        <v>9</v>
      </c>
      <c r="T10" s="2" t="s">
        <v>65</v>
      </c>
      <c r="U10" s="2" t="s">
        <v>66</v>
      </c>
      <c r="V10" s="50" t="s">
        <v>498</v>
      </c>
      <c r="W10" s="50" t="s">
        <v>499</v>
      </c>
      <c r="X10" s="50" t="s">
        <v>500</v>
      </c>
      <c r="Y10" s="50" t="s">
        <v>501</v>
      </c>
    </row>
    <row r="11" spans="1:25" x14ac:dyDescent="0.3">
      <c r="A11" s="65">
        <v>1</v>
      </c>
      <c r="B11" s="78">
        <f>9.94*1.15+1.2</f>
        <v>12.630999999999998</v>
      </c>
      <c r="C11" s="78">
        <f>16.63*1.15+1.2</f>
        <v>20.324499999999997</v>
      </c>
      <c r="D11" s="78">
        <f>18.29*1.15+1.2</f>
        <v>22.233499999999996</v>
      </c>
      <c r="E11" s="78">
        <f>19.55*1.15+1.2</f>
        <v>23.682499999999997</v>
      </c>
      <c r="F11" s="78">
        <f>20.82*1.15+1.2</f>
        <v>25.142999999999997</v>
      </c>
      <c r="G11" s="78">
        <f>22.09*1.15+1.2</f>
        <v>26.603499999999997</v>
      </c>
      <c r="H11" s="78">
        <f>23.06*1.15+1.2</f>
        <v>27.718999999999994</v>
      </c>
      <c r="I11" s="78">
        <f>23.22*1.15+1.2</f>
        <v>27.902999999999995</v>
      </c>
      <c r="J11" s="78">
        <f>23.35*1.15+1.2</f>
        <v>28.052499999999998</v>
      </c>
      <c r="K11" s="78">
        <f>23.5*1.15+1.2</f>
        <v>28.224999999999998</v>
      </c>
      <c r="L11" s="78">
        <f>23.65*1.15+1.2</f>
        <v>28.397499999999997</v>
      </c>
      <c r="O11" s="2" t="s">
        <v>10</v>
      </c>
      <c r="P11" s="2" t="s">
        <v>67</v>
      </c>
      <c r="Q11" s="2" t="s">
        <v>68</v>
      </c>
      <c r="R11" s="2" t="s">
        <v>69</v>
      </c>
      <c r="S11" s="2" t="s">
        <v>22</v>
      </c>
      <c r="T11" s="2" t="s">
        <v>18</v>
      </c>
      <c r="U11" s="2" t="s">
        <v>14</v>
      </c>
      <c r="V11" s="2" t="s">
        <v>34</v>
      </c>
      <c r="W11" s="2" t="s">
        <v>54</v>
      </c>
      <c r="X11" s="2" t="s">
        <v>26</v>
      </c>
      <c r="Y11" s="2" t="s">
        <v>30</v>
      </c>
    </row>
    <row r="12" spans="1:25" x14ac:dyDescent="0.3">
      <c r="A12" s="66">
        <v>2</v>
      </c>
      <c r="B12" s="79">
        <f t="shared" ref="B12:B14" si="0">9.94*1.15+1.2</f>
        <v>12.630999999999998</v>
      </c>
      <c r="C12" s="79">
        <f t="shared" ref="C12:C14" si="1">16.63*1.15+1.2</f>
        <v>20.324499999999997</v>
      </c>
      <c r="D12" s="79">
        <f t="shared" ref="D12:D14" si="2">18.29*1.15+1.2</f>
        <v>22.233499999999996</v>
      </c>
      <c r="E12" s="79">
        <f t="shared" ref="E12:E14" si="3">19.55*1.15+1.2</f>
        <v>23.682499999999997</v>
      </c>
      <c r="F12" s="79">
        <f t="shared" ref="F12:F14" si="4">20.82*1.15+1.2</f>
        <v>25.142999999999997</v>
      </c>
      <c r="G12" s="79">
        <f t="shared" ref="G12:G14" si="5">22.09*1.15+1.2</f>
        <v>26.603499999999997</v>
      </c>
      <c r="H12" s="79">
        <f t="shared" ref="H12:H14" si="6">23.06*1.15+1.2</f>
        <v>27.718999999999994</v>
      </c>
      <c r="I12" s="79">
        <f t="shared" ref="I12:I14" si="7">23.22*1.15+1.2</f>
        <v>27.902999999999995</v>
      </c>
      <c r="J12" s="79">
        <f t="shared" ref="J12:J14" si="8">23.35*1.15+1.2</f>
        <v>28.052499999999998</v>
      </c>
      <c r="K12" s="79">
        <f t="shared" ref="K12:K14" si="9">23.5*1.15+1.2</f>
        <v>28.224999999999998</v>
      </c>
      <c r="L12" s="79">
        <f t="shared" ref="L12:L14" si="10">23.65*1.15+1.2</f>
        <v>28.397499999999997</v>
      </c>
      <c r="O12" s="91"/>
      <c r="P12" s="2" t="s">
        <v>70</v>
      </c>
      <c r="Q12" s="2" t="s">
        <v>71</v>
      </c>
      <c r="R12" s="2" t="s">
        <v>47</v>
      </c>
      <c r="S12" s="2" t="s">
        <v>41</v>
      </c>
      <c r="T12" s="2" t="s">
        <v>46</v>
      </c>
      <c r="U12" s="2" t="s">
        <v>37</v>
      </c>
      <c r="V12" s="2" t="s">
        <v>39</v>
      </c>
      <c r="W12" s="2" t="s">
        <v>91</v>
      </c>
      <c r="X12" s="2" t="s">
        <v>45</v>
      </c>
    </row>
    <row r="13" spans="1:25" x14ac:dyDescent="0.3">
      <c r="A13" s="66">
        <v>3</v>
      </c>
      <c r="B13" s="79">
        <f t="shared" si="0"/>
        <v>12.630999999999998</v>
      </c>
      <c r="C13" s="79">
        <f t="shared" si="1"/>
        <v>20.324499999999997</v>
      </c>
      <c r="D13" s="79">
        <f t="shared" si="2"/>
        <v>22.233499999999996</v>
      </c>
      <c r="E13" s="79">
        <f t="shared" si="3"/>
        <v>23.682499999999997</v>
      </c>
      <c r="F13" s="79">
        <f t="shared" si="4"/>
        <v>25.142999999999997</v>
      </c>
      <c r="G13" s="79">
        <f t="shared" si="5"/>
        <v>26.603499999999997</v>
      </c>
      <c r="H13" s="79">
        <f t="shared" si="6"/>
        <v>27.718999999999994</v>
      </c>
      <c r="I13" s="79">
        <f t="shared" si="7"/>
        <v>27.902999999999995</v>
      </c>
      <c r="J13" s="79">
        <f t="shared" si="8"/>
        <v>28.052499999999998</v>
      </c>
      <c r="K13" s="79">
        <f t="shared" si="9"/>
        <v>28.224999999999998</v>
      </c>
      <c r="L13" s="79">
        <f t="shared" si="10"/>
        <v>28.397499999999997</v>
      </c>
      <c r="O13" s="92"/>
      <c r="P13" s="2" t="s">
        <v>73</v>
      </c>
      <c r="Q13" s="69" t="s">
        <v>74</v>
      </c>
      <c r="R13" s="2" t="s">
        <v>50</v>
      </c>
      <c r="S13" s="70" t="s">
        <v>48</v>
      </c>
      <c r="T13" s="2" t="s">
        <v>49</v>
      </c>
      <c r="U13" s="2" t="s">
        <v>43</v>
      </c>
      <c r="V13" s="2" t="s">
        <v>42</v>
      </c>
      <c r="W13" s="2" t="s">
        <v>72</v>
      </c>
      <c r="X13" s="2" t="s">
        <v>106</v>
      </c>
    </row>
    <row r="14" spans="1:25" x14ac:dyDescent="0.3">
      <c r="A14" s="67">
        <v>4</v>
      </c>
      <c r="B14" s="80">
        <f t="shared" si="0"/>
        <v>12.630999999999998</v>
      </c>
      <c r="C14" s="80">
        <f t="shared" si="1"/>
        <v>20.324499999999997</v>
      </c>
      <c r="D14" s="80">
        <f t="shared" si="2"/>
        <v>22.233499999999996</v>
      </c>
      <c r="E14" s="80">
        <f t="shared" si="3"/>
        <v>23.682499999999997</v>
      </c>
      <c r="F14" s="80">
        <f t="shared" si="4"/>
        <v>25.142999999999997</v>
      </c>
      <c r="G14" s="80">
        <f t="shared" si="5"/>
        <v>26.603499999999997</v>
      </c>
      <c r="H14" s="80">
        <f t="shared" si="6"/>
        <v>27.718999999999994</v>
      </c>
      <c r="I14" s="80">
        <f t="shared" si="7"/>
        <v>27.902999999999995</v>
      </c>
      <c r="J14" s="80">
        <f t="shared" si="8"/>
        <v>28.052499999999998</v>
      </c>
      <c r="K14" s="80">
        <f t="shared" si="9"/>
        <v>28.224999999999998</v>
      </c>
      <c r="L14" s="80">
        <f t="shared" si="10"/>
        <v>28.397499999999997</v>
      </c>
      <c r="O14" s="92"/>
      <c r="P14" s="2" t="s">
        <v>75</v>
      </c>
      <c r="Q14" s="69" t="s">
        <v>76</v>
      </c>
      <c r="R14" s="2" t="s">
        <v>17</v>
      </c>
      <c r="S14" s="70" t="s">
        <v>51</v>
      </c>
      <c r="T14" s="2" t="s">
        <v>52</v>
      </c>
      <c r="U14" s="2" t="s">
        <v>55</v>
      </c>
      <c r="V14" s="2" t="s">
        <v>53</v>
      </c>
      <c r="W14" s="2" t="s">
        <v>99</v>
      </c>
    </row>
    <row r="15" spans="1:25" x14ac:dyDescent="0.3">
      <c r="A15" s="63">
        <v>5</v>
      </c>
      <c r="B15" s="78">
        <f>10.87*1.15+1.2</f>
        <v>13.700499999999998</v>
      </c>
      <c r="C15" s="78">
        <f>18.71*1.15+1.2</f>
        <v>22.7165</v>
      </c>
      <c r="D15" s="78">
        <f>21.22*1.15+1.2</f>
        <v>25.602999999999994</v>
      </c>
      <c r="E15" s="78">
        <f>22.89*1.15+1.2</f>
        <v>27.523499999999999</v>
      </c>
      <c r="F15" s="78">
        <f>24.46*1.15+1.2</f>
        <v>29.328999999999997</v>
      </c>
      <c r="G15" s="78">
        <f>26.13*1.15+1.2</f>
        <v>31.249499999999994</v>
      </c>
      <c r="H15" s="78">
        <f>27.62*1.15+1.2</f>
        <v>32.963000000000001</v>
      </c>
      <c r="I15" s="78">
        <f>28.45*1.15+1.2</f>
        <v>33.917499999999997</v>
      </c>
      <c r="J15" s="78">
        <f>29.32*1.15+1.2</f>
        <v>34.917999999999999</v>
      </c>
      <c r="K15" s="78">
        <f>30.27*1.15+1.2</f>
        <v>36.0105</v>
      </c>
      <c r="L15" s="78">
        <f>31.14*1.15+1.2</f>
        <v>37.011000000000003</v>
      </c>
      <c r="O15" s="92"/>
      <c r="P15" s="2" t="s">
        <v>27</v>
      </c>
      <c r="Q15" s="69" t="s">
        <v>77</v>
      </c>
      <c r="R15" s="2" t="s">
        <v>33</v>
      </c>
      <c r="S15" s="70" t="s">
        <v>57</v>
      </c>
      <c r="T15" s="2" t="s">
        <v>93</v>
      </c>
      <c r="U15" s="2" t="s">
        <v>56</v>
      </c>
      <c r="V15" s="2" t="s">
        <v>94</v>
      </c>
      <c r="W15" s="2" t="s">
        <v>44</v>
      </c>
    </row>
    <row r="16" spans="1:25" x14ac:dyDescent="0.3">
      <c r="A16" s="63">
        <v>6</v>
      </c>
      <c r="B16" s="79">
        <f t="shared" ref="B16:B19" si="11">10.87*1.15+1.2</f>
        <v>13.700499999999998</v>
      </c>
      <c r="C16" s="79">
        <f t="shared" ref="C16:C19" si="12">18.71*1.15+1.2</f>
        <v>22.7165</v>
      </c>
      <c r="D16" s="79">
        <f t="shared" ref="D16:D19" si="13">21.22*1.15+1.2</f>
        <v>25.602999999999994</v>
      </c>
      <c r="E16" s="79">
        <f t="shared" ref="E16:E19" si="14">22.89*1.15+1.2</f>
        <v>27.523499999999999</v>
      </c>
      <c r="F16" s="79">
        <f t="shared" ref="F16:F19" si="15">24.46*1.15+1.2</f>
        <v>29.328999999999997</v>
      </c>
      <c r="G16" s="79">
        <f t="shared" ref="G16:G19" si="16">26.13*1.15+1.2</f>
        <v>31.249499999999994</v>
      </c>
      <c r="H16" s="79">
        <f t="shared" ref="H16:H19" si="17">27.62*1.15+1.2</f>
        <v>32.963000000000001</v>
      </c>
      <c r="I16" s="79">
        <f t="shared" ref="I16:I19" si="18">28.45*1.15+1.2</f>
        <v>33.917499999999997</v>
      </c>
      <c r="J16" s="79">
        <f t="shared" ref="J16:J19" si="19">29.32*1.15+1.2</f>
        <v>34.917999999999999</v>
      </c>
      <c r="K16" s="79">
        <f t="shared" ref="K16:K19" si="20">30.27*1.15+1.2</f>
        <v>36.0105</v>
      </c>
      <c r="L16" s="79">
        <f t="shared" ref="L16:L19" si="21">31.14*1.15+1.2</f>
        <v>37.011000000000003</v>
      </c>
      <c r="O16" s="92"/>
      <c r="P16" s="2" t="s">
        <v>78</v>
      </c>
      <c r="Q16" s="69" t="s">
        <v>79</v>
      </c>
      <c r="R16" s="2" t="s">
        <v>80</v>
      </c>
      <c r="S16" s="70" t="s">
        <v>81</v>
      </c>
      <c r="T16" s="2" t="s">
        <v>98</v>
      </c>
      <c r="U16" s="2" t="s">
        <v>90</v>
      </c>
      <c r="V16" s="2" t="s">
        <v>96</v>
      </c>
      <c r="W16" s="2" t="s">
        <v>60</v>
      </c>
    </row>
    <row r="17" spans="1:23" x14ac:dyDescent="0.3">
      <c r="A17" s="63">
        <v>7</v>
      </c>
      <c r="B17" s="79">
        <f t="shared" si="11"/>
        <v>13.700499999999998</v>
      </c>
      <c r="C17" s="79">
        <f t="shared" si="12"/>
        <v>22.7165</v>
      </c>
      <c r="D17" s="79">
        <f t="shared" si="13"/>
        <v>25.602999999999994</v>
      </c>
      <c r="E17" s="79">
        <f t="shared" si="14"/>
        <v>27.523499999999999</v>
      </c>
      <c r="F17" s="79">
        <f t="shared" si="15"/>
        <v>29.328999999999997</v>
      </c>
      <c r="G17" s="79">
        <f t="shared" si="16"/>
        <v>31.249499999999994</v>
      </c>
      <c r="H17" s="79">
        <f t="shared" si="17"/>
        <v>32.963000000000001</v>
      </c>
      <c r="I17" s="79">
        <f t="shared" si="18"/>
        <v>33.917499999999997</v>
      </c>
      <c r="J17" s="79">
        <f t="shared" si="19"/>
        <v>34.917999999999999</v>
      </c>
      <c r="K17" s="79">
        <f t="shared" si="20"/>
        <v>36.0105</v>
      </c>
      <c r="L17" s="79">
        <f t="shared" si="21"/>
        <v>37.011000000000003</v>
      </c>
      <c r="O17" s="92"/>
      <c r="P17" s="2" t="s">
        <v>82</v>
      </c>
      <c r="Q17" s="69" t="s">
        <v>85</v>
      </c>
      <c r="R17" s="2" t="s">
        <v>83</v>
      </c>
      <c r="S17" s="70" t="s">
        <v>84</v>
      </c>
      <c r="T17" s="2" t="s">
        <v>100</v>
      </c>
      <c r="U17" s="2" t="s">
        <v>95</v>
      </c>
      <c r="V17" s="2" t="s">
        <v>97</v>
      </c>
      <c r="W17" s="2" t="s">
        <v>108</v>
      </c>
    </row>
    <row r="18" spans="1:23" x14ac:dyDescent="0.3">
      <c r="A18" s="63">
        <v>8</v>
      </c>
      <c r="B18" s="79">
        <f t="shared" si="11"/>
        <v>13.700499999999998</v>
      </c>
      <c r="C18" s="79">
        <f t="shared" si="12"/>
        <v>22.7165</v>
      </c>
      <c r="D18" s="79">
        <f t="shared" si="13"/>
        <v>25.602999999999994</v>
      </c>
      <c r="E18" s="79">
        <f t="shared" si="14"/>
        <v>27.523499999999999</v>
      </c>
      <c r="F18" s="79">
        <f t="shared" si="15"/>
        <v>29.328999999999997</v>
      </c>
      <c r="G18" s="79">
        <f t="shared" si="16"/>
        <v>31.249499999999994</v>
      </c>
      <c r="H18" s="79">
        <f t="shared" si="17"/>
        <v>32.963000000000001</v>
      </c>
      <c r="I18" s="79">
        <f t="shared" si="18"/>
        <v>33.917499999999997</v>
      </c>
      <c r="J18" s="79">
        <f t="shared" si="19"/>
        <v>34.917999999999999</v>
      </c>
      <c r="K18" s="79">
        <f t="shared" si="20"/>
        <v>36.0105</v>
      </c>
      <c r="L18" s="79">
        <f t="shared" si="21"/>
        <v>37.011000000000003</v>
      </c>
      <c r="O18" s="93"/>
      <c r="P18" s="2" t="s">
        <v>36</v>
      </c>
      <c r="Q18" s="69" t="s">
        <v>38</v>
      </c>
      <c r="R18" s="2" t="s">
        <v>62</v>
      </c>
      <c r="S18" s="70" t="s">
        <v>86</v>
      </c>
      <c r="T18" s="2" t="s">
        <v>101</v>
      </c>
      <c r="U18" s="2" t="s">
        <v>58</v>
      </c>
      <c r="V18" s="2" t="s">
        <v>102</v>
      </c>
    </row>
    <row r="19" spans="1:23" x14ac:dyDescent="0.3">
      <c r="A19" s="64">
        <v>9</v>
      </c>
      <c r="B19" s="80">
        <f t="shared" si="11"/>
        <v>13.700499999999998</v>
      </c>
      <c r="C19" s="80">
        <f t="shared" si="12"/>
        <v>22.7165</v>
      </c>
      <c r="D19" s="80">
        <f t="shared" si="13"/>
        <v>25.602999999999994</v>
      </c>
      <c r="E19" s="80">
        <f t="shared" si="14"/>
        <v>27.523499999999999</v>
      </c>
      <c r="F19" s="80">
        <f t="shared" si="15"/>
        <v>29.328999999999997</v>
      </c>
      <c r="G19" s="80">
        <f t="shared" si="16"/>
        <v>31.249499999999994</v>
      </c>
      <c r="H19" s="80">
        <f t="shared" si="17"/>
        <v>32.963000000000001</v>
      </c>
      <c r="I19" s="80">
        <f t="shared" si="18"/>
        <v>33.917499999999997</v>
      </c>
      <c r="J19" s="80">
        <f t="shared" si="19"/>
        <v>34.917999999999999</v>
      </c>
      <c r="K19" s="80">
        <f t="shared" si="20"/>
        <v>36.0105</v>
      </c>
      <c r="L19" s="80">
        <f t="shared" si="21"/>
        <v>37.011000000000003</v>
      </c>
      <c r="O19" s="94"/>
      <c r="P19" s="95"/>
      <c r="Q19" s="69" t="s">
        <v>40</v>
      </c>
      <c r="R19" s="26" t="s">
        <v>137</v>
      </c>
      <c r="S19" s="70" t="s">
        <v>88</v>
      </c>
      <c r="T19" s="2" t="s">
        <v>59</v>
      </c>
      <c r="U19" s="2" t="s">
        <v>103</v>
      </c>
      <c r="V19" s="2" t="s">
        <v>104</v>
      </c>
    </row>
    <row r="20" spans="1:23" x14ac:dyDescent="0.3">
      <c r="A20" s="68">
        <v>10</v>
      </c>
      <c r="B20" s="78">
        <f>11.78*1.15+1.2</f>
        <v>14.746999999999998</v>
      </c>
      <c r="C20" s="81">
        <f>22.93*1.15+1.2</f>
        <v>27.569499999999998</v>
      </c>
      <c r="D20" s="81">
        <f>24.18*1.15+1.2</f>
        <v>29.006999999999998</v>
      </c>
      <c r="E20" s="81">
        <f>26.22*1.15+1.2</f>
        <v>31.352999999999994</v>
      </c>
      <c r="F20" s="81">
        <f>28.1*1.15+1.2</f>
        <v>33.515000000000001</v>
      </c>
      <c r="G20" s="81">
        <f>30.15*1.15+1.2</f>
        <v>35.872499999999995</v>
      </c>
      <c r="H20" s="81">
        <f>32.16*1.15+1.2</f>
        <v>38.183999999999997</v>
      </c>
      <c r="I20" s="81">
        <f>33.69*1.15+1.2</f>
        <v>39.9435</v>
      </c>
      <c r="J20" s="81">
        <f>35.31*1.15+1.2</f>
        <v>41.8065</v>
      </c>
      <c r="K20" s="81">
        <f>37.03*1.15+1.2</f>
        <v>43.784500000000001</v>
      </c>
      <c r="L20" s="81">
        <f>38.62*1.15+1.2</f>
        <v>45.613</v>
      </c>
      <c r="O20" s="85"/>
      <c r="P20" s="87"/>
      <c r="Q20" s="69" t="s">
        <v>92</v>
      </c>
      <c r="R20" s="4" t="s">
        <v>148</v>
      </c>
      <c r="S20" s="70" t="s">
        <v>89</v>
      </c>
      <c r="T20" s="2" t="s">
        <v>107</v>
      </c>
      <c r="U20" s="2" t="s">
        <v>105</v>
      </c>
      <c r="V20" s="2" t="s">
        <v>110</v>
      </c>
    </row>
    <row r="21" spans="1:23" x14ac:dyDescent="0.3">
      <c r="A21" s="63">
        <v>11</v>
      </c>
      <c r="B21" s="79">
        <f t="shared" ref="B21:B24" si="22">11.78*1.15+1.2</f>
        <v>14.746999999999998</v>
      </c>
      <c r="C21" s="82">
        <f t="shared" ref="C21:C24" si="23">22.93*1.15+1.2</f>
        <v>27.569499999999998</v>
      </c>
      <c r="D21" s="82">
        <f t="shared" ref="D21:D24" si="24">24.18*1.15+1.2</f>
        <v>29.006999999999998</v>
      </c>
      <c r="E21" s="82">
        <f t="shared" ref="E21:E24" si="25">26.22*1.15+1.2</f>
        <v>31.352999999999994</v>
      </c>
      <c r="F21" s="82">
        <f t="shared" ref="F21:F24" si="26">28.1*1.15+1.2</f>
        <v>33.515000000000001</v>
      </c>
      <c r="G21" s="82">
        <f t="shared" ref="G21:G24" si="27">30.15*1.15+1.2</f>
        <v>35.872499999999995</v>
      </c>
      <c r="H21" s="82">
        <f>32.16*1.15+1.2</f>
        <v>38.183999999999997</v>
      </c>
      <c r="I21" s="82">
        <f t="shared" ref="I21:I24" si="28">33.69*1.15+1.2</f>
        <v>39.9435</v>
      </c>
      <c r="J21" s="82">
        <f t="shared" ref="J21:J24" si="29">35.31*1.15+1.2</f>
        <v>41.8065</v>
      </c>
      <c r="K21" s="82">
        <f t="shared" ref="K21:K24" si="30">37.03*1.15+1.2</f>
        <v>43.784500000000001</v>
      </c>
      <c r="L21" s="82">
        <f t="shared" ref="L21:L24" si="31">38.62*1.15+1.2</f>
        <v>45.613</v>
      </c>
      <c r="O21" s="88"/>
      <c r="P21" s="90"/>
      <c r="Q21" s="69"/>
      <c r="R21" s="4" t="s">
        <v>149</v>
      </c>
      <c r="S21" s="70" t="s">
        <v>24</v>
      </c>
      <c r="T21" s="2" t="s">
        <v>109</v>
      </c>
      <c r="U21" s="2" t="s">
        <v>111</v>
      </c>
      <c r="V21" s="2" t="s">
        <v>112</v>
      </c>
    </row>
    <row r="22" spans="1:23" x14ac:dyDescent="0.3">
      <c r="A22" s="63">
        <v>12</v>
      </c>
      <c r="B22" s="79">
        <f t="shared" si="22"/>
        <v>14.746999999999998</v>
      </c>
      <c r="C22" s="82">
        <f t="shared" si="23"/>
        <v>27.569499999999998</v>
      </c>
      <c r="D22" s="82">
        <f t="shared" si="24"/>
        <v>29.006999999999998</v>
      </c>
      <c r="E22" s="82">
        <f t="shared" si="25"/>
        <v>31.352999999999994</v>
      </c>
      <c r="F22" s="82">
        <f t="shared" si="26"/>
        <v>33.515000000000001</v>
      </c>
      <c r="G22" s="82">
        <f t="shared" si="27"/>
        <v>35.872499999999995</v>
      </c>
      <c r="H22" s="82">
        <f t="shared" ref="H22:H24" si="32">32.16*1.15+1.2</f>
        <v>38.183999999999997</v>
      </c>
      <c r="I22" s="82">
        <f t="shared" si="28"/>
        <v>39.9435</v>
      </c>
      <c r="J22" s="82">
        <f t="shared" si="29"/>
        <v>41.8065</v>
      </c>
      <c r="K22" s="82">
        <f t="shared" si="30"/>
        <v>43.784500000000001</v>
      </c>
      <c r="L22" s="82">
        <f t="shared" si="31"/>
        <v>45.613</v>
      </c>
      <c r="O22" s="30"/>
      <c r="P22" s="31"/>
      <c r="Q22" s="31"/>
      <c r="R22" s="2" t="s">
        <v>87</v>
      </c>
      <c r="S22" s="32"/>
      <c r="T22" s="2" t="s">
        <v>115</v>
      </c>
      <c r="U22" s="2" t="s">
        <v>113</v>
      </c>
    </row>
    <row r="23" spans="1:23" x14ac:dyDescent="0.3">
      <c r="A23" s="63">
        <v>13</v>
      </c>
      <c r="B23" s="79">
        <f t="shared" si="22"/>
        <v>14.746999999999998</v>
      </c>
      <c r="C23" s="82">
        <f t="shared" si="23"/>
        <v>27.569499999999998</v>
      </c>
      <c r="D23" s="82">
        <f t="shared" si="24"/>
        <v>29.006999999999998</v>
      </c>
      <c r="E23" s="82">
        <f t="shared" si="25"/>
        <v>31.352999999999994</v>
      </c>
      <c r="F23" s="82">
        <f t="shared" si="26"/>
        <v>33.515000000000001</v>
      </c>
      <c r="G23" s="82">
        <f t="shared" si="27"/>
        <v>35.872499999999995</v>
      </c>
      <c r="H23" s="82">
        <f t="shared" si="32"/>
        <v>38.183999999999997</v>
      </c>
      <c r="I23" s="82">
        <f t="shared" si="28"/>
        <v>39.9435</v>
      </c>
      <c r="J23" s="82">
        <f t="shared" si="29"/>
        <v>41.8065</v>
      </c>
      <c r="K23" s="82">
        <f t="shared" si="30"/>
        <v>43.784500000000001</v>
      </c>
      <c r="L23" s="82">
        <f t="shared" si="31"/>
        <v>45.613</v>
      </c>
      <c r="O23" s="33"/>
      <c r="P23" s="34"/>
      <c r="Q23" s="34"/>
      <c r="R23" s="2" t="s">
        <v>29</v>
      </c>
      <c r="S23" s="35"/>
      <c r="U23" s="2" t="s">
        <v>114</v>
      </c>
    </row>
    <row r="24" spans="1:23" x14ac:dyDescent="0.3">
      <c r="A24" s="64">
        <v>14</v>
      </c>
      <c r="B24" s="80">
        <f t="shared" si="22"/>
        <v>14.746999999999998</v>
      </c>
      <c r="C24" s="83">
        <f t="shared" si="23"/>
        <v>27.569499999999998</v>
      </c>
      <c r="D24" s="83">
        <f t="shared" si="24"/>
        <v>29.006999999999998</v>
      </c>
      <c r="E24" s="83">
        <f t="shared" si="25"/>
        <v>31.352999999999994</v>
      </c>
      <c r="F24" s="83">
        <f t="shared" si="26"/>
        <v>33.515000000000001</v>
      </c>
      <c r="G24" s="83">
        <f t="shared" si="27"/>
        <v>35.872499999999995</v>
      </c>
      <c r="H24" s="83">
        <f t="shared" si="32"/>
        <v>38.183999999999997</v>
      </c>
      <c r="I24" s="83">
        <f t="shared" si="28"/>
        <v>39.9435</v>
      </c>
      <c r="J24" s="83">
        <f t="shared" si="29"/>
        <v>41.8065</v>
      </c>
      <c r="K24" s="83">
        <f t="shared" si="30"/>
        <v>43.784500000000001</v>
      </c>
      <c r="L24" s="83">
        <f t="shared" si="31"/>
        <v>45.613</v>
      </c>
      <c r="O24" s="33"/>
      <c r="P24" s="34"/>
      <c r="Q24" s="34"/>
      <c r="R24" s="34"/>
      <c r="S24" s="35"/>
      <c r="U24" s="2" t="s">
        <v>61</v>
      </c>
    </row>
    <row r="25" spans="1:23" x14ac:dyDescent="0.3">
      <c r="A25" s="68">
        <v>15</v>
      </c>
      <c r="B25" s="78">
        <f>12.74*1.15+1.2</f>
        <v>15.850999999999999</v>
      </c>
      <c r="C25" s="78">
        <f>22.93*1.15+1.2</f>
        <v>27.569499999999998</v>
      </c>
      <c r="D25" s="78">
        <f>27.14*1.15+1.2</f>
        <v>32.411000000000001</v>
      </c>
      <c r="E25" s="78">
        <f>29.55*1.15+1.2</f>
        <v>35.182500000000005</v>
      </c>
      <c r="F25" s="78">
        <f>31.73*1.15+1.2</f>
        <v>37.689500000000002</v>
      </c>
      <c r="G25" s="78">
        <f>34.18*1.15+1.2</f>
        <v>40.506999999999998</v>
      </c>
      <c r="H25" s="78">
        <f>36.73*1.15+1.2</f>
        <v>43.439499999999995</v>
      </c>
      <c r="I25" s="78">
        <f>38.91*1.15+1.2</f>
        <v>45.946499999999993</v>
      </c>
      <c r="J25" s="78">
        <f>41.28*1.15+1.2</f>
        <v>48.671999999999997</v>
      </c>
      <c r="K25" s="78">
        <f>43.79*1.15+1.2</f>
        <v>51.558499999999995</v>
      </c>
      <c r="L25" s="78">
        <f>46.1*1.15+1.2</f>
        <v>54.215000000000003</v>
      </c>
      <c r="O25" s="33"/>
      <c r="P25" s="34"/>
      <c r="Q25" s="34"/>
      <c r="R25" s="34"/>
      <c r="S25" s="35"/>
      <c r="U25" s="2" t="s">
        <v>116</v>
      </c>
    </row>
    <row r="26" spans="1:23" x14ac:dyDescent="0.3">
      <c r="A26" s="63">
        <v>16</v>
      </c>
      <c r="B26" s="79">
        <f t="shared" ref="B26:B29" si="33">12.74*1.15+1.2</f>
        <v>15.850999999999999</v>
      </c>
      <c r="C26" s="79">
        <f t="shared" ref="C26:C29" si="34">22.93*1.15+1.2</f>
        <v>27.569499999999998</v>
      </c>
      <c r="D26" s="79">
        <f t="shared" ref="D26:D29" si="35">27.14*1.15+1.2</f>
        <v>32.411000000000001</v>
      </c>
      <c r="E26" s="79">
        <f t="shared" ref="E26:E29" si="36">29.55*1.15+1.2</f>
        <v>35.182500000000005</v>
      </c>
      <c r="F26" s="79">
        <f t="shared" ref="F26:F29" si="37">31.73*1.15+1.2</f>
        <v>37.689500000000002</v>
      </c>
      <c r="G26" s="79">
        <f t="shared" ref="G26:G29" si="38">34.18*1.15+1.2</f>
        <v>40.506999999999998</v>
      </c>
      <c r="H26" s="79">
        <f t="shared" ref="H26:H29" si="39">36.73*1.15+1.2</f>
        <v>43.439499999999995</v>
      </c>
      <c r="I26" s="79">
        <f t="shared" ref="I26:I29" si="40">38.91*1.15+1.2</f>
        <v>45.946499999999993</v>
      </c>
      <c r="J26" s="79">
        <f t="shared" ref="J26:J29" si="41">41.28*1.15+1.2</f>
        <v>48.671999999999997</v>
      </c>
      <c r="K26" s="79">
        <f t="shared" ref="K26:K29" si="42">43.79*1.15+1.2</f>
        <v>51.558499999999995</v>
      </c>
      <c r="L26" s="79">
        <f t="shared" ref="L26:L29" si="43">46.1*1.15+1.2</f>
        <v>54.215000000000003</v>
      </c>
      <c r="O26" s="33"/>
      <c r="P26" s="34"/>
      <c r="Q26" s="34"/>
      <c r="R26" s="34"/>
      <c r="S26" s="35"/>
      <c r="U26" s="2" t="s">
        <v>117</v>
      </c>
    </row>
    <row r="27" spans="1:23" x14ac:dyDescent="0.3">
      <c r="A27" s="63">
        <v>17</v>
      </c>
      <c r="B27" s="79">
        <f t="shared" si="33"/>
        <v>15.850999999999999</v>
      </c>
      <c r="C27" s="79">
        <f t="shared" si="34"/>
        <v>27.569499999999998</v>
      </c>
      <c r="D27" s="79">
        <f t="shared" si="35"/>
        <v>32.411000000000001</v>
      </c>
      <c r="E27" s="79">
        <f t="shared" si="36"/>
        <v>35.182500000000005</v>
      </c>
      <c r="F27" s="79">
        <f t="shared" si="37"/>
        <v>37.689500000000002</v>
      </c>
      <c r="G27" s="79">
        <f t="shared" si="38"/>
        <v>40.506999999999998</v>
      </c>
      <c r="H27" s="79">
        <f t="shared" si="39"/>
        <v>43.439499999999995</v>
      </c>
      <c r="I27" s="79">
        <f t="shared" si="40"/>
        <v>45.946499999999993</v>
      </c>
      <c r="J27" s="79">
        <f t="shared" si="41"/>
        <v>48.671999999999997</v>
      </c>
      <c r="K27" s="79">
        <f t="shared" si="42"/>
        <v>51.558499999999995</v>
      </c>
      <c r="L27" s="79">
        <f t="shared" si="43"/>
        <v>54.215000000000003</v>
      </c>
      <c r="O27" s="33"/>
      <c r="P27" s="34"/>
      <c r="Q27" s="34"/>
      <c r="R27" s="34"/>
      <c r="S27" s="35"/>
    </row>
    <row r="28" spans="1:23" x14ac:dyDescent="0.3">
      <c r="A28" s="63">
        <v>18</v>
      </c>
      <c r="B28" s="79">
        <f t="shared" si="33"/>
        <v>15.850999999999999</v>
      </c>
      <c r="C28" s="79">
        <f t="shared" si="34"/>
        <v>27.569499999999998</v>
      </c>
      <c r="D28" s="79">
        <f t="shared" si="35"/>
        <v>32.411000000000001</v>
      </c>
      <c r="E28" s="79">
        <f t="shared" si="36"/>
        <v>35.182500000000005</v>
      </c>
      <c r="F28" s="79">
        <f t="shared" si="37"/>
        <v>37.689500000000002</v>
      </c>
      <c r="G28" s="79">
        <f t="shared" si="38"/>
        <v>40.506999999999998</v>
      </c>
      <c r="H28" s="79">
        <f t="shared" si="39"/>
        <v>43.439499999999995</v>
      </c>
      <c r="I28" s="79">
        <f t="shared" si="40"/>
        <v>45.946499999999993</v>
      </c>
      <c r="J28" s="79">
        <f t="shared" si="41"/>
        <v>48.671999999999997</v>
      </c>
      <c r="K28" s="79">
        <f t="shared" si="42"/>
        <v>51.558499999999995</v>
      </c>
      <c r="L28" s="79">
        <f t="shared" si="43"/>
        <v>54.215000000000003</v>
      </c>
      <c r="O28" s="33"/>
      <c r="P28" s="34"/>
      <c r="Q28" s="34"/>
      <c r="R28" s="34"/>
      <c r="S28" s="35"/>
    </row>
    <row r="29" spans="1:23" x14ac:dyDescent="0.3">
      <c r="A29" s="64">
        <v>19</v>
      </c>
      <c r="B29" s="80">
        <f t="shared" si="33"/>
        <v>15.850999999999999</v>
      </c>
      <c r="C29" s="80">
        <f t="shared" si="34"/>
        <v>27.569499999999998</v>
      </c>
      <c r="D29" s="80">
        <f t="shared" si="35"/>
        <v>32.411000000000001</v>
      </c>
      <c r="E29" s="80">
        <f t="shared" si="36"/>
        <v>35.182500000000005</v>
      </c>
      <c r="F29" s="80">
        <f t="shared" si="37"/>
        <v>37.689500000000002</v>
      </c>
      <c r="G29" s="80">
        <f t="shared" si="38"/>
        <v>40.506999999999998</v>
      </c>
      <c r="H29" s="80">
        <f t="shared" si="39"/>
        <v>43.439499999999995</v>
      </c>
      <c r="I29" s="80">
        <f t="shared" si="40"/>
        <v>45.946499999999993</v>
      </c>
      <c r="J29" s="80">
        <f t="shared" si="41"/>
        <v>48.671999999999997</v>
      </c>
      <c r="K29" s="80">
        <f t="shared" si="42"/>
        <v>51.558499999999995</v>
      </c>
      <c r="L29" s="80">
        <f t="shared" si="43"/>
        <v>54.215000000000003</v>
      </c>
      <c r="O29" s="33"/>
      <c r="P29" s="34"/>
      <c r="Q29" s="34"/>
      <c r="R29" s="34"/>
      <c r="S29" s="35"/>
    </row>
    <row r="30" spans="1:23" x14ac:dyDescent="0.3">
      <c r="A30" s="68">
        <v>20</v>
      </c>
      <c r="B30" s="78">
        <f>13.64*1.15+1.2</f>
        <v>16.885999999999999</v>
      </c>
      <c r="C30" s="81">
        <f>25.06*1.15+1.2</f>
        <v>30.018999999999995</v>
      </c>
      <c r="D30" s="78">
        <f>30.08*1.15+1.2</f>
        <v>35.792000000000002</v>
      </c>
      <c r="E30" s="78">
        <f>32.89*1.15+1.2</f>
        <v>39.023499999999999</v>
      </c>
      <c r="F30" s="78">
        <f>35.37*1.15+1.2</f>
        <v>41.875499999999995</v>
      </c>
      <c r="G30" s="78">
        <f>38.21*1.15+1.2</f>
        <v>45.141500000000001</v>
      </c>
      <c r="H30" s="78">
        <f>41.27*1.15+1.2</f>
        <v>48.660500000000006</v>
      </c>
      <c r="I30" s="78">
        <f>44.16*1.15+1.2</f>
        <v>51.983999999999995</v>
      </c>
      <c r="J30" s="78">
        <f>47.24*1.15+1.2</f>
        <v>55.526000000000003</v>
      </c>
      <c r="K30" s="78">
        <f>50.54*1.15+1.2</f>
        <v>59.320999999999998</v>
      </c>
      <c r="L30" s="78">
        <f>53.59*1.15+1.2</f>
        <v>62.828500000000005</v>
      </c>
      <c r="O30" s="33"/>
      <c r="P30" s="34"/>
      <c r="Q30" s="34"/>
      <c r="R30" s="34"/>
      <c r="S30" s="35"/>
    </row>
    <row r="31" spans="1:23" x14ac:dyDescent="0.3">
      <c r="A31" s="63">
        <v>21</v>
      </c>
      <c r="B31" s="79">
        <f t="shared" ref="B31:B39" si="44">13.64*1.15+1.2</f>
        <v>16.885999999999999</v>
      </c>
      <c r="C31" s="82">
        <f t="shared" ref="C31:C39" si="45">25.06*1.15+1.2</f>
        <v>30.018999999999995</v>
      </c>
      <c r="D31" s="79">
        <f t="shared" ref="D31:D39" si="46">30.08*1.15+1.2</f>
        <v>35.792000000000002</v>
      </c>
      <c r="E31" s="79">
        <f t="shared" ref="E31:E39" si="47">32.89*1.15+1.2</f>
        <v>39.023499999999999</v>
      </c>
      <c r="F31" s="79">
        <f t="shared" ref="F31:F39" si="48">35.37*1.15+1.2</f>
        <v>41.875499999999995</v>
      </c>
      <c r="G31" s="79">
        <f t="shared" ref="G31:G39" si="49">38.21*1.15+1.2</f>
        <v>45.141500000000001</v>
      </c>
      <c r="H31" s="79">
        <f t="shared" ref="H31:H39" si="50">41.27*1.15+1.2</f>
        <v>48.660500000000006</v>
      </c>
      <c r="I31" s="79">
        <f t="shared" ref="I31:I39" si="51">44.16*1.15+1.2</f>
        <v>51.983999999999995</v>
      </c>
      <c r="J31" s="79">
        <f t="shared" ref="J31:J39" si="52">47.24*1.15+1.2</f>
        <v>55.526000000000003</v>
      </c>
      <c r="K31" s="79">
        <f t="shared" ref="K31:K39" si="53">50.54*1.15+1.2</f>
        <v>59.320999999999998</v>
      </c>
      <c r="L31" s="79">
        <f t="shared" ref="L31:L39" si="54">53.59*1.15+1.2</f>
        <v>62.828500000000005</v>
      </c>
      <c r="O31" s="33"/>
      <c r="P31" s="34"/>
      <c r="Q31" s="34"/>
      <c r="R31" s="34"/>
      <c r="S31" s="35"/>
    </row>
    <row r="32" spans="1:23" x14ac:dyDescent="0.3">
      <c r="A32" s="63">
        <v>22</v>
      </c>
      <c r="B32" s="79">
        <f t="shared" si="44"/>
        <v>16.885999999999999</v>
      </c>
      <c r="C32" s="82">
        <f t="shared" si="45"/>
        <v>30.018999999999995</v>
      </c>
      <c r="D32" s="79">
        <f t="shared" si="46"/>
        <v>35.792000000000002</v>
      </c>
      <c r="E32" s="79">
        <f t="shared" si="47"/>
        <v>39.023499999999999</v>
      </c>
      <c r="F32" s="79">
        <f t="shared" si="48"/>
        <v>41.875499999999995</v>
      </c>
      <c r="G32" s="79">
        <f t="shared" si="49"/>
        <v>45.141500000000001</v>
      </c>
      <c r="H32" s="79">
        <f t="shared" si="50"/>
        <v>48.660500000000006</v>
      </c>
      <c r="I32" s="79">
        <f t="shared" si="51"/>
        <v>51.983999999999995</v>
      </c>
      <c r="J32" s="79">
        <f t="shared" si="52"/>
        <v>55.526000000000003</v>
      </c>
      <c r="K32" s="79">
        <f t="shared" si="53"/>
        <v>59.320999999999998</v>
      </c>
      <c r="L32" s="79">
        <f t="shared" si="54"/>
        <v>62.828500000000005</v>
      </c>
      <c r="O32" s="33"/>
      <c r="P32" s="34"/>
      <c r="Q32" s="34"/>
      <c r="R32" s="34"/>
      <c r="S32" s="35"/>
    </row>
    <row r="33" spans="1:19" x14ac:dyDescent="0.3">
      <c r="A33" s="63">
        <v>23</v>
      </c>
      <c r="B33" s="79">
        <f t="shared" si="44"/>
        <v>16.885999999999999</v>
      </c>
      <c r="C33" s="82">
        <f t="shared" si="45"/>
        <v>30.018999999999995</v>
      </c>
      <c r="D33" s="79">
        <f t="shared" si="46"/>
        <v>35.792000000000002</v>
      </c>
      <c r="E33" s="79">
        <f t="shared" si="47"/>
        <v>39.023499999999999</v>
      </c>
      <c r="F33" s="79">
        <f t="shared" si="48"/>
        <v>41.875499999999995</v>
      </c>
      <c r="G33" s="79">
        <f t="shared" si="49"/>
        <v>45.141500000000001</v>
      </c>
      <c r="H33" s="79">
        <f t="shared" si="50"/>
        <v>48.660500000000006</v>
      </c>
      <c r="I33" s="79">
        <f t="shared" si="51"/>
        <v>51.983999999999995</v>
      </c>
      <c r="J33" s="79">
        <f t="shared" si="52"/>
        <v>55.526000000000003</v>
      </c>
      <c r="K33" s="79">
        <f t="shared" si="53"/>
        <v>59.320999999999998</v>
      </c>
      <c r="L33" s="79">
        <f t="shared" si="54"/>
        <v>62.828500000000005</v>
      </c>
      <c r="O33" s="33"/>
      <c r="P33" s="34"/>
      <c r="Q33" s="34"/>
      <c r="R33" s="34"/>
      <c r="S33" s="35"/>
    </row>
    <row r="34" spans="1:19" x14ac:dyDescent="0.3">
      <c r="A34" s="63">
        <v>24</v>
      </c>
      <c r="B34" s="79">
        <f t="shared" si="44"/>
        <v>16.885999999999999</v>
      </c>
      <c r="C34" s="82">
        <f t="shared" si="45"/>
        <v>30.018999999999995</v>
      </c>
      <c r="D34" s="79">
        <f t="shared" si="46"/>
        <v>35.792000000000002</v>
      </c>
      <c r="E34" s="79">
        <f t="shared" si="47"/>
        <v>39.023499999999999</v>
      </c>
      <c r="F34" s="79">
        <f t="shared" si="48"/>
        <v>41.875499999999995</v>
      </c>
      <c r="G34" s="79">
        <f t="shared" si="49"/>
        <v>45.141500000000001</v>
      </c>
      <c r="H34" s="79">
        <f t="shared" si="50"/>
        <v>48.660500000000006</v>
      </c>
      <c r="I34" s="79">
        <f t="shared" si="51"/>
        <v>51.983999999999995</v>
      </c>
      <c r="J34" s="79">
        <f t="shared" si="52"/>
        <v>55.526000000000003</v>
      </c>
      <c r="K34" s="79">
        <f t="shared" si="53"/>
        <v>59.320999999999998</v>
      </c>
      <c r="L34" s="79">
        <f t="shared" si="54"/>
        <v>62.828500000000005</v>
      </c>
      <c r="O34" s="33"/>
      <c r="P34" s="34"/>
      <c r="Q34" s="34"/>
      <c r="R34" s="34"/>
      <c r="S34" s="35"/>
    </row>
    <row r="35" spans="1:19" x14ac:dyDescent="0.3">
      <c r="A35" s="63">
        <v>25</v>
      </c>
      <c r="B35" s="79">
        <f t="shared" si="44"/>
        <v>16.885999999999999</v>
      </c>
      <c r="C35" s="82">
        <f t="shared" si="45"/>
        <v>30.018999999999995</v>
      </c>
      <c r="D35" s="79">
        <f t="shared" si="46"/>
        <v>35.792000000000002</v>
      </c>
      <c r="E35" s="79">
        <f t="shared" si="47"/>
        <v>39.023499999999999</v>
      </c>
      <c r="F35" s="79">
        <f t="shared" si="48"/>
        <v>41.875499999999995</v>
      </c>
      <c r="G35" s="79">
        <f t="shared" si="49"/>
        <v>45.141500000000001</v>
      </c>
      <c r="H35" s="79">
        <f t="shared" si="50"/>
        <v>48.660500000000006</v>
      </c>
      <c r="I35" s="79">
        <f t="shared" si="51"/>
        <v>51.983999999999995</v>
      </c>
      <c r="J35" s="79">
        <f t="shared" si="52"/>
        <v>55.526000000000003</v>
      </c>
      <c r="K35" s="79">
        <f t="shared" si="53"/>
        <v>59.320999999999998</v>
      </c>
      <c r="L35" s="79">
        <f t="shared" si="54"/>
        <v>62.828500000000005</v>
      </c>
      <c r="O35" s="33"/>
      <c r="P35" s="34"/>
      <c r="Q35" s="34"/>
      <c r="R35" s="34"/>
      <c r="S35" s="35"/>
    </row>
    <row r="36" spans="1:19" x14ac:dyDescent="0.3">
      <c r="A36" s="63">
        <v>26</v>
      </c>
      <c r="B36" s="79">
        <f t="shared" si="44"/>
        <v>16.885999999999999</v>
      </c>
      <c r="C36" s="82">
        <f t="shared" si="45"/>
        <v>30.018999999999995</v>
      </c>
      <c r="D36" s="79">
        <f t="shared" si="46"/>
        <v>35.792000000000002</v>
      </c>
      <c r="E36" s="79">
        <f t="shared" si="47"/>
        <v>39.023499999999999</v>
      </c>
      <c r="F36" s="79">
        <f t="shared" si="48"/>
        <v>41.875499999999995</v>
      </c>
      <c r="G36" s="79">
        <f t="shared" si="49"/>
        <v>45.141500000000001</v>
      </c>
      <c r="H36" s="79">
        <f t="shared" si="50"/>
        <v>48.660500000000006</v>
      </c>
      <c r="I36" s="79">
        <f t="shared" si="51"/>
        <v>51.983999999999995</v>
      </c>
      <c r="J36" s="79">
        <f t="shared" si="52"/>
        <v>55.526000000000003</v>
      </c>
      <c r="K36" s="79">
        <f t="shared" si="53"/>
        <v>59.320999999999998</v>
      </c>
      <c r="L36" s="79">
        <f t="shared" si="54"/>
        <v>62.828500000000005</v>
      </c>
      <c r="O36" s="33"/>
      <c r="P36" s="34"/>
      <c r="Q36" s="34"/>
      <c r="R36" s="34"/>
      <c r="S36" s="35"/>
    </row>
    <row r="37" spans="1:19" x14ac:dyDescent="0.3">
      <c r="A37" s="63">
        <v>27</v>
      </c>
      <c r="B37" s="79">
        <f t="shared" si="44"/>
        <v>16.885999999999999</v>
      </c>
      <c r="C37" s="82">
        <f t="shared" si="45"/>
        <v>30.018999999999995</v>
      </c>
      <c r="D37" s="79">
        <f t="shared" si="46"/>
        <v>35.792000000000002</v>
      </c>
      <c r="E37" s="79">
        <f t="shared" si="47"/>
        <v>39.023499999999999</v>
      </c>
      <c r="F37" s="79">
        <f t="shared" si="48"/>
        <v>41.875499999999995</v>
      </c>
      <c r="G37" s="79">
        <f t="shared" si="49"/>
        <v>45.141500000000001</v>
      </c>
      <c r="H37" s="79">
        <f t="shared" si="50"/>
        <v>48.660500000000006</v>
      </c>
      <c r="I37" s="79">
        <f t="shared" si="51"/>
        <v>51.983999999999995</v>
      </c>
      <c r="J37" s="79">
        <f t="shared" si="52"/>
        <v>55.526000000000003</v>
      </c>
      <c r="K37" s="79">
        <f t="shared" si="53"/>
        <v>59.320999999999998</v>
      </c>
      <c r="L37" s="79">
        <f t="shared" si="54"/>
        <v>62.828500000000005</v>
      </c>
      <c r="O37" s="33"/>
      <c r="P37" s="34"/>
      <c r="Q37" s="34"/>
      <c r="R37" s="34"/>
      <c r="S37" s="35"/>
    </row>
    <row r="38" spans="1:19" x14ac:dyDescent="0.3">
      <c r="A38" s="63">
        <v>28</v>
      </c>
      <c r="B38" s="79">
        <f t="shared" si="44"/>
        <v>16.885999999999999</v>
      </c>
      <c r="C38" s="82">
        <f t="shared" si="45"/>
        <v>30.018999999999995</v>
      </c>
      <c r="D38" s="79">
        <f t="shared" si="46"/>
        <v>35.792000000000002</v>
      </c>
      <c r="E38" s="79">
        <f t="shared" si="47"/>
        <v>39.023499999999999</v>
      </c>
      <c r="F38" s="79">
        <f t="shared" si="48"/>
        <v>41.875499999999995</v>
      </c>
      <c r="G38" s="79">
        <f t="shared" si="49"/>
        <v>45.141500000000001</v>
      </c>
      <c r="H38" s="79">
        <f t="shared" si="50"/>
        <v>48.660500000000006</v>
      </c>
      <c r="I38" s="79">
        <f t="shared" si="51"/>
        <v>51.983999999999995</v>
      </c>
      <c r="J38" s="79">
        <f t="shared" si="52"/>
        <v>55.526000000000003</v>
      </c>
      <c r="K38" s="79">
        <f t="shared" si="53"/>
        <v>59.320999999999998</v>
      </c>
      <c r="L38" s="79">
        <f t="shared" si="54"/>
        <v>62.828500000000005</v>
      </c>
      <c r="O38" s="36"/>
      <c r="P38" s="37"/>
      <c r="Q38" s="37"/>
      <c r="R38" s="37"/>
      <c r="S38" s="38"/>
    </row>
    <row r="39" spans="1:19" x14ac:dyDescent="0.3">
      <c r="A39" s="64">
        <v>29</v>
      </c>
      <c r="B39" s="80">
        <f t="shared" si="44"/>
        <v>16.885999999999999</v>
      </c>
      <c r="C39" s="83">
        <f t="shared" si="45"/>
        <v>30.018999999999995</v>
      </c>
      <c r="D39" s="80">
        <f t="shared" si="46"/>
        <v>35.792000000000002</v>
      </c>
      <c r="E39" s="80">
        <f t="shared" si="47"/>
        <v>39.023499999999999</v>
      </c>
      <c r="F39" s="80">
        <f t="shared" si="48"/>
        <v>41.875499999999995</v>
      </c>
      <c r="G39" s="80">
        <f t="shared" si="49"/>
        <v>45.141500000000001</v>
      </c>
      <c r="H39" s="80">
        <f t="shared" si="50"/>
        <v>48.660500000000006</v>
      </c>
      <c r="I39" s="80">
        <f t="shared" si="51"/>
        <v>51.983999999999995</v>
      </c>
      <c r="J39" s="80">
        <f t="shared" si="52"/>
        <v>55.526000000000003</v>
      </c>
      <c r="K39" s="80">
        <f t="shared" si="53"/>
        <v>59.320999999999998</v>
      </c>
      <c r="L39" s="80">
        <f t="shared" si="54"/>
        <v>62.828500000000005</v>
      </c>
    </row>
    <row r="40" spans="1:19" x14ac:dyDescent="0.3">
      <c r="A40" s="68">
        <v>30</v>
      </c>
      <c r="B40" s="78">
        <f>16.42*1.15+1.2</f>
        <v>20.082999999999998</v>
      </c>
      <c r="C40" s="78">
        <f>27.85*1.15+1.2</f>
        <v>33.227499999999999</v>
      </c>
      <c r="D40" s="78">
        <f>33.96*1.15+1.2</f>
        <v>40.253999999999998</v>
      </c>
      <c r="E40" s="78">
        <f>37.21*1.15+1.2</f>
        <v>43.991500000000002</v>
      </c>
      <c r="F40" s="78">
        <f>39.97*1.15+1.2</f>
        <v>47.165500000000002</v>
      </c>
      <c r="G40" s="78">
        <f>43.07*1.15+1.2</f>
        <v>50.730499999999999</v>
      </c>
      <c r="H40" s="78">
        <f>46.32*1.15+1.2</f>
        <v>54.467999999999996</v>
      </c>
      <c r="I40" s="78">
        <f>49.34*1.15+1.2</f>
        <v>57.941000000000003</v>
      </c>
      <c r="J40" s="78">
        <f>52.55*1.15+1.2</f>
        <v>61.632499999999993</v>
      </c>
      <c r="K40" s="78">
        <f>56*1.15+1.2</f>
        <v>65.599999999999994</v>
      </c>
      <c r="L40" s="78">
        <f>59.22*1.15+1.2</f>
        <v>69.302999999999997</v>
      </c>
    </row>
    <row r="41" spans="1:19" x14ac:dyDescent="0.3">
      <c r="A41" s="63">
        <v>31</v>
      </c>
      <c r="B41" s="79">
        <f t="shared" ref="B41:B49" si="55">16.42*1.15+1.2</f>
        <v>20.082999999999998</v>
      </c>
      <c r="C41" s="79">
        <f t="shared" ref="C41:C49" si="56">27.85*1.15+1.2</f>
        <v>33.227499999999999</v>
      </c>
      <c r="D41" s="79">
        <f t="shared" ref="D41:D49" si="57">33.96*1.15+1.2</f>
        <v>40.253999999999998</v>
      </c>
      <c r="E41" s="79">
        <f t="shared" ref="E41:E49" si="58">37.21*1.15+1.2</f>
        <v>43.991500000000002</v>
      </c>
      <c r="F41" s="79">
        <f t="shared" ref="F41:F49" si="59">39.97*1.15+1.2</f>
        <v>47.165500000000002</v>
      </c>
      <c r="G41" s="79">
        <f t="shared" ref="G41:G49" si="60">43.07*1.15+1.2</f>
        <v>50.730499999999999</v>
      </c>
      <c r="H41" s="79">
        <f t="shared" ref="H41:H49" si="61">46.32*1.15+1.2</f>
        <v>54.467999999999996</v>
      </c>
      <c r="I41" s="79">
        <f t="shared" ref="I41:I49" si="62">49.34*1.15+1.2</f>
        <v>57.941000000000003</v>
      </c>
      <c r="J41" s="79">
        <f t="shared" ref="J41:J49" si="63">52.55*1.15+1.2</f>
        <v>61.632499999999993</v>
      </c>
      <c r="K41" s="79">
        <f t="shared" ref="K41:K49" si="64">56*1.15+1.2</f>
        <v>65.599999999999994</v>
      </c>
      <c r="L41" s="79">
        <f t="shared" ref="L41:L49" si="65">59.22*1.15+1.2</f>
        <v>69.302999999999997</v>
      </c>
    </row>
    <row r="42" spans="1:19" x14ac:dyDescent="0.3">
      <c r="A42" s="63">
        <v>32</v>
      </c>
      <c r="B42" s="79">
        <f t="shared" si="55"/>
        <v>20.082999999999998</v>
      </c>
      <c r="C42" s="79">
        <f t="shared" si="56"/>
        <v>33.227499999999999</v>
      </c>
      <c r="D42" s="79">
        <f t="shared" si="57"/>
        <v>40.253999999999998</v>
      </c>
      <c r="E42" s="79">
        <f t="shared" si="58"/>
        <v>43.991500000000002</v>
      </c>
      <c r="F42" s="79">
        <f t="shared" si="59"/>
        <v>47.165500000000002</v>
      </c>
      <c r="G42" s="79">
        <f t="shared" si="60"/>
        <v>50.730499999999999</v>
      </c>
      <c r="H42" s="79">
        <f t="shared" si="61"/>
        <v>54.467999999999996</v>
      </c>
      <c r="I42" s="79">
        <f t="shared" si="62"/>
        <v>57.941000000000003</v>
      </c>
      <c r="J42" s="79">
        <f t="shared" si="63"/>
        <v>61.632499999999993</v>
      </c>
      <c r="K42" s="79">
        <f t="shared" si="64"/>
        <v>65.599999999999994</v>
      </c>
      <c r="L42" s="79">
        <f t="shared" si="65"/>
        <v>69.302999999999997</v>
      </c>
    </row>
    <row r="43" spans="1:19" x14ac:dyDescent="0.3">
      <c r="A43" s="63">
        <v>33</v>
      </c>
      <c r="B43" s="79">
        <f t="shared" si="55"/>
        <v>20.082999999999998</v>
      </c>
      <c r="C43" s="79">
        <f t="shared" si="56"/>
        <v>33.227499999999999</v>
      </c>
      <c r="D43" s="79">
        <f t="shared" si="57"/>
        <v>40.253999999999998</v>
      </c>
      <c r="E43" s="79">
        <f t="shared" si="58"/>
        <v>43.991500000000002</v>
      </c>
      <c r="F43" s="79">
        <f t="shared" si="59"/>
        <v>47.165500000000002</v>
      </c>
      <c r="G43" s="79">
        <f t="shared" si="60"/>
        <v>50.730499999999999</v>
      </c>
      <c r="H43" s="79">
        <f t="shared" si="61"/>
        <v>54.467999999999996</v>
      </c>
      <c r="I43" s="79">
        <f t="shared" si="62"/>
        <v>57.941000000000003</v>
      </c>
      <c r="J43" s="79">
        <f t="shared" si="63"/>
        <v>61.632499999999993</v>
      </c>
      <c r="K43" s="79">
        <f t="shared" si="64"/>
        <v>65.599999999999994</v>
      </c>
      <c r="L43" s="79">
        <f t="shared" si="65"/>
        <v>69.302999999999997</v>
      </c>
    </row>
    <row r="44" spans="1:19" x14ac:dyDescent="0.3">
      <c r="A44" s="63">
        <v>34</v>
      </c>
      <c r="B44" s="79">
        <f t="shared" si="55"/>
        <v>20.082999999999998</v>
      </c>
      <c r="C44" s="79">
        <f t="shared" si="56"/>
        <v>33.227499999999999</v>
      </c>
      <c r="D44" s="79">
        <f t="shared" si="57"/>
        <v>40.253999999999998</v>
      </c>
      <c r="E44" s="79">
        <f t="shared" si="58"/>
        <v>43.991500000000002</v>
      </c>
      <c r="F44" s="79">
        <f t="shared" si="59"/>
        <v>47.165500000000002</v>
      </c>
      <c r="G44" s="79">
        <f t="shared" si="60"/>
        <v>50.730499999999999</v>
      </c>
      <c r="H44" s="79">
        <f t="shared" si="61"/>
        <v>54.467999999999996</v>
      </c>
      <c r="I44" s="79">
        <f t="shared" si="62"/>
        <v>57.941000000000003</v>
      </c>
      <c r="J44" s="79">
        <f t="shared" si="63"/>
        <v>61.632499999999993</v>
      </c>
      <c r="K44" s="79">
        <f t="shared" si="64"/>
        <v>65.599999999999994</v>
      </c>
      <c r="L44" s="79">
        <f t="shared" si="65"/>
        <v>69.302999999999997</v>
      </c>
    </row>
    <row r="45" spans="1:19" x14ac:dyDescent="0.3">
      <c r="A45" s="63">
        <v>35</v>
      </c>
      <c r="B45" s="79">
        <f t="shared" si="55"/>
        <v>20.082999999999998</v>
      </c>
      <c r="C45" s="79">
        <f t="shared" si="56"/>
        <v>33.227499999999999</v>
      </c>
      <c r="D45" s="79">
        <f t="shared" si="57"/>
        <v>40.253999999999998</v>
      </c>
      <c r="E45" s="79">
        <f t="shared" si="58"/>
        <v>43.991500000000002</v>
      </c>
      <c r="F45" s="79">
        <f t="shared" si="59"/>
        <v>47.165500000000002</v>
      </c>
      <c r="G45" s="79">
        <f t="shared" si="60"/>
        <v>50.730499999999999</v>
      </c>
      <c r="H45" s="79">
        <f t="shared" si="61"/>
        <v>54.467999999999996</v>
      </c>
      <c r="I45" s="79">
        <f t="shared" si="62"/>
        <v>57.941000000000003</v>
      </c>
      <c r="J45" s="79">
        <f t="shared" si="63"/>
        <v>61.632499999999993</v>
      </c>
      <c r="K45" s="79">
        <f t="shared" si="64"/>
        <v>65.599999999999994</v>
      </c>
      <c r="L45" s="79">
        <f t="shared" si="65"/>
        <v>69.302999999999997</v>
      </c>
    </row>
    <row r="46" spans="1:19" x14ac:dyDescent="0.3">
      <c r="A46" s="63">
        <v>36</v>
      </c>
      <c r="B46" s="79">
        <f t="shared" si="55"/>
        <v>20.082999999999998</v>
      </c>
      <c r="C46" s="79">
        <f t="shared" si="56"/>
        <v>33.227499999999999</v>
      </c>
      <c r="D46" s="79">
        <f t="shared" si="57"/>
        <v>40.253999999999998</v>
      </c>
      <c r="E46" s="79">
        <f t="shared" si="58"/>
        <v>43.991500000000002</v>
      </c>
      <c r="F46" s="79">
        <f t="shared" si="59"/>
        <v>47.165500000000002</v>
      </c>
      <c r="G46" s="79">
        <f t="shared" si="60"/>
        <v>50.730499999999999</v>
      </c>
      <c r="H46" s="79">
        <f t="shared" si="61"/>
        <v>54.467999999999996</v>
      </c>
      <c r="I46" s="79">
        <f t="shared" si="62"/>
        <v>57.941000000000003</v>
      </c>
      <c r="J46" s="79">
        <f t="shared" si="63"/>
        <v>61.632499999999993</v>
      </c>
      <c r="K46" s="79">
        <f t="shared" si="64"/>
        <v>65.599999999999994</v>
      </c>
      <c r="L46" s="79">
        <f t="shared" si="65"/>
        <v>69.302999999999997</v>
      </c>
    </row>
    <row r="47" spans="1:19" x14ac:dyDescent="0.3">
      <c r="A47" s="63">
        <v>37</v>
      </c>
      <c r="B47" s="79">
        <f t="shared" si="55"/>
        <v>20.082999999999998</v>
      </c>
      <c r="C47" s="79">
        <f t="shared" si="56"/>
        <v>33.227499999999999</v>
      </c>
      <c r="D47" s="79">
        <f t="shared" si="57"/>
        <v>40.253999999999998</v>
      </c>
      <c r="E47" s="79">
        <f t="shared" si="58"/>
        <v>43.991500000000002</v>
      </c>
      <c r="F47" s="79">
        <f t="shared" si="59"/>
        <v>47.165500000000002</v>
      </c>
      <c r="G47" s="79">
        <f t="shared" si="60"/>
        <v>50.730499999999999</v>
      </c>
      <c r="H47" s="79">
        <f t="shared" si="61"/>
        <v>54.467999999999996</v>
      </c>
      <c r="I47" s="79">
        <f t="shared" si="62"/>
        <v>57.941000000000003</v>
      </c>
      <c r="J47" s="79">
        <f t="shared" si="63"/>
        <v>61.632499999999993</v>
      </c>
      <c r="K47" s="79">
        <f t="shared" si="64"/>
        <v>65.599999999999994</v>
      </c>
      <c r="L47" s="79">
        <f t="shared" si="65"/>
        <v>69.302999999999997</v>
      </c>
    </row>
    <row r="48" spans="1:19" x14ac:dyDescent="0.3">
      <c r="A48" s="63">
        <v>38</v>
      </c>
      <c r="B48" s="79">
        <f t="shared" si="55"/>
        <v>20.082999999999998</v>
      </c>
      <c r="C48" s="79">
        <f t="shared" si="56"/>
        <v>33.227499999999999</v>
      </c>
      <c r="D48" s="79">
        <f t="shared" si="57"/>
        <v>40.253999999999998</v>
      </c>
      <c r="E48" s="79">
        <f t="shared" si="58"/>
        <v>43.991500000000002</v>
      </c>
      <c r="F48" s="79">
        <f t="shared" si="59"/>
        <v>47.165500000000002</v>
      </c>
      <c r="G48" s="79">
        <f t="shared" si="60"/>
        <v>50.730499999999999</v>
      </c>
      <c r="H48" s="79">
        <f t="shared" si="61"/>
        <v>54.467999999999996</v>
      </c>
      <c r="I48" s="79">
        <f t="shared" si="62"/>
        <v>57.941000000000003</v>
      </c>
      <c r="J48" s="79">
        <f t="shared" si="63"/>
        <v>61.632499999999993</v>
      </c>
      <c r="K48" s="79">
        <f t="shared" si="64"/>
        <v>65.599999999999994</v>
      </c>
      <c r="L48" s="79">
        <f t="shared" si="65"/>
        <v>69.302999999999997</v>
      </c>
    </row>
    <row r="49" spans="1:12" x14ac:dyDescent="0.3">
      <c r="A49" s="64">
        <v>39</v>
      </c>
      <c r="B49" s="80">
        <f t="shared" si="55"/>
        <v>20.082999999999998</v>
      </c>
      <c r="C49" s="80">
        <f t="shared" si="56"/>
        <v>33.227499999999999</v>
      </c>
      <c r="D49" s="80">
        <f t="shared" si="57"/>
        <v>40.253999999999998</v>
      </c>
      <c r="E49" s="80">
        <f t="shared" si="58"/>
        <v>43.991500000000002</v>
      </c>
      <c r="F49" s="80">
        <f t="shared" si="59"/>
        <v>47.165500000000002</v>
      </c>
      <c r="G49" s="80">
        <f t="shared" si="60"/>
        <v>50.730499999999999</v>
      </c>
      <c r="H49" s="80">
        <f t="shared" si="61"/>
        <v>54.467999999999996</v>
      </c>
      <c r="I49" s="80">
        <f t="shared" si="62"/>
        <v>57.941000000000003</v>
      </c>
      <c r="J49" s="80">
        <f t="shared" si="63"/>
        <v>61.632499999999993</v>
      </c>
      <c r="K49" s="80">
        <f t="shared" si="64"/>
        <v>65.599999999999994</v>
      </c>
      <c r="L49" s="80">
        <f t="shared" si="65"/>
        <v>69.302999999999997</v>
      </c>
    </row>
    <row r="50" spans="1:12" x14ac:dyDescent="0.3">
      <c r="A50" s="68">
        <v>40</v>
      </c>
      <c r="B50" s="78">
        <f>19.17*1.15+1.2</f>
        <v>23.2455</v>
      </c>
      <c r="C50" s="81">
        <f>30.66*1.15+1.2</f>
        <v>36.459000000000003</v>
      </c>
      <c r="D50" s="81">
        <f>37.84*1.15+1.2</f>
        <v>44.716000000000001</v>
      </c>
      <c r="E50" s="81">
        <f>41.53*1.15+1.2</f>
        <v>48.959499999999998</v>
      </c>
      <c r="F50" s="81">
        <f>44.56*1.15+1.2</f>
        <v>52.444000000000003</v>
      </c>
      <c r="G50" s="81">
        <f>47.94*1.15+1.2</f>
        <v>56.330999999999996</v>
      </c>
      <c r="H50" s="81">
        <f>51.53*1.15+1.2</f>
        <v>60.459499999999998</v>
      </c>
      <c r="I50" s="81">
        <f>54.5*1.15+1.2</f>
        <v>63.875</v>
      </c>
      <c r="J50" s="81">
        <f>57.88*1.15+1.2</f>
        <v>67.762</v>
      </c>
      <c r="K50" s="81">
        <f>64.44*1.15+1.2</f>
        <v>75.305999999999997</v>
      </c>
      <c r="L50" s="81">
        <f>64.87*1.15+1.2</f>
        <v>75.8005</v>
      </c>
    </row>
    <row r="51" spans="1:12" x14ac:dyDescent="0.3">
      <c r="A51" s="63">
        <v>41</v>
      </c>
      <c r="B51" s="79">
        <f t="shared" ref="B51:B59" si="66">19.17*1.15+1.2</f>
        <v>23.2455</v>
      </c>
      <c r="C51" s="82">
        <f t="shared" ref="C51:C59" si="67">30.66*1.15+1.2</f>
        <v>36.459000000000003</v>
      </c>
      <c r="D51" s="82">
        <f t="shared" ref="D51:D59" si="68">37.84*1.15+1.2</f>
        <v>44.716000000000001</v>
      </c>
      <c r="E51" s="82">
        <f t="shared" ref="E51:E59" si="69">41.53*1.15+1.2</f>
        <v>48.959499999999998</v>
      </c>
      <c r="F51" s="82">
        <f t="shared" ref="F51:F59" si="70">44.56*1.15+1.2</f>
        <v>52.444000000000003</v>
      </c>
      <c r="G51" s="82">
        <f t="shared" ref="G51:G59" si="71">47.94*1.15+1.2</f>
        <v>56.330999999999996</v>
      </c>
      <c r="H51" s="82">
        <f t="shared" ref="H51:H59" si="72">51.53*1.15+1.2</f>
        <v>60.459499999999998</v>
      </c>
      <c r="I51" s="82">
        <f t="shared" ref="I51:I59" si="73">54.5*1.15+1.2</f>
        <v>63.875</v>
      </c>
      <c r="J51" s="82">
        <f t="shared" ref="J51:J59" si="74">57.88*1.15+1.2</f>
        <v>67.762</v>
      </c>
      <c r="K51" s="82">
        <f t="shared" ref="K51:K59" si="75">64.44*1.15+1.2</f>
        <v>75.305999999999997</v>
      </c>
      <c r="L51" s="82">
        <f t="shared" ref="L51:L59" si="76">64.87*1.15+1.2</f>
        <v>75.8005</v>
      </c>
    </row>
    <row r="52" spans="1:12" x14ac:dyDescent="0.3">
      <c r="A52" s="63">
        <v>42</v>
      </c>
      <c r="B52" s="79">
        <f t="shared" si="66"/>
        <v>23.2455</v>
      </c>
      <c r="C52" s="82">
        <f t="shared" si="67"/>
        <v>36.459000000000003</v>
      </c>
      <c r="D52" s="82">
        <f t="shared" si="68"/>
        <v>44.716000000000001</v>
      </c>
      <c r="E52" s="82">
        <f t="shared" si="69"/>
        <v>48.959499999999998</v>
      </c>
      <c r="F52" s="82">
        <f t="shared" si="70"/>
        <v>52.444000000000003</v>
      </c>
      <c r="G52" s="82">
        <f t="shared" si="71"/>
        <v>56.330999999999996</v>
      </c>
      <c r="H52" s="82">
        <f t="shared" si="72"/>
        <v>60.459499999999998</v>
      </c>
      <c r="I52" s="82">
        <f t="shared" si="73"/>
        <v>63.875</v>
      </c>
      <c r="J52" s="82">
        <f t="shared" si="74"/>
        <v>67.762</v>
      </c>
      <c r="K52" s="82">
        <f t="shared" si="75"/>
        <v>75.305999999999997</v>
      </c>
      <c r="L52" s="82">
        <f t="shared" si="76"/>
        <v>75.8005</v>
      </c>
    </row>
    <row r="53" spans="1:12" x14ac:dyDescent="0.3">
      <c r="A53" s="63">
        <v>43</v>
      </c>
      <c r="B53" s="79">
        <f t="shared" si="66"/>
        <v>23.2455</v>
      </c>
      <c r="C53" s="82">
        <f t="shared" si="67"/>
        <v>36.459000000000003</v>
      </c>
      <c r="D53" s="82">
        <f t="shared" si="68"/>
        <v>44.716000000000001</v>
      </c>
      <c r="E53" s="82">
        <f t="shared" si="69"/>
        <v>48.959499999999998</v>
      </c>
      <c r="F53" s="82">
        <f t="shared" si="70"/>
        <v>52.444000000000003</v>
      </c>
      <c r="G53" s="82">
        <f t="shared" si="71"/>
        <v>56.330999999999996</v>
      </c>
      <c r="H53" s="82">
        <f t="shared" si="72"/>
        <v>60.459499999999998</v>
      </c>
      <c r="I53" s="82">
        <f t="shared" si="73"/>
        <v>63.875</v>
      </c>
      <c r="J53" s="82">
        <f t="shared" si="74"/>
        <v>67.762</v>
      </c>
      <c r="K53" s="82">
        <f t="shared" si="75"/>
        <v>75.305999999999997</v>
      </c>
      <c r="L53" s="82">
        <f t="shared" si="76"/>
        <v>75.8005</v>
      </c>
    </row>
    <row r="54" spans="1:12" x14ac:dyDescent="0.3">
      <c r="A54" s="63">
        <v>44</v>
      </c>
      <c r="B54" s="79">
        <f t="shared" si="66"/>
        <v>23.2455</v>
      </c>
      <c r="C54" s="82">
        <f t="shared" si="67"/>
        <v>36.459000000000003</v>
      </c>
      <c r="D54" s="82">
        <f t="shared" si="68"/>
        <v>44.716000000000001</v>
      </c>
      <c r="E54" s="82">
        <f t="shared" si="69"/>
        <v>48.959499999999998</v>
      </c>
      <c r="F54" s="82">
        <f t="shared" si="70"/>
        <v>52.444000000000003</v>
      </c>
      <c r="G54" s="82">
        <f t="shared" si="71"/>
        <v>56.330999999999996</v>
      </c>
      <c r="H54" s="82">
        <f t="shared" si="72"/>
        <v>60.459499999999998</v>
      </c>
      <c r="I54" s="82">
        <f t="shared" si="73"/>
        <v>63.875</v>
      </c>
      <c r="J54" s="82">
        <f t="shared" si="74"/>
        <v>67.762</v>
      </c>
      <c r="K54" s="82">
        <f t="shared" si="75"/>
        <v>75.305999999999997</v>
      </c>
      <c r="L54" s="82">
        <f t="shared" si="76"/>
        <v>75.8005</v>
      </c>
    </row>
    <row r="55" spans="1:12" x14ac:dyDescent="0.3">
      <c r="A55" s="63">
        <v>45</v>
      </c>
      <c r="B55" s="79">
        <f t="shared" si="66"/>
        <v>23.2455</v>
      </c>
      <c r="C55" s="82">
        <f t="shared" si="67"/>
        <v>36.459000000000003</v>
      </c>
      <c r="D55" s="82">
        <f t="shared" si="68"/>
        <v>44.716000000000001</v>
      </c>
      <c r="E55" s="82">
        <f t="shared" si="69"/>
        <v>48.959499999999998</v>
      </c>
      <c r="F55" s="82">
        <f t="shared" si="70"/>
        <v>52.444000000000003</v>
      </c>
      <c r="G55" s="82">
        <f t="shared" si="71"/>
        <v>56.330999999999996</v>
      </c>
      <c r="H55" s="82">
        <f t="shared" si="72"/>
        <v>60.459499999999998</v>
      </c>
      <c r="I55" s="82">
        <f t="shared" si="73"/>
        <v>63.875</v>
      </c>
      <c r="J55" s="82">
        <f t="shared" si="74"/>
        <v>67.762</v>
      </c>
      <c r="K55" s="82">
        <f t="shared" si="75"/>
        <v>75.305999999999997</v>
      </c>
      <c r="L55" s="82">
        <f t="shared" si="76"/>
        <v>75.8005</v>
      </c>
    </row>
    <row r="56" spans="1:12" x14ac:dyDescent="0.3">
      <c r="A56" s="63">
        <v>46</v>
      </c>
      <c r="B56" s="79">
        <f t="shared" si="66"/>
        <v>23.2455</v>
      </c>
      <c r="C56" s="82">
        <f t="shared" si="67"/>
        <v>36.459000000000003</v>
      </c>
      <c r="D56" s="82">
        <f t="shared" si="68"/>
        <v>44.716000000000001</v>
      </c>
      <c r="E56" s="82">
        <f t="shared" si="69"/>
        <v>48.959499999999998</v>
      </c>
      <c r="F56" s="82">
        <f t="shared" si="70"/>
        <v>52.444000000000003</v>
      </c>
      <c r="G56" s="82">
        <f t="shared" si="71"/>
        <v>56.330999999999996</v>
      </c>
      <c r="H56" s="82">
        <f t="shared" si="72"/>
        <v>60.459499999999998</v>
      </c>
      <c r="I56" s="82">
        <f t="shared" si="73"/>
        <v>63.875</v>
      </c>
      <c r="J56" s="82">
        <f t="shared" si="74"/>
        <v>67.762</v>
      </c>
      <c r="K56" s="82">
        <f t="shared" si="75"/>
        <v>75.305999999999997</v>
      </c>
      <c r="L56" s="82">
        <f t="shared" si="76"/>
        <v>75.8005</v>
      </c>
    </row>
    <row r="57" spans="1:12" x14ac:dyDescent="0.3">
      <c r="A57" s="63">
        <v>47</v>
      </c>
      <c r="B57" s="79">
        <f t="shared" si="66"/>
        <v>23.2455</v>
      </c>
      <c r="C57" s="82">
        <f t="shared" si="67"/>
        <v>36.459000000000003</v>
      </c>
      <c r="D57" s="82">
        <f t="shared" si="68"/>
        <v>44.716000000000001</v>
      </c>
      <c r="E57" s="82">
        <f t="shared" si="69"/>
        <v>48.959499999999998</v>
      </c>
      <c r="F57" s="82">
        <f t="shared" si="70"/>
        <v>52.444000000000003</v>
      </c>
      <c r="G57" s="82">
        <f t="shared" si="71"/>
        <v>56.330999999999996</v>
      </c>
      <c r="H57" s="82">
        <f t="shared" si="72"/>
        <v>60.459499999999998</v>
      </c>
      <c r="I57" s="82">
        <f t="shared" si="73"/>
        <v>63.875</v>
      </c>
      <c r="J57" s="82">
        <f t="shared" si="74"/>
        <v>67.762</v>
      </c>
      <c r="K57" s="82">
        <f t="shared" si="75"/>
        <v>75.305999999999997</v>
      </c>
      <c r="L57" s="82">
        <f t="shared" si="76"/>
        <v>75.8005</v>
      </c>
    </row>
    <row r="58" spans="1:12" x14ac:dyDescent="0.3">
      <c r="A58" s="63">
        <v>48</v>
      </c>
      <c r="B58" s="79">
        <f t="shared" si="66"/>
        <v>23.2455</v>
      </c>
      <c r="C58" s="82">
        <f t="shared" si="67"/>
        <v>36.459000000000003</v>
      </c>
      <c r="D58" s="82">
        <f t="shared" si="68"/>
        <v>44.716000000000001</v>
      </c>
      <c r="E58" s="82">
        <f t="shared" si="69"/>
        <v>48.959499999999998</v>
      </c>
      <c r="F58" s="82">
        <f t="shared" si="70"/>
        <v>52.444000000000003</v>
      </c>
      <c r="G58" s="82">
        <f t="shared" si="71"/>
        <v>56.330999999999996</v>
      </c>
      <c r="H58" s="82">
        <f t="shared" si="72"/>
        <v>60.459499999999998</v>
      </c>
      <c r="I58" s="82">
        <f t="shared" si="73"/>
        <v>63.875</v>
      </c>
      <c r="J58" s="82">
        <f t="shared" si="74"/>
        <v>67.762</v>
      </c>
      <c r="K58" s="82">
        <f t="shared" si="75"/>
        <v>75.305999999999997</v>
      </c>
      <c r="L58" s="82">
        <f t="shared" si="76"/>
        <v>75.8005</v>
      </c>
    </row>
    <row r="59" spans="1:12" x14ac:dyDescent="0.3">
      <c r="A59" s="64">
        <v>49</v>
      </c>
      <c r="B59" s="80">
        <f t="shared" si="66"/>
        <v>23.2455</v>
      </c>
      <c r="C59" s="83">
        <f t="shared" si="67"/>
        <v>36.459000000000003</v>
      </c>
      <c r="D59" s="83">
        <f t="shared" si="68"/>
        <v>44.716000000000001</v>
      </c>
      <c r="E59" s="83">
        <f t="shared" si="69"/>
        <v>48.959499999999998</v>
      </c>
      <c r="F59" s="83">
        <f t="shared" si="70"/>
        <v>52.444000000000003</v>
      </c>
      <c r="G59" s="83">
        <f t="shared" si="71"/>
        <v>56.330999999999996</v>
      </c>
      <c r="H59" s="83">
        <f t="shared" si="72"/>
        <v>60.459499999999998</v>
      </c>
      <c r="I59" s="83">
        <f t="shared" si="73"/>
        <v>63.875</v>
      </c>
      <c r="J59" s="83">
        <f t="shared" si="74"/>
        <v>67.762</v>
      </c>
      <c r="K59" s="83">
        <f t="shared" si="75"/>
        <v>75.305999999999997</v>
      </c>
      <c r="L59" s="83">
        <f t="shared" si="76"/>
        <v>75.8005</v>
      </c>
    </row>
    <row r="60" spans="1:12" x14ac:dyDescent="0.3">
      <c r="A60" s="68">
        <v>50</v>
      </c>
      <c r="B60" s="78">
        <f>20.84*1.15+1.2</f>
        <v>25.165999999999997</v>
      </c>
      <c r="C60" s="81">
        <f>33.46*1.15+1.2</f>
        <v>39.679000000000002</v>
      </c>
      <c r="D60" s="81">
        <f>41.71*1.15+1.2</f>
        <v>49.166499999999999</v>
      </c>
      <c r="E60" s="81">
        <f>45.84*1.15+1.2</f>
        <v>53.916000000000004</v>
      </c>
      <c r="F60" s="81">
        <f>49.14*1.15+1.2</f>
        <v>57.710999999999999</v>
      </c>
      <c r="G60" s="81">
        <f>52.79*1.15+1.2</f>
        <v>61.908499999999997</v>
      </c>
      <c r="H60" s="81">
        <f>56.39*1.15+1.2</f>
        <v>66.048500000000004</v>
      </c>
      <c r="I60" s="81">
        <f>59.68*1.15+1.2</f>
        <v>69.831999999999994</v>
      </c>
      <c r="J60" s="81">
        <f>63.18*1.15+1.2</f>
        <v>73.856999999999999</v>
      </c>
      <c r="K60" s="81">
        <f>66.87*1.15+1.2</f>
        <v>78.100499999999997</v>
      </c>
      <c r="L60" s="81">
        <f>70.51*1.15+1.2</f>
        <v>82.286500000000004</v>
      </c>
    </row>
    <row r="61" spans="1:12" x14ac:dyDescent="0.3">
      <c r="A61" s="63">
        <v>51</v>
      </c>
      <c r="B61" s="79">
        <f t="shared" ref="B61:B69" si="77">20.84*1.15+1.2</f>
        <v>25.165999999999997</v>
      </c>
      <c r="C61" s="82">
        <f t="shared" ref="C61:C69" si="78">33.46*1.15+1.2</f>
        <v>39.679000000000002</v>
      </c>
      <c r="D61" s="82">
        <f t="shared" ref="D61:D69" si="79">41.71*1.15+1.2</f>
        <v>49.166499999999999</v>
      </c>
      <c r="E61" s="82">
        <f t="shared" ref="E61:E69" si="80">45.84*1.15+1.2</f>
        <v>53.916000000000004</v>
      </c>
      <c r="F61" s="82">
        <f t="shared" ref="F61:F69" si="81">49.14*1.15+1.2</f>
        <v>57.710999999999999</v>
      </c>
      <c r="G61" s="82">
        <f t="shared" ref="G61:G69" si="82">52.79*1.15+1.2</f>
        <v>61.908499999999997</v>
      </c>
      <c r="H61" s="82">
        <f t="shared" ref="H61:H69" si="83">56.39*1.15+1.2</f>
        <v>66.048500000000004</v>
      </c>
      <c r="I61" s="82">
        <f t="shared" ref="I61:I69" si="84">59.68*1.15+1.2</f>
        <v>69.831999999999994</v>
      </c>
      <c r="J61" s="82">
        <f t="shared" ref="J61:J69" si="85">63.18*1.15+1.2</f>
        <v>73.856999999999999</v>
      </c>
      <c r="K61" s="82">
        <f t="shared" ref="K61:K69" si="86">66.87*1.15+1.2</f>
        <v>78.100499999999997</v>
      </c>
      <c r="L61" s="82">
        <f t="shared" ref="L61:L69" si="87">70.51*1.15+1.2</f>
        <v>82.286500000000004</v>
      </c>
    </row>
    <row r="62" spans="1:12" x14ac:dyDescent="0.3">
      <c r="A62" s="63">
        <v>52</v>
      </c>
      <c r="B62" s="79">
        <f t="shared" si="77"/>
        <v>25.165999999999997</v>
      </c>
      <c r="C62" s="82">
        <f t="shared" si="78"/>
        <v>39.679000000000002</v>
      </c>
      <c r="D62" s="82">
        <f t="shared" si="79"/>
        <v>49.166499999999999</v>
      </c>
      <c r="E62" s="82">
        <f t="shared" si="80"/>
        <v>53.916000000000004</v>
      </c>
      <c r="F62" s="82">
        <f t="shared" si="81"/>
        <v>57.710999999999999</v>
      </c>
      <c r="G62" s="82">
        <f t="shared" si="82"/>
        <v>61.908499999999997</v>
      </c>
      <c r="H62" s="82">
        <f t="shared" si="83"/>
        <v>66.048500000000004</v>
      </c>
      <c r="I62" s="82">
        <f t="shared" si="84"/>
        <v>69.831999999999994</v>
      </c>
      <c r="J62" s="82">
        <f t="shared" si="85"/>
        <v>73.856999999999999</v>
      </c>
      <c r="K62" s="82">
        <f t="shared" si="86"/>
        <v>78.100499999999997</v>
      </c>
      <c r="L62" s="82">
        <f t="shared" si="87"/>
        <v>82.286500000000004</v>
      </c>
    </row>
    <row r="63" spans="1:12" x14ac:dyDescent="0.3">
      <c r="A63" s="63">
        <v>53</v>
      </c>
      <c r="B63" s="79">
        <f t="shared" si="77"/>
        <v>25.165999999999997</v>
      </c>
      <c r="C63" s="82">
        <f t="shared" si="78"/>
        <v>39.679000000000002</v>
      </c>
      <c r="D63" s="82">
        <f t="shared" si="79"/>
        <v>49.166499999999999</v>
      </c>
      <c r="E63" s="82">
        <f t="shared" si="80"/>
        <v>53.916000000000004</v>
      </c>
      <c r="F63" s="82">
        <f t="shared" si="81"/>
        <v>57.710999999999999</v>
      </c>
      <c r="G63" s="82">
        <f t="shared" si="82"/>
        <v>61.908499999999997</v>
      </c>
      <c r="H63" s="82">
        <f t="shared" si="83"/>
        <v>66.048500000000004</v>
      </c>
      <c r="I63" s="82">
        <f t="shared" si="84"/>
        <v>69.831999999999994</v>
      </c>
      <c r="J63" s="82">
        <f t="shared" si="85"/>
        <v>73.856999999999999</v>
      </c>
      <c r="K63" s="82">
        <f t="shared" si="86"/>
        <v>78.100499999999997</v>
      </c>
      <c r="L63" s="82">
        <f t="shared" si="87"/>
        <v>82.286500000000004</v>
      </c>
    </row>
    <row r="64" spans="1:12" x14ac:dyDescent="0.3">
      <c r="A64" s="63">
        <v>54</v>
      </c>
      <c r="B64" s="79">
        <f t="shared" si="77"/>
        <v>25.165999999999997</v>
      </c>
      <c r="C64" s="82">
        <f t="shared" si="78"/>
        <v>39.679000000000002</v>
      </c>
      <c r="D64" s="82">
        <f t="shared" si="79"/>
        <v>49.166499999999999</v>
      </c>
      <c r="E64" s="82">
        <f t="shared" si="80"/>
        <v>53.916000000000004</v>
      </c>
      <c r="F64" s="82">
        <f t="shared" si="81"/>
        <v>57.710999999999999</v>
      </c>
      <c r="G64" s="82">
        <f t="shared" si="82"/>
        <v>61.908499999999997</v>
      </c>
      <c r="H64" s="82">
        <f t="shared" si="83"/>
        <v>66.048500000000004</v>
      </c>
      <c r="I64" s="82">
        <f t="shared" si="84"/>
        <v>69.831999999999994</v>
      </c>
      <c r="J64" s="82">
        <f t="shared" si="85"/>
        <v>73.856999999999999</v>
      </c>
      <c r="K64" s="82">
        <f t="shared" si="86"/>
        <v>78.100499999999997</v>
      </c>
      <c r="L64" s="82">
        <f t="shared" si="87"/>
        <v>82.286500000000004</v>
      </c>
    </row>
    <row r="65" spans="1:12" x14ac:dyDescent="0.3">
      <c r="A65" s="63">
        <v>55</v>
      </c>
      <c r="B65" s="79">
        <f t="shared" si="77"/>
        <v>25.165999999999997</v>
      </c>
      <c r="C65" s="82">
        <f t="shared" si="78"/>
        <v>39.679000000000002</v>
      </c>
      <c r="D65" s="82">
        <f t="shared" si="79"/>
        <v>49.166499999999999</v>
      </c>
      <c r="E65" s="82">
        <f t="shared" si="80"/>
        <v>53.916000000000004</v>
      </c>
      <c r="F65" s="82">
        <f t="shared" si="81"/>
        <v>57.710999999999999</v>
      </c>
      <c r="G65" s="82">
        <f t="shared" si="82"/>
        <v>61.908499999999997</v>
      </c>
      <c r="H65" s="82">
        <f t="shared" si="83"/>
        <v>66.048500000000004</v>
      </c>
      <c r="I65" s="82">
        <f t="shared" si="84"/>
        <v>69.831999999999994</v>
      </c>
      <c r="J65" s="82">
        <f t="shared" si="85"/>
        <v>73.856999999999999</v>
      </c>
      <c r="K65" s="82">
        <f t="shared" si="86"/>
        <v>78.100499999999997</v>
      </c>
      <c r="L65" s="82">
        <f t="shared" si="87"/>
        <v>82.286500000000004</v>
      </c>
    </row>
    <row r="66" spans="1:12" x14ac:dyDescent="0.3">
      <c r="A66" s="63">
        <v>56</v>
      </c>
      <c r="B66" s="79">
        <f t="shared" si="77"/>
        <v>25.165999999999997</v>
      </c>
      <c r="C66" s="82">
        <f t="shared" si="78"/>
        <v>39.679000000000002</v>
      </c>
      <c r="D66" s="82">
        <f t="shared" si="79"/>
        <v>49.166499999999999</v>
      </c>
      <c r="E66" s="82">
        <f t="shared" si="80"/>
        <v>53.916000000000004</v>
      </c>
      <c r="F66" s="82">
        <f t="shared" si="81"/>
        <v>57.710999999999999</v>
      </c>
      <c r="G66" s="82">
        <f t="shared" si="82"/>
        <v>61.908499999999997</v>
      </c>
      <c r="H66" s="82">
        <f t="shared" si="83"/>
        <v>66.048500000000004</v>
      </c>
      <c r="I66" s="82">
        <f t="shared" si="84"/>
        <v>69.831999999999994</v>
      </c>
      <c r="J66" s="82">
        <f t="shared" si="85"/>
        <v>73.856999999999999</v>
      </c>
      <c r="K66" s="82">
        <f t="shared" si="86"/>
        <v>78.100499999999997</v>
      </c>
      <c r="L66" s="82">
        <f t="shared" si="87"/>
        <v>82.286500000000004</v>
      </c>
    </row>
    <row r="67" spans="1:12" x14ac:dyDescent="0.3">
      <c r="A67" s="63">
        <v>57</v>
      </c>
      <c r="B67" s="79">
        <f t="shared" si="77"/>
        <v>25.165999999999997</v>
      </c>
      <c r="C67" s="82">
        <f t="shared" si="78"/>
        <v>39.679000000000002</v>
      </c>
      <c r="D67" s="82">
        <f t="shared" si="79"/>
        <v>49.166499999999999</v>
      </c>
      <c r="E67" s="82">
        <f t="shared" si="80"/>
        <v>53.916000000000004</v>
      </c>
      <c r="F67" s="82">
        <f t="shared" si="81"/>
        <v>57.710999999999999</v>
      </c>
      <c r="G67" s="82">
        <f t="shared" si="82"/>
        <v>61.908499999999997</v>
      </c>
      <c r="H67" s="82">
        <f t="shared" si="83"/>
        <v>66.048500000000004</v>
      </c>
      <c r="I67" s="82">
        <f t="shared" si="84"/>
        <v>69.831999999999994</v>
      </c>
      <c r="J67" s="82">
        <f t="shared" si="85"/>
        <v>73.856999999999999</v>
      </c>
      <c r="K67" s="82">
        <f t="shared" si="86"/>
        <v>78.100499999999997</v>
      </c>
      <c r="L67" s="82">
        <f t="shared" si="87"/>
        <v>82.286500000000004</v>
      </c>
    </row>
    <row r="68" spans="1:12" x14ac:dyDescent="0.3">
      <c r="A68" s="63">
        <v>58</v>
      </c>
      <c r="B68" s="79">
        <f t="shared" si="77"/>
        <v>25.165999999999997</v>
      </c>
      <c r="C68" s="82">
        <f t="shared" si="78"/>
        <v>39.679000000000002</v>
      </c>
      <c r="D68" s="82">
        <f t="shared" si="79"/>
        <v>49.166499999999999</v>
      </c>
      <c r="E68" s="82">
        <f t="shared" si="80"/>
        <v>53.916000000000004</v>
      </c>
      <c r="F68" s="82">
        <f t="shared" si="81"/>
        <v>57.710999999999999</v>
      </c>
      <c r="G68" s="82">
        <f t="shared" si="82"/>
        <v>61.908499999999997</v>
      </c>
      <c r="H68" s="82">
        <f t="shared" si="83"/>
        <v>66.048500000000004</v>
      </c>
      <c r="I68" s="82">
        <f t="shared" si="84"/>
        <v>69.831999999999994</v>
      </c>
      <c r="J68" s="82">
        <f t="shared" si="85"/>
        <v>73.856999999999999</v>
      </c>
      <c r="K68" s="82">
        <f t="shared" si="86"/>
        <v>78.100499999999997</v>
      </c>
      <c r="L68" s="82">
        <f t="shared" si="87"/>
        <v>82.286500000000004</v>
      </c>
    </row>
    <row r="69" spans="1:12" x14ac:dyDescent="0.3">
      <c r="A69" s="64">
        <v>59</v>
      </c>
      <c r="B69" s="80">
        <f t="shared" si="77"/>
        <v>25.165999999999997</v>
      </c>
      <c r="C69" s="83">
        <f t="shared" si="78"/>
        <v>39.679000000000002</v>
      </c>
      <c r="D69" s="83">
        <f t="shared" si="79"/>
        <v>49.166499999999999</v>
      </c>
      <c r="E69" s="83">
        <f t="shared" si="80"/>
        <v>53.916000000000004</v>
      </c>
      <c r="F69" s="83">
        <f t="shared" si="81"/>
        <v>57.710999999999999</v>
      </c>
      <c r="G69" s="83">
        <f t="shared" si="82"/>
        <v>61.908499999999997</v>
      </c>
      <c r="H69" s="83">
        <f t="shared" si="83"/>
        <v>66.048500000000004</v>
      </c>
      <c r="I69" s="83">
        <f t="shared" si="84"/>
        <v>69.831999999999994</v>
      </c>
      <c r="J69" s="83">
        <f t="shared" si="85"/>
        <v>73.856999999999999</v>
      </c>
      <c r="K69" s="83">
        <f t="shared" si="86"/>
        <v>78.100499999999997</v>
      </c>
      <c r="L69" s="83">
        <f t="shared" si="87"/>
        <v>82.286500000000004</v>
      </c>
    </row>
    <row r="70" spans="1:12" x14ac:dyDescent="0.3">
      <c r="A70" s="68">
        <v>60</v>
      </c>
      <c r="B70" s="78">
        <f>22.52*1.15+1.2</f>
        <v>27.097999999999995</v>
      </c>
      <c r="C70" s="81">
        <f>36.27*1.15+1.2</f>
        <v>42.910500000000006</v>
      </c>
      <c r="D70" s="81">
        <f>45.84*1.15+1.2</f>
        <v>53.916000000000004</v>
      </c>
      <c r="E70" s="81">
        <f>50.14*1.15+1.2</f>
        <v>58.860999999999997</v>
      </c>
      <c r="F70" s="81">
        <f>53.74*1.15+1.2</f>
        <v>63.000999999999998</v>
      </c>
      <c r="G70" s="81">
        <f>57.65*1.15+1.2</f>
        <v>67.497500000000002</v>
      </c>
      <c r="H70" s="81">
        <f>61.44*1.15+1.2</f>
        <v>71.855999999999995</v>
      </c>
      <c r="I70" s="81">
        <f>64.86*1.15+1.2</f>
        <v>75.789000000000001</v>
      </c>
      <c r="J70" s="81">
        <f>68.49*1.15+1.2</f>
        <v>79.963499999999996</v>
      </c>
      <c r="K70" s="81">
        <f>72.32*1.15+1.2</f>
        <v>84.367999999999995</v>
      </c>
      <c r="L70" s="81">
        <f>76.14*1.15+1.2</f>
        <v>88.760999999999996</v>
      </c>
    </row>
    <row r="71" spans="1:12" x14ac:dyDescent="0.3">
      <c r="A71" s="63">
        <v>61</v>
      </c>
      <c r="B71" s="79">
        <f t="shared" ref="B71:B79" si="88">22.52*1.15+1.2</f>
        <v>27.097999999999995</v>
      </c>
      <c r="C71" s="82">
        <f t="shared" ref="C71:C79" si="89">36.27*1.15+1.2</f>
        <v>42.910500000000006</v>
      </c>
      <c r="D71" s="82">
        <f t="shared" ref="D71:D79" si="90">45.84*1.15+1.2</f>
        <v>53.916000000000004</v>
      </c>
      <c r="E71" s="82">
        <f t="shared" ref="E71:E79" si="91">50.14*1.15+1.2</f>
        <v>58.860999999999997</v>
      </c>
      <c r="F71" s="82">
        <f t="shared" ref="F71:F79" si="92">53.74*1.15+1.2</f>
        <v>63.000999999999998</v>
      </c>
      <c r="G71" s="82">
        <f t="shared" ref="G71:G79" si="93">57.65*1.15+1.2</f>
        <v>67.497500000000002</v>
      </c>
      <c r="H71" s="82">
        <f t="shared" ref="H71:H79" si="94">61.44*1.15+1.2</f>
        <v>71.855999999999995</v>
      </c>
      <c r="I71" s="82">
        <f t="shared" ref="I71:I79" si="95">64.86*1.15+1.2</f>
        <v>75.789000000000001</v>
      </c>
      <c r="J71" s="82">
        <f t="shared" ref="J71:J79" si="96">68.49*1.15+1.2</f>
        <v>79.963499999999996</v>
      </c>
      <c r="K71" s="82">
        <f t="shared" ref="K71:K79" si="97">72.32*1.15+1.2</f>
        <v>84.367999999999995</v>
      </c>
      <c r="L71" s="82">
        <f t="shared" ref="L71:L79" si="98">76.14*1.15+1.2</f>
        <v>88.760999999999996</v>
      </c>
    </row>
    <row r="72" spans="1:12" x14ac:dyDescent="0.3">
      <c r="A72" s="63">
        <v>62</v>
      </c>
      <c r="B72" s="79">
        <f t="shared" si="88"/>
        <v>27.097999999999995</v>
      </c>
      <c r="C72" s="82">
        <f t="shared" si="89"/>
        <v>42.910500000000006</v>
      </c>
      <c r="D72" s="82">
        <f t="shared" si="90"/>
        <v>53.916000000000004</v>
      </c>
      <c r="E72" s="82">
        <f t="shared" si="91"/>
        <v>58.860999999999997</v>
      </c>
      <c r="F72" s="82">
        <f t="shared" si="92"/>
        <v>63.000999999999998</v>
      </c>
      <c r="G72" s="82">
        <f t="shared" si="93"/>
        <v>67.497500000000002</v>
      </c>
      <c r="H72" s="82">
        <f t="shared" si="94"/>
        <v>71.855999999999995</v>
      </c>
      <c r="I72" s="82">
        <f t="shared" si="95"/>
        <v>75.789000000000001</v>
      </c>
      <c r="J72" s="82">
        <f t="shared" si="96"/>
        <v>79.963499999999996</v>
      </c>
      <c r="K72" s="82">
        <f t="shared" si="97"/>
        <v>84.367999999999995</v>
      </c>
      <c r="L72" s="82">
        <f t="shared" si="98"/>
        <v>88.760999999999996</v>
      </c>
    </row>
    <row r="73" spans="1:12" x14ac:dyDescent="0.3">
      <c r="A73" s="63">
        <v>63</v>
      </c>
      <c r="B73" s="79">
        <f t="shared" si="88"/>
        <v>27.097999999999995</v>
      </c>
      <c r="C73" s="82">
        <f t="shared" si="89"/>
        <v>42.910500000000006</v>
      </c>
      <c r="D73" s="82">
        <f t="shared" si="90"/>
        <v>53.916000000000004</v>
      </c>
      <c r="E73" s="82">
        <f t="shared" si="91"/>
        <v>58.860999999999997</v>
      </c>
      <c r="F73" s="82">
        <f t="shared" si="92"/>
        <v>63.000999999999998</v>
      </c>
      <c r="G73" s="82">
        <f t="shared" si="93"/>
        <v>67.497500000000002</v>
      </c>
      <c r="H73" s="82">
        <f t="shared" si="94"/>
        <v>71.855999999999995</v>
      </c>
      <c r="I73" s="82">
        <f t="shared" si="95"/>
        <v>75.789000000000001</v>
      </c>
      <c r="J73" s="82">
        <f t="shared" si="96"/>
        <v>79.963499999999996</v>
      </c>
      <c r="K73" s="82">
        <f t="shared" si="97"/>
        <v>84.367999999999995</v>
      </c>
      <c r="L73" s="82">
        <f t="shared" si="98"/>
        <v>88.760999999999996</v>
      </c>
    </row>
    <row r="74" spans="1:12" x14ac:dyDescent="0.3">
      <c r="A74" s="63">
        <v>64</v>
      </c>
      <c r="B74" s="79">
        <f t="shared" si="88"/>
        <v>27.097999999999995</v>
      </c>
      <c r="C74" s="82">
        <f t="shared" si="89"/>
        <v>42.910500000000006</v>
      </c>
      <c r="D74" s="82">
        <f t="shared" si="90"/>
        <v>53.916000000000004</v>
      </c>
      <c r="E74" s="82">
        <f t="shared" si="91"/>
        <v>58.860999999999997</v>
      </c>
      <c r="F74" s="82">
        <f t="shared" si="92"/>
        <v>63.000999999999998</v>
      </c>
      <c r="G74" s="82">
        <f t="shared" si="93"/>
        <v>67.497500000000002</v>
      </c>
      <c r="H74" s="82">
        <f t="shared" si="94"/>
        <v>71.855999999999995</v>
      </c>
      <c r="I74" s="82">
        <f t="shared" si="95"/>
        <v>75.789000000000001</v>
      </c>
      <c r="J74" s="82">
        <f t="shared" si="96"/>
        <v>79.963499999999996</v>
      </c>
      <c r="K74" s="82">
        <f t="shared" si="97"/>
        <v>84.367999999999995</v>
      </c>
      <c r="L74" s="82">
        <f t="shared" si="98"/>
        <v>88.760999999999996</v>
      </c>
    </row>
    <row r="75" spans="1:12" x14ac:dyDescent="0.3">
      <c r="A75" s="63">
        <v>65</v>
      </c>
      <c r="B75" s="79">
        <f t="shared" si="88"/>
        <v>27.097999999999995</v>
      </c>
      <c r="C75" s="82">
        <f t="shared" si="89"/>
        <v>42.910500000000006</v>
      </c>
      <c r="D75" s="82">
        <f t="shared" si="90"/>
        <v>53.916000000000004</v>
      </c>
      <c r="E75" s="82">
        <f t="shared" si="91"/>
        <v>58.860999999999997</v>
      </c>
      <c r="F75" s="82">
        <f t="shared" si="92"/>
        <v>63.000999999999998</v>
      </c>
      <c r="G75" s="82">
        <f t="shared" si="93"/>
        <v>67.497500000000002</v>
      </c>
      <c r="H75" s="82">
        <f t="shared" si="94"/>
        <v>71.855999999999995</v>
      </c>
      <c r="I75" s="82">
        <f t="shared" si="95"/>
        <v>75.789000000000001</v>
      </c>
      <c r="J75" s="82">
        <f t="shared" si="96"/>
        <v>79.963499999999996</v>
      </c>
      <c r="K75" s="82">
        <f t="shared" si="97"/>
        <v>84.367999999999995</v>
      </c>
      <c r="L75" s="82">
        <f t="shared" si="98"/>
        <v>88.760999999999996</v>
      </c>
    </row>
    <row r="76" spans="1:12" x14ac:dyDescent="0.3">
      <c r="A76" s="63">
        <v>66</v>
      </c>
      <c r="B76" s="79">
        <f t="shared" si="88"/>
        <v>27.097999999999995</v>
      </c>
      <c r="C76" s="82">
        <f t="shared" si="89"/>
        <v>42.910500000000006</v>
      </c>
      <c r="D76" s="82">
        <f t="shared" si="90"/>
        <v>53.916000000000004</v>
      </c>
      <c r="E76" s="82">
        <f t="shared" si="91"/>
        <v>58.860999999999997</v>
      </c>
      <c r="F76" s="82">
        <f t="shared" si="92"/>
        <v>63.000999999999998</v>
      </c>
      <c r="G76" s="82">
        <f t="shared" si="93"/>
        <v>67.497500000000002</v>
      </c>
      <c r="H76" s="82">
        <f t="shared" si="94"/>
        <v>71.855999999999995</v>
      </c>
      <c r="I76" s="82">
        <f t="shared" si="95"/>
        <v>75.789000000000001</v>
      </c>
      <c r="J76" s="82">
        <f t="shared" si="96"/>
        <v>79.963499999999996</v>
      </c>
      <c r="K76" s="82">
        <f t="shared" si="97"/>
        <v>84.367999999999995</v>
      </c>
      <c r="L76" s="82">
        <f t="shared" si="98"/>
        <v>88.760999999999996</v>
      </c>
    </row>
    <row r="77" spans="1:12" x14ac:dyDescent="0.3">
      <c r="A77" s="63">
        <v>67</v>
      </c>
      <c r="B77" s="79">
        <f t="shared" si="88"/>
        <v>27.097999999999995</v>
      </c>
      <c r="C77" s="82">
        <f t="shared" si="89"/>
        <v>42.910500000000006</v>
      </c>
      <c r="D77" s="82">
        <f t="shared" si="90"/>
        <v>53.916000000000004</v>
      </c>
      <c r="E77" s="82">
        <f t="shared" si="91"/>
        <v>58.860999999999997</v>
      </c>
      <c r="F77" s="82">
        <f t="shared" si="92"/>
        <v>63.000999999999998</v>
      </c>
      <c r="G77" s="82">
        <f t="shared" si="93"/>
        <v>67.497500000000002</v>
      </c>
      <c r="H77" s="82">
        <f t="shared" si="94"/>
        <v>71.855999999999995</v>
      </c>
      <c r="I77" s="82">
        <f t="shared" si="95"/>
        <v>75.789000000000001</v>
      </c>
      <c r="J77" s="82">
        <f t="shared" si="96"/>
        <v>79.963499999999996</v>
      </c>
      <c r="K77" s="82">
        <f t="shared" si="97"/>
        <v>84.367999999999995</v>
      </c>
      <c r="L77" s="82">
        <f t="shared" si="98"/>
        <v>88.760999999999996</v>
      </c>
    </row>
    <row r="78" spans="1:12" x14ac:dyDescent="0.3">
      <c r="A78" s="63">
        <v>68</v>
      </c>
      <c r="B78" s="79">
        <f t="shared" si="88"/>
        <v>27.097999999999995</v>
      </c>
      <c r="C78" s="82">
        <f t="shared" si="89"/>
        <v>42.910500000000006</v>
      </c>
      <c r="D78" s="82">
        <f t="shared" si="90"/>
        <v>53.916000000000004</v>
      </c>
      <c r="E78" s="82">
        <f t="shared" si="91"/>
        <v>58.860999999999997</v>
      </c>
      <c r="F78" s="82">
        <f t="shared" si="92"/>
        <v>63.000999999999998</v>
      </c>
      <c r="G78" s="82">
        <f t="shared" si="93"/>
        <v>67.497500000000002</v>
      </c>
      <c r="H78" s="82">
        <f t="shared" si="94"/>
        <v>71.855999999999995</v>
      </c>
      <c r="I78" s="82">
        <f t="shared" si="95"/>
        <v>75.789000000000001</v>
      </c>
      <c r="J78" s="82">
        <f t="shared" si="96"/>
        <v>79.963499999999996</v>
      </c>
      <c r="K78" s="82">
        <f t="shared" si="97"/>
        <v>84.367999999999995</v>
      </c>
      <c r="L78" s="82">
        <f t="shared" si="98"/>
        <v>88.760999999999996</v>
      </c>
    </row>
    <row r="79" spans="1:12" x14ac:dyDescent="0.3">
      <c r="A79" s="64">
        <v>69</v>
      </c>
      <c r="B79" s="80">
        <f t="shared" si="88"/>
        <v>27.097999999999995</v>
      </c>
      <c r="C79" s="83">
        <f t="shared" si="89"/>
        <v>42.910500000000006</v>
      </c>
      <c r="D79" s="83">
        <f t="shared" si="90"/>
        <v>53.916000000000004</v>
      </c>
      <c r="E79" s="83">
        <f t="shared" si="91"/>
        <v>58.860999999999997</v>
      </c>
      <c r="F79" s="83">
        <f t="shared" si="92"/>
        <v>63.000999999999998</v>
      </c>
      <c r="G79" s="83">
        <f t="shared" si="93"/>
        <v>67.497500000000002</v>
      </c>
      <c r="H79" s="83">
        <f t="shared" si="94"/>
        <v>71.855999999999995</v>
      </c>
      <c r="I79" s="83">
        <f t="shared" si="95"/>
        <v>75.789000000000001</v>
      </c>
      <c r="J79" s="83">
        <f t="shared" si="96"/>
        <v>79.963499999999996</v>
      </c>
      <c r="K79" s="83">
        <f t="shared" si="97"/>
        <v>84.367999999999995</v>
      </c>
      <c r="L79" s="83">
        <f t="shared" si="98"/>
        <v>88.760999999999996</v>
      </c>
    </row>
    <row r="80" spans="1:12" x14ac:dyDescent="0.3">
      <c r="A80" s="68">
        <v>70</v>
      </c>
      <c r="B80" s="78">
        <f>24.2*1.15+1.2</f>
        <v>29.029999999999998</v>
      </c>
      <c r="C80" s="81">
        <f>39.07*1.15+1.2</f>
        <v>46.130499999999998</v>
      </c>
      <c r="D80" s="81">
        <f>49.46*1.15+1.2</f>
        <v>58.079000000000001</v>
      </c>
      <c r="E80" s="81">
        <f>54.46*1.15+1.2</f>
        <v>63.829000000000001</v>
      </c>
      <c r="F80" s="81">
        <f>58.33*1.15+1.2</f>
        <v>68.279499999999999</v>
      </c>
      <c r="G80" s="81">
        <f>62.5*1.15+1.2</f>
        <v>73.075000000000003</v>
      </c>
      <c r="H80" s="81">
        <f>66.48*1.15+1.2</f>
        <v>77.652000000000001</v>
      </c>
      <c r="I80" s="81">
        <f>70.05*1.15+1.2</f>
        <v>81.757499999999993</v>
      </c>
      <c r="J80" s="81">
        <f>73.79*1.15+1.2</f>
        <v>86.058500000000009</v>
      </c>
      <c r="K80" s="81">
        <f>77.77*1.15+1.2</f>
        <v>90.635499999999993</v>
      </c>
      <c r="L80" s="81">
        <f>81.42*1.15+1.2</f>
        <v>94.832999999999998</v>
      </c>
    </row>
    <row r="81" spans="1:12" x14ac:dyDescent="0.3">
      <c r="A81" s="63">
        <v>71</v>
      </c>
      <c r="B81" s="79">
        <f t="shared" ref="B81:B88" si="99">24.2*1.15+1.2</f>
        <v>29.029999999999998</v>
      </c>
      <c r="C81" s="82">
        <f t="shared" ref="C81:C89" si="100">39.07*1.15+1.2</f>
        <v>46.130499999999998</v>
      </c>
      <c r="D81" s="82">
        <f t="shared" ref="D81:D89" si="101">49.46*1.15+1.2</f>
        <v>58.079000000000001</v>
      </c>
      <c r="E81" s="82">
        <f t="shared" ref="E81:E89" si="102">54.46*1.15+1.2</f>
        <v>63.829000000000001</v>
      </c>
      <c r="F81" s="82">
        <f t="shared" ref="F81:F89" si="103">58.33*1.15+1.2</f>
        <v>68.279499999999999</v>
      </c>
      <c r="G81" s="82">
        <f t="shared" ref="G81:G88" si="104">62.5*1.15+1.2</f>
        <v>73.075000000000003</v>
      </c>
      <c r="H81" s="82">
        <f t="shared" ref="H81:H89" si="105">66.48*1.15+1.2</f>
        <v>77.652000000000001</v>
      </c>
      <c r="I81" s="82">
        <f t="shared" ref="I81:I89" si="106">70.05*1.15+1.2</f>
        <v>81.757499999999993</v>
      </c>
      <c r="J81" s="82">
        <f t="shared" ref="J81:J89" si="107">73.79*1.15+1.2</f>
        <v>86.058500000000009</v>
      </c>
      <c r="K81" s="82">
        <f t="shared" ref="K81:K89" si="108">77.77*1.15+1.2</f>
        <v>90.635499999999993</v>
      </c>
      <c r="L81" s="82">
        <f t="shared" ref="L81:L89" si="109">81.42*1.15+1.2</f>
        <v>94.832999999999998</v>
      </c>
    </row>
    <row r="82" spans="1:12" x14ac:dyDescent="0.3">
      <c r="A82" s="63">
        <v>72</v>
      </c>
      <c r="B82" s="79">
        <f t="shared" si="99"/>
        <v>29.029999999999998</v>
      </c>
      <c r="C82" s="82">
        <f t="shared" si="100"/>
        <v>46.130499999999998</v>
      </c>
      <c r="D82" s="82">
        <f t="shared" si="101"/>
        <v>58.079000000000001</v>
      </c>
      <c r="E82" s="82">
        <f t="shared" si="102"/>
        <v>63.829000000000001</v>
      </c>
      <c r="F82" s="82">
        <f t="shared" si="103"/>
        <v>68.279499999999999</v>
      </c>
      <c r="G82" s="82">
        <f t="shared" si="104"/>
        <v>73.075000000000003</v>
      </c>
      <c r="H82" s="82">
        <f t="shared" si="105"/>
        <v>77.652000000000001</v>
      </c>
      <c r="I82" s="82">
        <f t="shared" si="106"/>
        <v>81.757499999999993</v>
      </c>
      <c r="J82" s="82">
        <f t="shared" si="107"/>
        <v>86.058500000000009</v>
      </c>
      <c r="K82" s="82">
        <f t="shared" si="108"/>
        <v>90.635499999999993</v>
      </c>
      <c r="L82" s="82">
        <f t="shared" si="109"/>
        <v>94.832999999999998</v>
      </c>
    </row>
    <row r="83" spans="1:12" x14ac:dyDescent="0.3">
      <c r="A83" s="63">
        <v>73</v>
      </c>
      <c r="B83" s="79">
        <f t="shared" si="99"/>
        <v>29.029999999999998</v>
      </c>
      <c r="C83" s="82">
        <f t="shared" si="100"/>
        <v>46.130499999999998</v>
      </c>
      <c r="D83" s="82">
        <f t="shared" si="101"/>
        <v>58.079000000000001</v>
      </c>
      <c r="E83" s="82">
        <f t="shared" si="102"/>
        <v>63.829000000000001</v>
      </c>
      <c r="F83" s="82">
        <f t="shared" si="103"/>
        <v>68.279499999999999</v>
      </c>
      <c r="G83" s="82">
        <f t="shared" si="104"/>
        <v>73.075000000000003</v>
      </c>
      <c r="H83" s="82">
        <f t="shared" si="105"/>
        <v>77.652000000000001</v>
      </c>
      <c r="I83" s="82">
        <f t="shared" si="106"/>
        <v>81.757499999999993</v>
      </c>
      <c r="J83" s="82">
        <f t="shared" si="107"/>
        <v>86.058500000000009</v>
      </c>
      <c r="K83" s="82">
        <f t="shared" si="108"/>
        <v>90.635499999999993</v>
      </c>
      <c r="L83" s="82">
        <f t="shared" si="109"/>
        <v>94.832999999999998</v>
      </c>
    </row>
    <row r="84" spans="1:12" x14ac:dyDescent="0.3">
      <c r="A84" s="63">
        <v>74</v>
      </c>
      <c r="B84" s="79">
        <f t="shared" si="99"/>
        <v>29.029999999999998</v>
      </c>
      <c r="C84" s="82">
        <f t="shared" si="100"/>
        <v>46.130499999999998</v>
      </c>
      <c r="D84" s="82">
        <f t="shared" si="101"/>
        <v>58.079000000000001</v>
      </c>
      <c r="E84" s="82">
        <f t="shared" si="102"/>
        <v>63.829000000000001</v>
      </c>
      <c r="F84" s="82">
        <f t="shared" si="103"/>
        <v>68.279499999999999</v>
      </c>
      <c r="G84" s="82">
        <f t="shared" si="104"/>
        <v>73.075000000000003</v>
      </c>
      <c r="H84" s="82">
        <f t="shared" si="105"/>
        <v>77.652000000000001</v>
      </c>
      <c r="I84" s="82">
        <f t="shared" si="106"/>
        <v>81.757499999999993</v>
      </c>
      <c r="J84" s="82">
        <f t="shared" si="107"/>
        <v>86.058500000000009</v>
      </c>
      <c r="K84" s="82">
        <f t="shared" si="108"/>
        <v>90.635499999999993</v>
      </c>
      <c r="L84" s="82">
        <f t="shared" si="109"/>
        <v>94.832999999999998</v>
      </c>
    </row>
    <row r="85" spans="1:12" x14ac:dyDescent="0.3">
      <c r="A85" s="63">
        <v>75</v>
      </c>
      <c r="B85" s="79">
        <f t="shared" si="99"/>
        <v>29.029999999999998</v>
      </c>
      <c r="C85" s="82">
        <f t="shared" si="100"/>
        <v>46.130499999999998</v>
      </c>
      <c r="D85" s="82">
        <f t="shared" si="101"/>
        <v>58.079000000000001</v>
      </c>
      <c r="E85" s="82">
        <f t="shared" si="102"/>
        <v>63.829000000000001</v>
      </c>
      <c r="F85" s="82">
        <f t="shared" si="103"/>
        <v>68.279499999999999</v>
      </c>
      <c r="G85" s="82">
        <f t="shared" si="104"/>
        <v>73.075000000000003</v>
      </c>
      <c r="H85" s="82">
        <f t="shared" si="105"/>
        <v>77.652000000000001</v>
      </c>
      <c r="I85" s="82">
        <f t="shared" si="106"/>
        <v>81.757499999999993</v>
      </c>
      <c r="J85" s="82">
        <f t="shared" si="107"/>
        <v>86.058500000000009</v>
      </c>
      <c r="K85" s="82">
        <f t="shared" si="108"/>
        <v>90.635499999999993</v>
      </c>
      <c r="L85" s="82">
        <f t="shared" si="109"/>
        <v>94.832999999999998</v>
      </c>
    </row>
    <row r="86" spans="1:12" x14ac:dyDescent="0.3">
      <c r="A86" s="63">
        <v>76</v>
      </c>
      <c r="B86" s="79">
        <f t="shared" si="99"/>
        <v>29.029999999999998</v>
      </c>
      <c r="C86" s="82">
        <f t="shared" si="100"/>
        <v>46.130499999999998</v>
      </c>
      <c r="D86" s="82">
        <f t="shared" si="101"/>
        <v>58.079000000000001</v>
      </c>
      <c r="E86" s="82">
        <f t="shared" si="102"/>
        <v>63.829000000000001</v>
      </c>
      <c r="F86" s="82">
        <f t="shared" si="103"/>
        <v>68.279499999999999</v>
      </c>
      <c r="G86" s="82">
        <f t="shared" si="104"/>
        <v>73.075000000000003</v>
      </c>
      <c r="H86" s="82">
        <f t="shared" si="105"/>
        <v>77.652000000000001</v>
      </c>
      <c r="I86" s="82">
        <f t="shared" si="106"/>
        <v>81.757499999999993</v>
      </c>
      <c r="J86" s="82">
        <f t="shared" si="107"/>
        <v>86.058500000000009</v>
      </c>
      <c r="K86" s="82">
        <f t="shared" si="108"/>
        <v>90.635499999999993</v>
      </c>
      <c r="L86" s="82">
        <f t="shared" si="109"/>
        <v>94.832999999999998</v>
      </c>
    </row>
    <row r="87" spans="1:12" x14ac:dyDescent="0.3">
      <c r="A87" s="63">
        <v>77</v>
      </c>
      <c r="B87" s="79">
        <f t="shared" si="99"/>
        <v>29.029999999999998</v>
      </c>
      <c r="C87" s="82">
        <f t="shared" si="100"/>
        <v>46.130499999999998</v>
      </c>
      <c r="D87" s="82">
        <f t="shared" si="101"/>
        <v>58.079000000000001</v>
      </c>
      <c r="E87" s="82">
        <f t="shared" si="102"/>
        <v>63.829000000000001</v>
      </c>
      <c r="F87" s="82">
        <f t="shared" si="103"/>
        <v>68.279499999999999</v>
      </c>
      <c r="G87" s="82">
        <f t="shared" si="104"/>
        <v>73.075000000000003</v>
      </c>
      <c r="H87" s="82">
        <f t="shared" si="105"/>
        <v>77.652000000000001</v>
      </c>
      <c r="I87" s="82">
        <f t="shared" si="106"/>
        <v>81.757499999999993</v>
      </c>
      <c r="J87" s="82">
        <f t="shared" si="107"/>
        <v>86.058500000000009</v>
      </c>
      <c r="K87" s="82">
        <f t="shared" si="108"/>
        <v>90.635499999999993</v>
      </c>
      <c r="L87" s="82">
        <f t="shared" si="109"/>
        <v>94.832999999999998</v>
      </c>
    </row>
    <row r="88" spans="1:12" x14ac:dyDescent="0.3">
      <c r="A88" s="63">
        <v>78</v>
      </c>
      <c r="B88" s="79">
        <f t="shared" si="99"/>
        <v>29.029999999999998</v>
      </c>
      <c r="C88" s="82">
        <f t="shared" si="100"/>
        <v>46.130499999999998</v>
      </c>
      <c r="D88" s="82">
        <f t="shared" si="101"/>
        <v>58.079000000000001</v>
      </c>
      <c r="E88" s="82">
        <f t="shared" si="102"/>
        <v>63.829000000000001</v>
      </c>
      <c r="F88" s="82">
        <f t="shared" si="103"/>
        <v>68.279499999999999</v>
      </c>
      <c r="G88" s="82">
        <f t="shared" si="104"/>
        <v>73.075000000000003</v>
      </c>
      <c r="H88" s="82">
        <f t="shared" si="105"/>
        <v>77.652000000000001</v>
      </c>
      <c r="I88" s="82">
        <f t="shared" si="106"/>
        <v>81.757499999999993</v>
      </c>
      <c r="J88" s="82">
        <f t="shared" si="107"/>
        <v>86.058500000000009</v>
      </c>
      <c r="K88" s="82">
        <f t="shared" si="108"/>
        <v>90.635499999999993</v>
      </c>
      <c r="L88" s="82">
        <f t="shared" si="109"/>
        <v>94.832999999999998</v>
      </c>
    </row>
    <row r="89" spans="1:12" x14ac:dyDescent="0.3">
      <c r="A89" s="64">
        <v>79</v>
      </c>
      <c r="B89" s="80">
        <f>24.2*1.15+1.2</f>
        <v>29.029999999999998</v>
      </c>
      <c r="C89" s="83">
        <f t="shared" si="100"/>
        <v>46.130499999999998</v>
      </c>
      <c r="D89" s="83">
        <f t="shared" si="101"/>
        <v>58.079000000000001</v>
      </c>
      <c r="E89" s="83">
        <f t="shared" si="102"/>
        <v>63.829000000000001</v>
      </c>
      <c r="F89" s="83">
        <f t="shared" si="103"/>
        <v>68.279499999999999</v>
      </c>
      <c r="G89" s="83">
        <f>62.5*1.15+1.2</f>
        <v>73.075000000000003</v>
      </c>
      <c r="H89" s="83">
        <f t="shared" si="105"/>
        <v>77.652000000000001</v>
      </c>
      <c r="I89" s="83">
        <f t="shared" si="106"/>
        <v>81.757499999999993</v>
      </c>
      <c r="J89" s="83">
        <f t="shared" si="107"/>
        <v>86.058500000000009</v>
      </c>
      <c r="K89" s="83">
        <f t="shared" si="108"/>
        <v>90.635499999999993</v>
      </c>
      <c r="L89" s="83">
        <f t="shared" si="109"/>
        <v>94.832999999999998</v>
      </c>
    </row>
    <row r="90" spans="1:12" x14ac:dyDescent="0.3">
      <c r="A90" s="68">
        <v>80</v>
      </c>
      <c r="B90" s="78">
        <f>25.88*1.15+1.2</f>
        <v>30.961999999999996</v>
      </c>
      <c r="C90" s="81">
        <f>41.88*1.15+1.2</f>
        <v>49.362000000000002</v>
      </c>
      <c r="D90" s="81">
        <f>53.33*1.15+1.2</f>
        <v>62.529499999999999</v>
      </c>
      <c r="E90" s="81">
        <f>58.78*1.15+1.2</f>
        <v>68.796999999999997</v>
      </c>
      <c r="F90" s="81">
        <f>62.92*1.15+1.2</f>
        <v>73.557999999999993</v>
      </c>
      <c r="G90" s="81">
        <f>67.32*1.15+1.2</f>
        <v>78.617999999999995</v>
      </c>
      <c r="H90" s="81">
        <f>71.52*1.15+1.2</f>
        <v>83.447999999999993</v>
      </c>
      <c r="I90" s="81">
        <f>75.22*1.15+1.2</f>
        <v>87.702999999999989</v>
      </c>
      <c r="J90" s="81">
        <f>79.12*1.15+1.2</f>
        <v>92.188000000000002</v>
      </c>
      <c r="K90" s="81">
        <f>83.18*1.15+1.2</f>
        <v>96.856999999999999</v>
      </c>
      <c r="L90" s="81">
        <f>87.42*1.15+1.2</f>
        <v>101.733</v>
      </c>
    </row>
    <row r="91" spans="1:12" x14ac:dyDescent="0.3">
      <c r="A91" s="63">
        <v>81</v>
      </c>
      <c r="B91" s="79">
        <f t="shared" ref="B91:B99" si="110">25.88*1.15+1.2</f>
        <v>30.961999999999996</v>
      </c>
      <c r="C91" s="82">
        <f t="shared" ref="C91:C99" si="111">41.88*1.15+1.2</f>
        <v>49.362000000000002</v>
      </c>
      <c r="D91" s="82">
        <f t="shared" ref="D91:D99" si="112">53.33*1.15+1.2</f>
        <v>62.529499999999999</v>
      </c>
      <c r="E91" s="82">
        <f t="shared" ref="E91:E99" si="113">58.78*1.15+1.2</f>
        <v>68.796999999999997</v>
      </c>
      <c r="F91" s="82">
        <f t="shared" ref="F91:F99" si="114">62.92*1.15+1.2</f>
        <v>73.557999999999993</v>
      </c>
      <c r="G91" s="82">
        <f t="shared" ref="G91:G99" si="115">67.32*1.15+1.2</f>
        <v>78.617999999999995</v>
      </c>
      <c r="H91" s="82">
        <f t="shared" ref="H91:H99" si="116">71.52*1.15+1.2</f>
        <v>83.447999999999993</v>
      </c>
      <c r="I91" s="82">
        <f t="shared" ref="I91:I99" si="117">75.22*1.15+1.2</f>
        <v>87.702999999999989</v>
      </c>
      <c r="J91" s="82">
        <f t="shared" ref="J91:J99" si="118">79.12*1.15+1.2</f>
        <v>92.188000000000002</v>
      </c>
      <c r="K91" s="82">
        <f t="shared" ref="K91:K99" si="119">83.18*1.15+1.2</f>
        <v>96.856999999999999</v>
      </c>
      <c r="L91" s="82">
        <f t="shared" ref="L91:L99" si="120">87.42*1.15+1.2</f>
        <v>101.733</v>
      </c>
    </row>
    <row r="92" spans="1:12" x14ac:dyDescent="0.3">
      <c r="A92" s="63">
        <v>82</v>
      </c>
      <c r="B92" s="79">
        <f t="shared" si="110"/>
        <v>30.961999999999996</v>
      </c>
      <c r="C92" s="82">
        <f t="shared" si="111"/>
        <v>49.362000000000002</v>
      </c>
      <c r="D92" s="82">
        <f t="shared" si="112"/>
        <v>62.529499999999999</v>
      </c>
      <c r="E92" s="82">
        <f t="shared" si="113"/>
        <v>68.796999999999997</v>
      </c>
      <c r="F92" s="82">
        <f t="shared" si="114"/>
        <v>73.557999999999993</v>
      </c>
      <c r="G92" s="82">
        <f t="shared" si="115"/>
        <v>78.617999999999995</v>
      </c>
      <c r="H92" s="82">
        <f t="shared" si="116"/>
        <v>83.447999999999993</v>
      </c>
      <c r="I92" s="82">
        <f t="shared" si="117"/>
        <v>87.702999999999989</v>
      </c>
      <c r="J92" s="82">
        <f t="shared" si="118"/>
        <v>92.188000000000002</v>
      </c>
      <c r="K92" s="82">
        <f t="shared" si="119"/>
        <v>96.856999999999999</v>
      </c>
      <c r="L92" s="82">
        <f t="shared" si="120"/>
        <v>101.733</v>
      </c>
    </row>
    <row r="93" spans="1:12" x14ac:dyDescent="0.3">
      <c r="A93" s="63">
        <v>83</v>
      </c>
      <c r="B93" s="79">
        <f t="shared" si="110"/>
        <v>30.961999999999996</v>
      </c>
      <c r="C93" s="82">
        <f t="shared" si="111"/>
        <v>49.362000000000002</v>
      </c>
      <c r="D93" s="82">
        <f t="shared" si="112"/>
        <v>62.529499999999999</v>
      </c>
      <c r="E93" s="82">
        <f t="shared" si="113"/>
        <v>68.796999999999997</v>
      </c>
      <c r="F93" s="82">
        <f t="shared" si="114"/>
        <v>73.557999999999993</v>
      </c>
      <c r="G93" s="82">
        <f t="shared" si="115"/>
        <v>78.617999999999995</v>
      </c>
      <c r="H93" s="82">
        <f t="shared" si="116"/>
        <v>83.447999999999993</v>
      </c>
      <c r="I93" s="82">
        <f t="shared" si="117"/>
        <v>87.702999999999989</v>
      </c>
      <c r="J93" s="82">
        <f t="shared" si="118"/>
        <v>92.188000000000002</v>
      </c>
      <c r="K93" s="82">
        <f t="shared" si="119"/>
        <v>96.856999999999999</v>
      </c>
      <c r="L93" s="82">
        <f t="shared" si="120"/>
        <v>101.733</v>
      </c>
    </row>
    <row r="94" spans="1:12" x14ac:dyDescent="0.3">
      <c r="A94" s="63">
        <v>84</v>
      </c>
      <c r="B94" s="79">
        <f t="shared" si="110"/>
        <v>30.961999999999996</v>
      </c>
      <c r="C94" s="82">
        <f t="shared" si="111"/>
        <v>49.362000000000002</v>
      </c>
      <c r="D94" s="82">
        <f t="shared" si="112"/>
        <v>62.529499999999999</v>
      </c>
      <c r="E94" s="82">
        <f t="shared" si="113"/>
        <v>68.796999999999997</v>
      </c>
      <c r="F94" s="82">
        <f t="shared" si="114"/>
        <v>73.557999999999993</v>
      </c>
      <c r="G94" s="82">
        <f t="shared" si="115"/>
        <v>78.617999999999995</v>
      </c>
      <c r="H94" s="82">
        <f t="shared" si="116"/>
        <v>83.447999999999993</v>
      </c>
      <c r="I94" s="82">
        <f t="shared" si="117"/>
        <v>87.702999999999989</v>
      </c>
      <c r="J94" s="82">
        <f t="shared" si="118"/>
        <v>92.188000000000002</v>
      </c>
      <c r="K94" s="82">
        <f t="shared" si="119"/>
        <v>96.856999999999999</v>
      </c>
      <c r="L94" s="82">
        <f t="shared" si="120"/>
        <v>101.733</v>
      </c>
    </row>
    <row r="95" spans="1:12" x14ac:dyDescent="0.3">
      <c r="A95" s="63">
        <v>85</v>
      </c>
      <c r="B95" s="79">
        <f t="shared" si="110"/>
        <v>30.961999999999996</v>
      </c>
      <c r="C95" s="82">
        <f t="shared" si="111"/>
        <v>49.362000000000002</v>
      </c>
      <c r="D95" s="82">
        <f t="shared" si="112"/>
        <v>62.529499999999999</v>
      </c>
      <c r="E95" s="82">
        <f t="shared" si="113"/>
        <v>68.796999999999997</v>
      </c>
      <c r="F95" s="82">
        <f t="shared" si="114"/>
        <v>73.557999999999993</v>
      </c>
      <c r="G95" s="82">
        <f t="shared" si="115"/>
        <v>78.617999999999995</v>
      </c>
      <c r="H95" s="82">
        <f t="shared" si="116"/>
        <v>83.447999999999993</v>
      </c>
      <c r="I95" s="82">
        <f t="shared" si="117"/>
        <v>87.702999999999989</v>
      </c>
      <c r="J95" s="82">
        <f t="shared" si="118"/>
        <v>92.188000000000002</v>
      </c>
      <c r="K95" s="82">
        <f t="shared" si="119"/>
        <v>96.856999999999999</v>
      </c>
      <c r="L95" s="82">
        <f t="shared" si="120"/>
        <v>101.733</v>
      </c>
    </row>
    <row r="96" spans="1:12" x14ac:dyDescent="0.3">
      <c r="A96" s="63">
        <v>86</v>
      </c>
      <c r="B96" s="79">
        <f t="shared" si="110"/>
        <v>30.961999999999996</v>
      </c>
      <c r="C96" s="82">
        <f t="shared" si="111"/>
        <v>49.362000000000002</v>
      </c>
      <c r="D96" s="82">
        <f t="shared" si="112"/>
        <v>62.529499999999999</v>
      </c>
      <c r="E96" s="82">
        <f t="shared" si="113"/>
        <v>68.796999999999997</v>
      </c>
      <c r="F96" s="82">
        <f t="shared" si="114"/>
        <v>73.557999999999993</v>
      </c>
      <c r="G96" s="82">
        <f t="shared" si="115"/>
        <v>78.617999999999995</v>
      </c>
      <c r="H96" s="82">
        <f t="shared" si="116"/>
        <v>83.447999999999993</v>
      </c>
      <c r="I96" s="82">
        <f t="shared" si="117"/>
        <v>87.702999999999989</v>
      </c>
      <c r="J96" s="82">
        <f t="shared" si="118"/>
        <v>92.188000000000002</v>
      </c>
      <c r="K96" s="82">
        <f t="shared" si="119"/>
        <v>96.856999999999999</v>
      </c>
      <c r="L96" s="82">
        <f t="shared" si="120"/>
        <v>101.733</v>
      </c>
    </row>
    <row r="97" spans="1:12" x14ac:dyDescent="0.3">
      <c r="A97" s="63">
        <v>87</v>
      </c>
      <c r="B97" s="79">
        <f t="shared" si="110"/>
        <v>30.961999999999996</v>
      </c>
      <c r="C97" s="82">
        <f t="shared" si="111"/>
        <v>49.362000000000002</v>
      </c>
      <c r="D97" s="82">
        <f t="shared" si="112"/>
        <v>62.529499999999999</v>
      </c>
      <c r="E97" s="82">
        <f t="shared" si="113"/>
        <v>68.796999999999997</v>
      </c>
      <c r="F97" s="82">
        <f t="shared" si="114"/>
        <v>73.557999999999993</v>
      </c>
      <c r="G97" s="82">
        <f t="shared" si="115"/>
        <v>78.617999999999995</v>
      </c>
      <c r="H97" s="82">
        <f t="shared" si="116"/>
        <v>83.447999999999993</v>
      </c>
      <c r="I97" s="82">
        <f t="shared" si="117"/>
        <v>87.702999999999989</v>
      </c>
      <c r="J97" s="82">
        <f t="shared" si="118"/>
        <v>92.188000000000002</v>
      </c>
      <c r="K97" s="82">
        <f t="shared" si="119"/>
        <v>96.856999999999999</v>
      </c>
      <c r="L97" s="82">
        <f t="shared" si="120"/>
        <v>101.733</v>
      </c>
    </row>
    <row r="98" spans="1:12" x14ac:dyDescent="0.3">
      <c r="A98" s="63">
        <v>88</v>
      </c>
      <c r="B98" s="79">
        <f t="shared" si="110"/>
        <v>30.961999999999996</v>
      </c>
      <c r="C98" s="82">
        <f t="shared" si="111"/>
        <v>49.362000000000002</v>
      </c>
      <c r="D98" s="82">
        <f t="shared" si="112"/>
        <v>62.529499999999999</v>
      </c>
      <c r="E98" s="82">
        <f t="shared" si="113"/>
        <v>68.796999999999997</v>
      </c>
      <c r="F98" s="82">
        <f t="shared" si="114"/>
        <v>73.557999999999993</v>
      </c>
      <c r="G98" s="82">
        <f t="shared" si="115"/>
        <v>78.617999999999995</v>
      </c>
      <c r="H98" s="82">
        <f t="shared" si="116"/>
        <v>83.447999999999993</v>
      </c>
      <c r="I98" s="82">
        <f t="shared" si="117"/>
        <v>87.702999999999989</v>
      </c>
      <c r="J98" s="82">
        <f t="shared" si="118"/>
        <v>92.188000000000002</v>
      </c>
      <c r="K98" s="82">
        <f t="shared" si="119"/>
        <v>96.856999999999999</v>
      </c>
      <c r="L98" s="82">
        <f t="shared" si="120"/>
        <v>101.733</v>
      </c>
    </row>
    <row r="99" spans="1:12" x14ac:dyDescent="0.3">
      <c r="A99" s="64">
        <v>89</v>
      </c>
      <c r="B99" s="80">
        <f t="shared" si="110"/>
        <v>30.961999999999996</v>
      </c>
      <c r="C99" s="83">
        <f t="shared" si="111"/>
        <v>49.362000000000002</v>
      </c>
      <c r="D99" s="83">
        <f t="shared" si="112"/>
        <v>62.529499999999999</v>
      </c>
      <c r="E99" s="83">
        <f t="shared" si="113"/>
        <v>68.796999999999997</v>
      </c>
      <c r="F99" s="83">
        <f t="shared" si="114"/>
        <v>73.557999999999993</v>
      </c>
      <c r="G99" s="83">
        <f t="shared" si="115"/>
        <v>78.617999999999995</v>
      </c>
      <c r="H99" s="83">
        <f t="shared" si="116"/>
        <v>83.447999999999993</v>
      </c>
      <c r="I99" s="83">
        <f t="shared" si="117"/>
        <v>87.702999999999989</v>
      </c>
      <c r="J99" s="83">
        <f t="shared" si="118"/>
        <v>92.188000000000002</v>
      </c>
      <c r="K99" s="83">
        <f t="shared" si="119"/>
        <v>96.856999999999999</v>
      </c>
      <c r="L99" s="83">
        <f t="shared" si="120"/>
        <v>101.733</v>
      </c>
    </row>
    <row r="100" spans="1:12" x14ac:dyDescent="0.3">
      <c r="A100" s="68">
        <v>90</v>
      </c>
      <c r="B100" s="78">
        <f>27.56*1.15+1.2</f>
        <v>32.893999999999998</v>
      </c>
      <c r="C100" s="81">
        <f>44.69*1.15+1.2</f>
        <v>52.593499999999999</v>
      </c>
      <c r="D100" s="81">
        <f>57.21*1.15+1.2</f>
        <v>66.991500000000002</v>
      </c>
      <c r="E100" s="81">
        <f>63.1*1.15+1.2</f>
        <v>73.765000000000001</v>
      </c>
      <c r="F100" s="81">
        <f>67.5*1.15+1.2</f>
        <v>78.825000000000003</v>
      </c>
      <c r="G100" s="81">
        <f>72.24*1.15+1.2</f>
        <v>84.275999999999996</v>
      </c>
      <c r="H100" s="81">
        <f>76.54*1.15+1.2</f>
        <v>89.221000000000004</v>
      </c>
      <c r="I100" s="81">
        <f>80.38*1.15+1.2</f>
        <v>93.636999999999986</v>
      </c>
      <c r="J100" s="81">
        <f>84.42*1.15+1.2</f>
        <v>98.283000000000001</v>
      </c>
      <c r="K100" s="81">
        <f>88.64*1.15+1.2</f>
        <v>103.136</v>
      </c>
      <c r="L100" s="81">
        <f>93.07*1.15+1.2</f>
        <v>108.23049999999999</v>
      </c>
    </row>
    <row r="101" spans="1:12" x14ac:dyDescent="0.3">
      <c r="A101" s="63">
        <v>91</v>
      </c>
      <c r="B101" s="79">
        <f t="shared" ref="B101:B110" si="121">27.56*1.15+1.2</f>
        <v>32.893999999999998</v>
      </c>
      <c r="C101" s="82">
        <f t="shared" ref="C101:C110" si="122">44.69*1.15+1.2</f>
        <v>52.593499999999999</v>
      </c>
      <c r="D101" s="82">
        <f t="shared" ref="D101:D110" si="123">57.21*1.15+1.2</f>
        <v>66.991500000000002</v>
      </c>
      <c r="E101" s="82">
        <f t="shared" ref="E101:E110" si="124">63.1*1.15+1.2</f>
        <v>73.765000000000001</v>
      </c>
      <c r="F101" s="82">
        <f t="shared" ref="F101:F110" si="125">67.5*1.15+1.2</f>
        <v>78.825000000000003</v>
      </c>
      <c r="G101" s="82">
        <f t="shared" ref="G101:G110" si="126">72.24*1.15+1.2</f>
        <v>84.275999999999996</v>
      </c>
      <c r="H101" s="82">
        <f t="shared" ref="H101:H110" si="127">76.54*1.15+1.2</f>
        <v>89.221000000000004</v>
      </c>
      <c r="I101" s="82">
        <f t="shared" ref="I101:I110" si="128">80.38*1.15+1.2</f>
        <v>93.636999999999986</v>
      </c>
      <c r="J101" s="82">
        <f t="shared" ref="J101:J110" si="129">84.42*1.15+1.2</f>
        <v>98.283000000000001</v>
      </c>
      <c r="K101" s="82">
        <f t="shared" ref="K101:K110" si="130">88.64*1.15+1.2</f>
        <v>103.136</v>
      </c>
      <c r="L101" s="82">
        <f t="shared" ref="L101:L110" si="131">93.07*1.15+1.2</f>
        <v>108.23049999999999</v>
      </c>
    </row>
    <row r="102" spans="1:12" x14ac:dyDescent="0.3">
      <c r="A102" s="63">
        <v>92</v>
      </c>
      <c r="B102" s="79">
        <f t="shared" si="121"/>
        <v>32.893999999999998</v>
      </c>
      <c r="C102" s="82">
        <f t="shared" si="122"/>
        <v>52.593499999999999</v>
      </c>
      <c r="D102" s="82">
        <f t="shared" si="123"/>
        <v>66.991500000000002</v>
      </c>
      <c r="E102" s="82">
        <f t="shared" si="124"/>
        <v>73.765000000000001</v>
      </c>
      <c r="F102" s="82">
        <f t="shared" si="125"/>
        <v>78.825000000000003</v>
      </c>
      <c r="G102" s="82">
        <f t="shared" si="126"/>
        <v>84.275999999999996</v>
      </c>
      <c r="H102" s="82">
        <f t="shared" si="127"/>
        <v>89.221000000000004</v>
      </c>
      <c r="I102" s="82">
        <f t="shared" si="128"/>
        <v>93.636999999999986</v>
      </c>
      <c r="J102" s="82">
        <f t="shared" si="129"/>
        <v>98.283000000000001</v>
      </c>
      <c r="K102" s="82">
        <f t="shared" si="130"/>
        <v>103.136</v>
      </c>
      <c r="L102" s="82">
        <f t="shared" si="131"/>
        <v>108.23049999999999</v>
      </c>
    </row>
    <row r="103" spans="1:12" x14ac:dyDescent="0.3">
      <c r="A103" s="63">
        <v>93</v>
      </c>
      <c r="B103" s="79">
        <f t="shared" si="121"/>
        <v>32.893999999999998</v>
      </c>
      <c r="C103" s="82">
        <f t="shared" si="122"/>
        <v>52.593499999999999</v>
      </c>
      <c r="D103" s="82">
        <f t="shared" si="123"/>
        <v>66.991500000000002</v>
      </c>
      <c r="E103" s="82">
        <f t="shared" si="124"/>
        <v>73.765000000000001</v>
      </c>
      <c r="F103" s="82">
        <f t="shared" si="125"/>
        <v>78.825000000000003</v>
      </c>
      <c r="G103" s="82">
        <f t="shared" si="126"/>
        <v>84.275999999999996</v>
      </c>
      <c r="H103" s="82">
        <f t="shared" si="127"/>
        <v>89.221000000000004</v>
      </c>
      <c r="I103" s="82">
        <f t="shared" si="128"/>
        <v>93.636999999999986</v>
      </c>
      <c r="J103" s="82">
        <f t="shared" si="129"/>
        <v>98.283000000000001</v>
      </c>
      <c r="K103" s="82">
        <f t="shared" si="130"/>
        <v>103.136</v>
      </c>
      <c r="L103" s="82">
        <f t="shared" si="131"/>
        <v>108.23049999999999</v>
      </c>
    </row>
    <row r="104" spans="1:12" x14ac:dyDescent="0.3">
      <c r="A104" s="63">
        <v>94</v>
      </c>
      <c r="B104" s="79">
        <f t="shared" si="121"/>
        <v>32.893999999999998</v>
      </c>
      <c r="C104" s="82">
        <f t="shared" si="122"/>
        <v>52.593499999999999</v>
      </c>
      <c r="D104" s="82">
        <f t="shared" si="123"/>
        <v>66.991500000000002</v>
      </c>
      <c r="E104" s="82">
        <f t="shared" si="124"/>
        <v>73.765000000000001</v>
      </c>
      <c r="F104" s="82">
        <f t="shared" si="125"/>
        <v>78.825000000000003</v>
      </c>
      <c r="G104" s="82">
        <f t="shared" si="126"/>
        <v>84.275999999999996</v>
      </c>
      <c r="H104" s="82">
        <f t="shared" si="127"/>
        <v>89.221000000000004</v>
      </c>
      <c r="I104" s="82">
        <f t="shared" si="128"/>
        <v>93.636999999999986</v>
      </c>
      <c r="J104" s="82">
        <f t="shared" si="129"/>
        <v>98.283000000000001</v>
      </c>
      <c r="K104" s="82">
        <f t="shared" si="130"/>
        <v>103.136</v>
      </c>
      <c r="L104" s="82">
        <f t="shared" si="131"/>
        <v>108.23049999999999</v>
      </c>
    </row>
    <row r="105" spans="1:12" x14ac:dyDescent="0.3">
      <c r="A105" s="63">
        <v>95</v>
      </c>
      <c r="B105" s="79">
        <f t="shared" si="121"/>
        <v>32.893999999999998</v>
      </c>
      <c r="C105" s="82">
        <f t="shared" si="122"/>
        <v>52.593499999999999</v>
      </c>
      <c r="D105" s="82">
        <f t="shared" si="123"/>
        <v>66.991500000000002</v>
      </c>
      <c r="E105" s="82">
        <f t="shared" si="124"/>
        <v>73.765000000000001</v>
      </c>
      <c r="F105" s="82">
        <f t="shared" si="125"/>
        <v>78.825000000000003</v>
      </c>
      <c r="G105" s="82">
        <f t="shared" si="126"/>
        <v>84.275999999999996</v>
      </c>
      <c r="H105" s="82">
        <f t="shared" si="127"/>
        <v>89.221000000000004</v>
      </c>
      <c r="I105" s="82">
        <f t="shared" si="128"/>
        <v>93.636999999999986</v>
      </c>
      <c r="J105" s="82">
        <f t="shared" si="129"/>
        <v>98.283000000000001</v>
      </c>
      <c r="K105" s="82">
        <f t="shared" si="130"/>
        <v>103.136</v>
      </c>
      <c r="L105" s="82">
        <f t="shared" si="131"/>
        <v>108.23049999999999</v>
      </c>
    </row>
    <row r="106" spans="1:12" x14ac:dyDescent="0.3">
      <c r="A106" s="63">
        <v>96</v>
      </c>
      <c r="B106" s="79">
        <f t="shared" si="121"/>
        <v>32.893999999999998</v>
      </c>
      <c r="C106" s="82">
        <f t="shared" si="122"/>
        <v>52.593499999999999</v>
      </c>
      <c r="D106" s="82">
        <f t="shared" si="123"/>
        <v>66.991500000000002</v>
      </c>
      <c r="E106" s="82">
        <f t="shared" si="124"/>
        <v>73.765000000000001</v>
      </c>
      <c r="F106" s="82">
        <f t="shared" si="125"/>
        <v>78.825000000000003</v>
      </c>
      <c r="G106" s="82">
        <f t="shared" si="126"/>
        <v>84.275999999999996</v>
      </c>
      <c r="H106" s="82">
        <f t="shared" si="127"/>
        <v>89.221000000000004</v>
      </c>
      <c r="I106" s="82">
        <f t="shared" si="128"/>
        <v>93.636999999999986</v>
      </c>
      <c r="J106" s="82">
        <f t="shared" si="129"/>
        <v>98.283000000000001</v>
      </c>
      <c r="K106" s="82">
        <f t="shared" si="130"/>
        <v>103.136</v>
      </c>
      <c r="L106" s="82">
        <f t="shared" si="131"/>
        <v>108.23049999999999</v>
      </c>
    </row>
    <row r="107" spans="1:12" x14ac:dyDescent="0.3">
      <c r="A107" s="63">
        <v>97</v>
      </c>
      <c r="B107" s="79">
        <f t="shared" si="121"/>
        <v>32.893999999999998</v>
      </c>
      <c r="C107" s="82">
        <f t="shared" si="122"/>
        <v>52.593499999999999</v>
      </c>
      <c r="D107" s="82">
        <f t="shared" si="123"/>
        <v>66.991500000000002</v>
      </c>
      <c r="E107" s="82">
        <f t="shared" si="124"/>
        <v>73.765000000000001</v>
      </c>
      <c r="F107" s="82">
        <f t="shared" si="125"/>
        <v>78.825000000000003</v>
      </c>
      <c r="G107" s="82">
        <f t="shared" si="126"/>
        <v>84.275999999999996</v>
      </c>
      <c r="H107" s="82">
        <f t="shared" si="127"/>
        <v>89.221000000000004</v>
      </c>
      <c r="I107" s="82">
        <f t="shared" si="128"/>
        <v>93.636999999999986</v>
      </c>
      <c r="J107" s="82">
        <f t="shared" si="129"/>
        <v>98.283000000000001</v>
      </c>
      <c r="K107" s="82">
        <f t="shared" si="130"/>
        <v>103.136</v>
      </c>
      <c r="L107" s="82">
        <f t="shared" si="131"/>
        <v>108.23049999999999</v>
      </c>
    </row>
    <row r="108" spans="1:12" x14ac:dyDescent="0.3">
      <c r="A108" s="63">
        <v>98</v>
      </c>
      <c r="B108" s="79">
        <f t="shared" si="121"/>
        <v>32.893999999999998</v>
      </c>
      <c r="C108" s="82">
        <f t="shared" si="122"/>
        <v>52.593499999999999</v>
      </c>
      <c r="D108" s="82">
        <f t="shared" si="123"/>
        <v>66.991500000000002</v>
      </c>
      <c r="E108" s="82">
        <f t="shared" si="124"/>
        <v>73.765000000000001</v>
      </c>
      <c r="F108" s="82">
        <f t="shared" si="125"/>
        <v>78.825000000000003</v>
      </c>
      <c r="G108" s="82">
        <f t="shared" si="126"/>
        <v>84.275999999999996</v>
      </c>
      <c r="H108" s="82">
        <f t="shared" si="127"/>
        <v>89.221000000000004</v>
      </c>
      <c r="I108" s="82">
        <f t="shared" si="128"/>
        <v>93.636999999999986</v>
      </c>
      <c r="J108" s="82">
        <f t="shared" si="129"/>
        <v>98.283000000000001</v>
      </c>
      <c r="K108" s="82">
        <f t="shared" si="130"/>
        <v>103.136</v>
      </c>
      <c r="L108" s="82">
        <f t="shared" si="131"/>
        <v>108.23049999999999</v>
      </c>
    </row>
    <row r="109" spans="1:12" x14ac:dyDescent="0.3">
      <c r="A109" s="63">
        <v>99</v>
      </c>
      <c r="B109" s="79">
        <f t="shared" si="121"/>
        <v>32.893999999999998</v>
      </c>
      <c r="C109" s="82">
        <f t="shared" si="122"/>
        <v>52.593499999999999</v>
      </c>
      <c r="D109" s="82">
        <f t="shared" si="123"/>
        <v>66.991500000000002</v>
      </c>
      <c r="E109" s="82">
        <f t="shared" si="124"/>
        <v>73.765000000000001</v>
      </c>
      <c r="F109" s="82">
        <f t="shared" si="125"/>
        <v>78.825000000000003</v>
      </c>
      <c r="G109" s="82">
        <f t="shared" si="126"/>
        <v>84.275999999999996</v>
      </c>
      <c r="H109" s="82">
        <f t="shared" si="127"/>
        <v>89.221000000000004</v>
      </c>
      <c r="I109" s="82">
        <f t="shared" si="128"/>
        <v>93.636999999999986</v>
      </c>
      <c r="J109" s="82">
        <f t="shared" si="129"/>
        <v>98.283000000000001</v>
      </c>
      <c r="K109" s="82">
        <f t="shared" si="130"/>
        <v>103.136</v>
      </c>
      <c r="L109" s="82">
        <f t="shared" si="131"/>
        <v>108.23049999999999</v>
      </c>
    </row>
    <row r="110" spans="1:12" x14ac:dyDescent="0.3">
      <c r="A110" s="64">
        <v>100</v>
      </c>
      <c r="B110" s="80">
        <f t="shared" si="121"/>
        <v>32.893999999999998</v>
      </c>
      <c r="C110" s="83">
        <f t="shared" si="122"/>
        <v>52.593499999999999</v>
      </c>
      <c r="D110" s="83">
        <f t="shared" si="123"/>
        <v>66.991500000000002</v>
      </c>
      <c r="E110" s="83">
        <f t="shared" si="124"/>
        <v>73.765000000000001</v>
      </c>
      <c r="F110" s="83">
        <f t="shared" si="125"/>
        <v>78.825000000000003</v>
      </c>
      <c r="G110" s="83">
        <f t="shared" si="126"/>
        <v>84.275999999999996</v>
      </c>
      <c r="H110" s="83">
        <f t="shared" si="127"/>
        <v>89.221000000000004</v>
      </c>
      <c r="I110" s="83">
        <f t="shared" si="128"/>
        <v>93.636999999999986</v>
      </c>
      <c r="J110" s="83">
        <f t="shared" si="129"/>
        <v>98.283000000000001</v>
      </c>
      <c r="K110" s="83">
        <f t="shared" si="130"/>
        <v>103.136</v>
      </c>
      <c r="L110" s="83">
        <f t="shared" si="131"/>
        <v>108.23049999999999</v>
      </c>
    </row>
  </sheetData>
  <mergeCells count="3">
    <mergeCell ref="O12:O18"/>
    <mergeCell ref="O19:P21"/>
    <mergeCell ref="C2:D2"/>
  </mergeCells>
  <pageMargins left="0.25" right="0.25" top="0.75" bottom="0.75" header="0.3" footer="0.3"/>
  <pageSetup paperSize="9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F0973-41D3-4C9F-800C-FE653DD39317}">
  <dimension ref="A4:K206"/>
  <sheetViews>
    <sheetView topLeftCell="A88" zoomScaleNormal="100" workbookViewId="0">
      <selection activeCell="I31" sqref="I31"/>
    </sheetView>
  </sheetViews>
  <sheetFormatPr baseColWidth="10" defaultRowHeight="14.4" x14ac:dyDescent="0.3"/>
  <cols>
    <col min="5" max="5" width="27" customWidth="1"/>
    <col min="7" max="7" width="28.44140625" customWidth="1"/>
    <col min="9" max="9" width="31.44140625" customWidth="1"/>
    <col min="11" max="11" width="31.44140625" customWidth="1"/>
  </cols>
  <sheetData>
    <row r="4" spans="1:11" x14ac:dyDescent="0.3">
      <c r="E4" s="4" t="s">
        <v>379</v>
      </c>
      <c r="G4" s="4" t="s">
        <v>380</v>
      </c>
      <c r="I4" t="s">
        <v>425</v>
      </c>
      <c r="K4" s="4" t="s">
        <v>426</v>
      </c>
    </row>
    <row r="5" spans="1:11" x14ac:dyDescent="0.3">
      <c r="E5" s="4" t="s">
        <v>182</v>
      </c>
      <c r="G5" s="4" t="s">
        <v>381</v>
      </c>
      <c r="I5" s="4" t="s">
        <v>429</v>
      </c>
      <c r="K5" s="4" t="s">
        <v>450</v>
      </c>
    </row>
    <row r="6" spans="1:11" x14ac:dyDescent="0.3">
      <c r="E6" s="4" t="s">
        <v>183</v>
      </c>
      <c r="G6" s="4" t="s">
        <v>382</v>
      </c>
      <c r="I6" s="4" t="s">
        <v>430</v>
      </c>
      <c r="K6" s="4" t="s">
        <v>451</v>
      </c>
    </row>
    <row r="7" spans="1:11" x14ac:dyDescent="0.3">
      <c r="E7" s="4" t="s">
        <v>184</v>
      </c>
      <c r="G7" s="4" t="s">
        <v>383</v>
      </c>
      <c r="I7" s="4" t="s">
        <v>431</v>
      </c>
      <c r="K7" s="45"/>
    </row>
    <row r="8" spans="1:11" x14ac:dyDescent="0.3">
      <c r="E8" s="4" t="s">
        <v>178</v>
      </c>
      <c r="G8" s="4" t="s">
        <v>384</v>
      </c>
      <c r="I8" s="4" t="s">
        <v>432</v>
      </c>
      <c r="K8" s="4" t="s">
        <v>452</v>
      </c>
    </row>
    <row r="9" spans="1:11" x14ac:dyDescent="0.3">
      <c r="E9" s="4" t="s">
        <v>179</v>
      </c>
      <c r="G9" s="4" t="s">
        <v>385</v>
      </c>
      <c r="I9" s="4" t="s">
        <v>433</v>
      </c>
      <c r="K9" s="4" t="s">
        <v>453</v>
      </c>
    </row>
    <row r="10" spans="1:11" x14ac:dyDescent="0.3">
      <c r="A10" s="4" t="s">
        <v>0</v>
      </c>
      <c r="B10" s="4" t="s">
        <v>174</v>
      </c>
      <c r="E10" s="4" t="s">
        <v>185</v>
      </c>
      <c r="G10" s="4" t="s">
        <v>386</v>
      </c>
      <c r="I10" s="4" t="s">
        <v>434</v>
      </c>
      <c r="K10" s="4" t="s">
        <v>454</v>
      </c>
    </row>
    <row r="11" spans="1:11" x14ac:dyDescent="0.3">
      <c r="A11" s="4">
        <v>1</v>
      </c>
      <c r="B11" s="4">
        <v>6.5</v>
      </c>
      <c r="E11" s="4" t="s">
        <v>186</v>
      </c>
      <c r="G11" s="4" t="s">
        <v>387</v>
      </c>
      <c r="I11" s="4" t="s">
        <v>435</v>
      </c>
      <c r="K11" s="4" t="s">
        <v>455</v>
      </c>
    </row>
    <row r="12" spans="1:11" x14ac:dyDescent="0.3">
      <c r="A12" s="4">
        <v>2</v>
      </c>
      <c r="B12" s="4">
        <v>6.5</v>
      </c>
      <c r="E12" s="4" t="s">
        <v>187</v>
      </c>
      <c r="G12" s="4" t="s">
        <v>388</v>
      </c>
      <c r="I12" s="4" t="s">
        <v>436</v>
      </c>
      <c r="K12" s="4" t="s">
        <v>456</v>
      </c>
    </row>
    <row r="13" spans="1:11" x14ac:dyDescent="0.3">
      <c r="A13" s="4">
        <v>3</v>
      </c>
      <c r="B13" s="4">
        <v>6.5</v>
      </c>
      <c r="E13" s="4" t="s">
        <v>188</v>
      </c>
      <c r="G13" s="4" t="s">
        <v>389</v>
      </c>
      <c r="I13" s="4" t="s">
        <v>437</v>
      </c>
      <c r="K13" s="4" t="s">
        <v>457</v>
      </c>
    </row>
    <row r="14" spans="1:11" x14ac:dyDescent="0.3">
      <c r="A14" s="4">
        <v>4</v>
      </c>
      <c r="B14" s="4">
        <v>6.5</v>
      </c>
      <c r="E14" s="4" t="s">
        <v>189</v>
      </c>
      <c r="G14" s="4" t="s">
        <v>390</v>
      </c>
      <c r="I14" s="4" t="s">
        <v>438</v>
      </c>
      <c r="K14" s="4" t="s">
        <v>458</v>
      </c>
    </row>
    <row r="15" spans="1:11" x14ac:dyDescent="0.3">
      <c r="A15" s="4">
        <v>5</v>
      </c>
      <c r="B15" s="4">
        <v>6.5</v>
      </c>
      <c r="E15" s="4" t="s">
        <v>190</v>
      </c>
      <c r="G15" s="4" t="s">
        <v>391</v>
      </c>
      <c r="I15" s="4" t="s">
        <v>439</v>
      </c>
      <c r="K15" s="4" t="s">
        <v>459</v>
      </c>
    </row>
    <row r="16" spans="1:11" x14ac:dyDescent="0.3">
      <c r="A16" s="4">
        <v>6</v>
      </c>
      <c r="B16" s="4">
        <v>6.5</v>
      </c>
      <c r="E16" s="4" t="s">
        <v>191</v>
      </c>
      <c r="G16" s="4" t="s">
        <v>392</v>
      </c>
      <c r="I16" s="4" t="s">
        <v>440</v>
      </c>
      <c r="K16" s="4" t="s">
        <v>460</v>
      </c>
    </row>
    <row r="17" spans="1:11" x14ac:dyDescent="0.3">
      <c r="A17" s="4">
        <v>7</v>
      </c>
      <c r="B17" s="4">
        <v>6.5</v>
      </c>
      <c r="E17" s="4" t="s">
        <v>192</v>
      </c>
      <c r="G17" s="4" t="s">
        <v>393</v>
      </c>
      <c r="I17" s="4" t="s">
        <v>441</v>
      </c>
      <c r="K17" s="4" t="s">
        <v>461</v>
      </c>
    </row>
    <row r="18" spans="1:11" x14ac:dyDescent="0.3">
      <c r="A18" s="4">
        <v>8</v>
      </c>
      <c r="B18" s="4">
        <v>6.5</v>
      </c>
      <c r="E18" s="4" t="s">
        <v>193</v>
      </c>
      <c r="G18" s="4" t="s">
        <v>394</v>
      </c>
      <c r="I18" s="4" t="s">
        <v>442</v>
      </c>
      <c r="K18" s="4" t="s">
        <v>462</v>
      </c>
    </row>
    <row r="19" spans="1:11" x14ac:dyDescent="0.3">
      <c r="A19" s="4">
        <v>9</v>
      </c>
      <c r="B19" s="4">
        <v>6.5</v>
      </c>
      <c r="E19" s="4" t="s">
        <v>194</v>
      </c>
      <c r="G19" s="4" t="s">
        <v>395</v>
      </c>
      <c r="I19" s="4" t="s">
        <v>443</v>
      </c>
      <c r="K19" s="4" t="s">
        <v>463</v>
      </c>
    </row>
    <row r="20" spans="1:11" x14ac:dyDescent="0.3">
      <c r="A20" s="4">
        <v>10</v>
      </c>
      <c r="B20" s="4">
        <v>6.5</v>
      </c>
      <c r="E20" s="4" t="s">
        <v>195</v>
      </c>
      <c r="G20" s="4" t="s">
        <v>396</v>
      </c>
      <c r="I20" s="4" t="s">
        <v>444</v>
      </c>
      <c r="K20" s="4" t="s">
        <v>464</v>
      </c>
    </row>
    <row r="21" spans="1:11" x14ac:dyDescent="0.3">
      <c r="A21" s="4">
        <v>11</v>
      </c>
      <c r="B21" s="4">
        <v>6.5</v>
      </c>
      <c r="E21" s="4" t="s">
        <v>196</v>
      </c>
      <c r="G21" s="4" t="s">
        <v>397</v>
      </c>
      <c r="I21" s="4" t="s">
        <v>445</v>
      </c>
      <c r="K21" s="4" t="s">
        <v>465</v>
      </c>
    </row>
    <row r="22" spans="1:11" x14ac:dyDescent="0.3">
      <c r="A22" s="4">
        <v>12</v>
      </c>
      <c r="B22" s="4">
        <v>6.5</v>
      </c>
      <c r="E22" s="4" t="s">
        <v>197</v>
      </c>
      <c r="G22" s="4" t="s">
        <v>398</v>
      </c>
      <c r="I22" s="4" t="s">
        <v>446</v>
      </c>
      <c r="K22" s="4" t="s">
        <v>466</v>
      </c>
    </row>
    <row r="23" spans="1:11" x14ac:dyDescent="0.3">
      <c r="A23" s="4">
        <v>13</v>
      </c>
      <c r="B23" s="4">
        <v>6.5</v>
      </c>
      <c r="E23" s="4" t="s">
        <v>198</v>
      </c>
      <c r="G23" s="4" t="s">
        <v>399</v>
      </c>
      <c r="I23" s="4" t="s">
        <v>447</v>
      </c>
      <c r="K23" s="4" t="s">
        <v>467</v>
      </c>
    </row>
    <row r="24" spans="1:11" x14ac:dyDescent="0.3">
      <c r="A24" s="4">
        <v>14</v>
      </c>
      <c r="B24" s="4">
        <v>6.5</v>
      </c>
      <c r="E24" s="4" t="s">
        <v>199</v>
      </c>
      <c r="G24" s="4" t="s">
        <v>400</v>
      </c>
      <c r="I24" s="4" t="s">
        <v>448</v>
      </c>
      <c r="K24" s="4" t="s">
        <v>468</v>
      </c>
    </row>
    <row r="25" spans="1:11" x14ac:dyDescent="0.3">
      <c r="A25" s="4">
        <v>15</v>
      </c>
      <c r="B25" s="4">
        <v>6.5</v>
      </c>
      <c r="E25" s="4" t="s">
        <v>200</v>
      </c>
      <c r="G25" s="4" t="s">
        <v>401</v>
      </c>
      <c r="I25" s="4" t="s">
        <v>449</v>
      </c>
      <c r="K25" s="46" t="s">
        <v>469</v>
      </c>
    </row>
    <row r="26" spans="1:11" x14ac:dyDescent="0.3">
      <c r="A26" s="4">
        <v>16</v>
      </c>
      <c r="B26" s="4">
        <v>6.5</v>
      </c>
      <c r="E26" s="4" t="s">
        <v>180</v>
      </c>
      <c r="G26" s="4" t="s">
        <v>402</v>
      </c>
      <c r="I26" s="4"/>
    </row>
    <row r="27" spans="1:11" x14ac:dyDescent="0.3">
      <c r="A27" s="4">
        <v>17</v>
      </c>
      <c r="B27" s="4">
        <v>6.5</v>
      </c>
      <c r="E27" s="4" t="s">
        <v>181</v>
      </c>
      <c r="G27" s="4" t="s">
        <v>403</v>
      </c>
    </row>
    <row r="28" spans="1:11" x14ac:dyDescent="0.3">
      <c r="A28" s="4">
        <v>18</v>
      </c>
      <c r="B28" s="4">
        <v>6.5</v>
      </c>
      <c r="E28" s="4" t="s">
        <v>201</v>
      </c>
      <c r="G28" s="4" t="s">
        <v>404</v>
      </c>
    </row>
    <row r="29" spans="1:11" x14ac:dyDescent="0.3">
      <c r="A29" s="4">
        <v>19</v>
      </c>
      <c r="B29" s="4">
        <v>6.5</v>
      </c>
      <c r="E29" s="4" t="s">
        <v>202</v>
      </c>
      <c r="G29" s="4" t="s">
        <v>405</v>
      </c>
      <c r="I29" s="4" t="s">
        <v>470</v>
      </c>
      <c r="K29" s="4" t="s">
        <v>475</v>
      </c>
    </row>
    <row r="30" spans="1:11" x14ac:dyDescent="0.3">
      <c r="A30" s="4">
        <v>20</v>
      </c>
      <c r="B30" s="4">
        <v>6.5</v>
      </c>
      <c r="E30" s="4" t="s">
        <v>203</v>
      </c>
      <c r="G30" s="4" t="s">
        <v>406</v>
      </c>
      <c r="I30" s="4" t="s">
        <v>471</v>
      </c>
      <c r="K30" s="4" t="s">
        <v>473</v>
      </c>
    </row>
    <row r="31" spans="1:11" x14ac:dyDescent="0.3">
      <c r="A31" s="4">
        <v>21</v>
      </c>
      <c r="B31" s="4">
        <v>6.5</v>
      </c>
      <c r="E31" s="4" t="s">
        <v>204</v>
      </c>
      <c r="G31" s="4" t="s">
        <v>407</v>
      </c>
      <c r="I31" s="4" t="s">
        <v>472</v>
      </c>
      <c r="K31" s="4" t="s">
        <v>474</v>
      </c>
    </row>
    <row r="32" spans="1:11" x14ac:dyDescent="0.3">
      <c r="A32" s="4">
        <v>22</v>
      </c>
      <c r="B32" s="4">
        <v>6.5</v>
      </c>
      <c r="E32" s="4" t="s">
        <v>205</v>
      </c>
      <c r="G32" s="4" t="s">
        <v>408</v>
      </c>
      <c r="I32" s="4"/>
      <c r="K32" s="4"/>
    </row>
    <row r="33" spans="1:11" x14ac:dyDescent="0.3">
      <c r="A33" s="4">
        <v>23</v>
      </c>
      <c r="B33" s="4">
        <v>6.5</v>
      </c>
      <c r="E33" s="4" t="s">
        <v>206</v>
      </c>
      <c r="G33" s="4" t="s">
        <v>409</v>
      </c>
      <c r="K33" s="4"/>
    </row>
    <row r="34" spans="1:11" x14ac:dyDescent="0.3">
      <c r="A34" s="4">
        <v>24</v>
      </c>
      <c r="B34" s="4">
        <v>6.5</v>
      </c>
      <c r="E34" s="4" t="s">
        <v>207</v>
      </c>
      <c r="G34" s="4" t="s">
        <v>410</v>
      </c>
      <c r="K34" s="4"/>
    </row>
    <row r="35" spans="1:11" x14ac:dyDescent="0.3">
      <c r="A35" s="4">
        <v>25</v>
      </c>
      <c r="B35" s="4">
        <v>6.5</v>
      </c>
      <c r="E35" s="4" t="s">
        <v>208</v>
      </c>
      <c r="G35" s="4" t="s">
        <v>411</v>
      </c>
    </row>
    <row r="36" spans="1:11" x14ac:dyDescent="0.3">
      <c r="A36" s="4">
        <v>26</v>
      </c>
      <c r="B36" s="4">
        <v>6.5</v>
      </c>
      <c r="E36" s="4" t="s">
        <v>209</v>
      </c>
      <c r="G36" s="4" t="s">
        <v>412</v>
      </c>
    </row>
    <row r="37" spans="1:11" x14ac:dyDescent="0.3">
      <c r="A37" s="4">
        <v>27</v>
      </c>
      <c r="B37" s="4">
        <v>6.5</v>
      </c>
      <c r="E37" s="4" t="s">
        <v>210</v>
      </c>
      <c r="G37" s="4" t="s">
        <v>413</v>
      </c>
    </row>
    <row r="38" spans="1:11" x14ac:dyDescent="0.3">
      <c r="A38" s="4">
        <v>28</v>
      </c>
      <c r="B38" s="4">
        <v>6.5</v>
      </c>
      <c r="E38" s="4" t="s">
        <v>211</v>
      </c>
      <c r="G38" s="4" t="s">
        <v>414</v>
      </c>
    </row>
    <row r="39" spans="1:11" x14ac:dyDescent="0.3">
      <c r="A39" s="4">
        <v>29</v>
      </c>
      <c r="B39" s="4">
        <v>6.5</v>
      </c>
      <c r="E39" s="4" t="s">
        <v>212</v>
      </c>
      <c r="G39" s="4" t="s">
        <v>415</v>
      </c>
    </row>
    <row r="40" spans="1:11" x14ac:dyDescent="0.3">
      <c r="A40" s="4">
        <v>30</v>
      </c>
      <c r="B40" s="4">
        <v>9.5</v>
      </c>
      <c r="E40" s="4" t="s">
        <v>213</v>
      </c>
      <c r="G40" s="4" t="s">
        <v>416</v>
      </c>
    </row>
    <row r="41" spans="1:11" x14ac:dyDescent="0.3">
      <c r="A41" s="4">
        <v>31</v>
      </c>
      <c r="B41" s="4">
        <v>9.5</v>
      </c>
      <c r="E41" s="4" t="s">
        <v>214</v>
      </c>
      <c r="G41" s="4" t="s">
        <v>417</v>
      </c>
    </row>
    <row r="42" spans="1:11" x14ac:dyDescent="0.3">
      <c r="A42" s="4">
        <v>32</v>
      </c>
      <c r="B42" s="4">
        <v>9.5</v>
      </c>
      <c r="E42" s="4" t="s">
        <v>215</v>
      </c>
      <c r="G42" s="4" t="s">
        <v>418</v>
      </c>
    </row>
    <row r="43" spans="1:11" x14ac:dyDescent="0.3">
      <c r="A43" s="4">
        <v>33</v>
      </c>
      <c r="B43" s="4">
        <v>9.5</v>
      </c>
      <c r="E43" s="4" t="s">
        <v>216</v>
      </c>
      <c r="G43" s="4" t="s">
        <v>419</v>
      </c>
    </row>
    <row r="44" spans="1:11" x14ac:dyDescent="0.3">
      <c r="A44" s="4">
        <v>34</v>
      </c>
      <c r="B44" s="4">
        <v>9.5</v>
      </c>
      <c r="E44" s="4" t="s">
        <v>217</v>
      </c>
      <c r="G44" s="4" t="s">
        <v>420</v>
      </c>
    </row>
    <row r="45" spans="1:11" x14ac:dyDescent="0.3">
      <c r="A45" s="4">
        <v>35</v>
      </c>
      <c r="B45" s="4">
        <v>9.5</v>
      </c>
      <c r="E45" s="4" t="s">
        <v>218</v>
      </c>
      <c r="G45" s="4" t="s">
        <v>421</v>
      </c>
    </row>
    <row r="46" spans="1:11" x14ac:dyDescent="0.3">
      <c r="A46" s="4">
        <v>36</v>
      </c>
      <c r="B46" s="4">
        <v>9.5</v>
      </c>
      <c r="E46" s="4" t="s">
        <v>219</v>
      </c>
      <c r="G46" s="4" t="s">
        <v>422</v>
      </c>
    </row>
    <row r="47" spans="1:11" x14ac:dyDescent="0.3">
      <c r="A47" s="4">
        <v>37</v>
      </c>
      <c r="B47" s="4">
        <v>9.5</v>
      </c>
      <c r="E47" s="4" t="s">
        <v>220</v>
      </c>
      <c r="G47" s="4" t="s">
        <v>423</v>
      </c>
    </row>
    <row r="48" spans="1:11" x14ac:dyDescent="0.3">
      <c r="A48" s="4">
        <v>38</v>
      </c>
      <c r="B48" s="4">
        <v>9.5</v>
      </c>
      <c r="E48" s="4" t="s">
        <v>175</v>
      </c>
      <c r="G48" s="4" t="s">
        <v>424</v>
      </c>
    </row>
    <row r="49" spans="1:5" x14ac:dyDescent="0.3">
      <c r="A49" s="4">
        <v>39</v>
      </c>
      <c r="B49" s="4">
        <v>9.5</v>
      </c>
      <c r="E49" s="4" t="s">
        <v>221</v>
      </c>
    </row>
    <row r="50" spans="1:5" x14ac:dyDescent="0.3">
      <c r="A50" s="4">
        <v>40</v>
      </c>
      <c r="B50" s="4">
        <v>9.5</v>
      </c>
      <c r="E50" s="4" t="s">
        <v>222</v>
      </c>
    </row>
    <row r="51" spans="1:5" x14ac:dyDescent="0.3">
      <c r="A51" s="4">
        <v>41</v>
      </c>
      <c r="B51" s="4">
        <v>9.5</v>
      </c>
      <c r="E51" s="4" t="s">
        <v>176</v>
      </c>
    </row>
    <row r="52" spans="1:5" x14ac:dyDescent="0.3">
      <c r="A52" s="4">
        <v>42</v>
      </c>
      <c r="B52" s="4">
        <v>9.5</v>
      </c>
      <c r="E52" s="4" t="s">
        <v>223</v>
      </c>
    </row>
    <row r="53" spans="1:5" x14ac:dyDescent="0.3">
      <c r="A53" s="4">
        <v>43</v>
      </c>
      <c r="B53" s="4">
        <v>9.5</v>
      </c>
      <c r="E53" s="4" t="s">
        <v>224</v>
      </c>
    </row>
    <row r="54" spans="1:5" x14ac:dyDescent="0.3">
      <c r="A54" s="4">
        <v>44</v>
      </c>
      <c r="B54" s="4">
        <v>9.5</v>
      </c>
      <c r="E54" s="4" t="s">
        <v>225</v>
      </c>
    </row>
    <row r="55" spans="1:5" x14ac:dyDescent="0.3">
      <c r="A55" s="4">
        <v>45</v>
      </c>
      <c r="B55" s="4">
        <v>9.5</v>
      </c>
      <c r="E55" s="4" t="s">
        <v>226</v>
      </c>
    </row>
    <row r="56" spans="1:5" x14ac:dyDescent="0.3">
      <c r="A56" s="4">
        <v>46</v>
      </c>
      <c r="B56" s="4">
        <v>9.5</v>
      </c>
      <c r="E56" s="4" t="s">
        <v>227</v>
      </c>
    </row>
    <row r="57" spans="1:5" x14ac:dyDescent="0.3">
      <c r="A57" s="4">
        <v>47</v>
      </c>
      <c r="B57" s="4">
        <v>9.5</v>
      </c>
      <c r="E57" s="4" t="s">
        <v>228</v>
      </c>
    </row>
    <row r="58" spans="1:5" x14ac:dyDescent="0.3">
      <c r="A58" s="4">
        <v>48</v>
      </c>
      <c r="B58" s="4">
        <v>9.5</v>
      </c>
      <c r="E58" s="4" t="s">
        <v>177</v>
      </c>
    </row>
    <row r="59" spans="1:5" x14ac:dyDescent="0.3">
      <c r="A59" s="4">
        <v>49</v>
      </c>
      <c r="B59" s="4">
        <v>9.5</v>
      </c>
      <c r="E59" s="4" t="s">
        <v>229</v>
      </c>
    </row>
    <row r="60" spans="1:5" x14ac:dyDescent="0.3">
      <c r="A60" s="4">
        <v>50</v>
      </c>
      <c r="B60" s="4">
        <v>15.5</v>
      </c>
      <c r="E60" s="4" t="s">
        <v>230</v>
      </c>
    </row>
    <row r="61" spans="1:5" x14ac:dyDescent="0.3">
      <c r="A61" s="4">
        <v>51</v>
      </c>
      <c r="B61" s="4">
        <v>15.5</v>
      </c>
      <c r="E61" s="4" t="s">
        <v>231</v>
      </c>
    </row>
    <row r="62" spans="1:5" x14ac:dyDescent="0.3">
      <c r="A62" s="4">
        <v>52</v>
      </c>
      <c r="B62" s="4">
        <v>15.5</v>
      </c>
      <c r="E62" s="4" t="s">
        <v>232</v>
      </c>
    </row>
    <row r="63" spans="1:5" x14ac:dyDescent="0.3">
      <c r="A63" s="4">
        <v>53</v>
      </c>
      <c r="B63" s="4">
        <v>15.5</v>
      </c>
      <c r="E63" s="4" t="s">
        <v>233</v>
      </c>
    </row>
    <row r="64" spans="1:5" x14ac:dyDescent="0.3">
      <c r="A64" s="4">
        <v>54</v>
      </c>
      <c r="B64" s="4">
        <v>15.5</v>
      </c>
      <c r="E64" s="4" t="s">
        <v>234</v>
      </c>
    </row>
    <row r="65" spans="1:5" x14ac:dyDescent="0.3">
      <c r="A65" s="4">
        <v>55</v>
      </c>
      <c r="B65" s="4">
        <v>15.5</v>
      </c>
      <c r="E65" s="4" t="s">
        <v>235</v>
      </c>
    </row>
    <row r="66" spans="1:5" x14ac:dyDescent="0.3">
      <c r="A66" s="4">
        <v>56</v>
      </c>
      <c r="B66" s="4">
        <v>15.5</v>
      </c>
      <c r="E66" s="4" t="s">
        <v>236</v>
      </c>
    </row>
    <row r="67" spans="1:5" x14ac:dyDescent="0.3">
      <c r="A67" s="4">
        <v>57</v>
      </c>
      <c r="B67" s="4">
        <v>15.5</v>
      </c>
      <c r="E67" s="4" t="s">
        <v>237</v>
      </c>
    </row>
    <row r="68" spans="1:5" x14ac:dyDescent="0.3">
      <c r="A68" s="4">
        <v>58</v>
      </c>
      <c r="B68" s="4">
        <v>15.5</v>
      </c>
      <c r="E68" s="4" t="s">
        <v>238</v>
      </c>
    </row>
    <row r="69" spans="1:5" x14ac:dyDescent="0.3">
      <c r="A69" s="4">
        <v>59</v>
      </c>
      <c r="B69" s="4">
        <v>15.5</v>
      </c>
      <c r="E69" s="4" t="s">
        <v>239</v>
      </c>
    </row>
    <row r="70" spans="1:5" x14ac:dyDescent="0.3">
      <c r="A70" s="4">
        <v>60</v>
      </c>
      <c r="B70" s="4">
        <v>15.5</v>
      </c>
      <c r="E70" s="4" t="s">
        <v>240</v>
      </c>
    </row>
    <row r="71" spans="1:5" x14ac:dyDescent="0.3">
      <c r="A71" s="4">
        <v>61</v>
      </c>
      <c r="B71" s="4">
        <v>15.5</v>
      </c>
      <c r="E71" s="4" t="s">
        <v>241</v>
      </c>
    </row>
    <row r="72" spans="1:5" x14ac:dyDescent="0.3">
      <c r="A72" s="4">
        <v>62</v>
      </c>
      <c r="B72" s="4">
        <v>15.5</v>
      </c>
      <c r="E72" s="4" t="s">
        <v>242</v>
      </c>
    </row>
    <row r="73" spans="1:5" x14ac:dyDescent="0.3">
      <c r="A73" s="4">
        <v>63</v>
      </c>
      <c r="B73" s="4">
        <v>15.5</v>
      </c>
      <c r="E73" s="4" t="s">
        <v>243</v>
      </c>
    </row>
    <row r="74" spans="1:5" x14ac:dyDescent="0.3">
      <c r="A74" s="4">
        <v>64</v>
      </c>
      <c r="B74" s="4">
        <v>15.5</v>
      </c>
      <c r="E74" s="4" t="s">
        <v>244</v>
      </c>
    </row>
    <row r="75" spans="1:5" x14ac:dyDescent="0.3">
      <c r="A75" s="4">
        <v>65</v>
      </c>
      <c r="B75" s="4">
        <v>15.5</v>
      </c>
      <c r="E75" s="4" t="s">
        <v>245</v>
      </c>
    </row>
    <row r="76" spans="1:5" x14ac:dyDescent="0.3">
      <c r="A76" s="4">
        <v>66</v>
      </c>
      <c r="B76" s="4">
        <v>15.5</v>
      </c>
      <c r="E76" s="4" t="s">
        <v>246</v>
      </c>
    </row>
    <row r="77" spans="1:5" x14ac:dyDescent="0.3">
      <c r="A77" s="4">
        <v>67</v>
      </c>
      <c r="B77" s="4">
        <v>15.5</v>
      </c>
      <c r="E77" s="4" t="s">
        <v>247</v>
      </c>
    </row>
    <row r="78" spans="1:5" x14ac:dyDescent="0.3">
      <c r="A78" s="4">
        <v>68</v>
      </c>
      <c r="B78" s="4">
        <v>15.5</v>
      </c>
      <c r="E78" s="4" t="s">
        <v>248</v>
      </c>
    </row>
    <row r="79" spans="1:5" x14ac:dyDescent="0.3">
      <c r="A79" s="4">
        <v>69</v>
      </c>
      <c r="B79" s="4">
        <v>15.5</v>
      </c>
      <c r="E79" s="4" t="s">
        <v>249</v>
      </c>
    </row>
    <row r="80" spans="1:5" x14ac:dyDescent="0.3">
      <c r="A80" s="4">
        <v>70</v>
      </c>
      <c r="B80" s="4">
        <v>15.5</v>
      </c>
      <c r="E80" s="4" t="s">
        <v>250</v>
      </c>
    </row>
    <row r="81" spans="1:5" x14ac:dyDescent="0.3">
      <c r="A81" s="4">
        <v>71</v>
      </c>
      <c r="B81" s="4">
        <v>15.5</v>
      </c>
      <c r="E81" s="4" t="s">
        <v>251</v>
      </c>
    </row>
    <row r="82" spans="1:5" x14ac:dyDescent="0.3">
      <c r="A82" s="4">
        <v>72</v>
      </c>
      <c r="B82" s="4">
        <v>15.5</v>
      </c>
      <c r="E82" s="4" t="s">
        <v>252</v>
      </c>
    </row>
    <row r="83" spans="1:5" x14ac:dyDescent="0.3">
      <c r="A83" s="4">
        <v>73</v>
      </c>
      <c r="B83" s="4">
        <v>15.5</v>
      </c>
      <c r="E83" s="4" t="s">
        <v>253</v>
      </c>
    </row>
    <row r="84" spans="1:5" x14ac:dyDescent="0.3">
      <c r="A84" s="4">
        <v>74</v>
      </c>
      <c r="B84" s="4">
        <v>15.5</v>
      </c>
      <c r="E84" s="4" t="s">
        <v>254</v>
      </c>
    </row>
    <row r="85" spans="1:5" x14ac:dyDescent="0.3">
      <c r="A85" s="4">
        <v>75</v>
      </c>
      <c r="B85" s="4">
        <v>15.5</v>
      </c>
      <c r="E85" s="4" t="s">
        <v>255</v>
      </c>
    </row>
    <row r="86" spans="1:5" x14ac:dyDescent="0.3">
      <c r="A86" s="4">
        <v>76</v>
      </c>
      <c r="B86" s="4">
        <v>15.5</v>
      </c>
      <c r="E86" s="4" t="s">
        <v>256</v>
      </c>
    </row>
    <row r="87" spans="1:5" x14ac:dyDescent="0.3">
      <c r="A87" s="4">
        <v>77</v>
      </c>
      <c r="B87" s="4">
        <v>15.5</v>
      </c>
      <c r="E87" s="4" t="s">
        <v>257</v>
      </c>
    </row>
    <row r="88" spans="1:5" x14ac:dyDescent="0.3">
      <c r="A88" s="4">
        <v>78</v>
      </c>
      <c r="B88" s="4">
        <v>15.5</v>
      </c>
      <c r="E88" s="4" t="s">
        <v>258</v>
      </c>
    </row>
    <row r="89" spans="1:5" x14ac:dyDescent="0.3">
      <c r="A89" s="4">
        <v>79</v>
      </c>
      <c r="B89" s="4">
        <v>15.5</v>
      </c>
      <c r="E89" s="4" t="s">
        <v>259</v>
      </c>
    </row>
    <row r="90" spans="1:5" x14ac:dyDescent="0.3">
      <c r="A90" s="4">
        <v>80</v>
      </c>
      <c r="B90" s="4">
        <v>15.5</v>
      </c>
      <c r="E90" s="4" t="s">
        <v>260</v>
      </c>
    </row>
    <row r="91" spans="1:5" x14ac:dyDescent="0.3">
      <c r="A91" s="4">
        <v>81</v>
      </c>
      <c r="B91" s="4">
        <v>15.5</v>
      </c>
      <c r="E91" s="4" t="s">
        <v>261</v>
      </c>
    </row>
    <row r="92" spans="1:5" x14ac:dyDescent="0.3">
      <c r="A92" s="4">
        <v>82</v>
      </c>
      <c r="B92" s="4">
        <v>15.5</v>
      </c>
      <c r="E92" s="4" t="s">
        <v>262</v>
      </c>
    </row>
    <row r="93" spans="1:5" x14ac:dyDescent="0.3">
      <c r="A93" s="4">
        <v>83</v>
      </c>
      <c r="B93" s="4">
        <v>15.5</v>
      </c>
      <c r="E93" s="4" t="s">
        <v>263</v>
      </c>
    </row>
    <row r="94" spans="1:5" x14ac:dyDescent="0.3">
      <c r="A94" s="4">
        <v>84</v>
      </c>
      <c r="B94" s="4">
        <v>15.5</v>
      </c>
      <c r="E94" s="4" t="s">
        <v>264</v>
      </c>
    </row>
    <row r="95" spans="1:5" x14ac:dyDescent="0.3">
      <c r="A95" s="4">
        <v>85</v>
      </c>
      <c r="B95" s="4">
        <v>15.5</v>
      </c>
      <c r="E95" s="4" t="s">
        <v>265</v>
      </c>
    </row>
    <row r="96" spans="1:5" x14ac:dyDescent="0.3">
      <c r="A96" s="4">
        <v>86</v>
      </c>
      <c r="B96" s="4">
        <v>15.5</v>
      </c>
      <c r="E96" s="4" t="s">
        <v>266</v>
      </c>
    </row>
    <row r="97" spans="1:5" x14ac:dyDescent="0.3">
      <c r="A97" s="4">
        <v>87</v>
      </c>
      <c r="B97" s="4">
        <v>15.5</v>
      </c>
      <c r="E97" s="4" t="s">
        <v>267</v>
      </c>
    </row>
    <row r="98" spans="1:5" x14ac:dyDescent="0.3">
      <c r="A98" s="4">
        <v>88</v>
      </c>
      <c r="B98" s="4">
        <v>15.5</v>
      </c>
      <c r="E98" s="4" t="s">
        <v>268</v>
      </c>
    </row>
    <row r="99" spans="1:5" x14ac:dyDescent="0.3">
      <c r="A99" s="4">
        <v>89</v>
      </c>
      <c r="B99" s="4">
        <v>15.5</v>
      </c>
      <c r="E99" s="4" t="s">
        <v>269</v>
      </c>
    </row>
    <row r="100" spans="1:5" x14ac:dyDescent="0.3">
      <c r="A100" s="4">
        <v>90</v>
      </c>
      <c r="B100" s="4">
        <v>15.5</v>
      </c>
      <c r="E100" s="4" t="s">
        <v>270</v>
      </c>
    </row>
    <row r="101" spans="1:5" x14ac:dyDescent="0.3">
      <c r="A101" s="4">
        <v>91</v>
      </c>
      <c r="B101" s="4">
        <v>15.5</v>
      </c>
      <c r="E101" s="4" t="s">
        <v>271</v>
      </c>
    </row>
    <row r="102" spans="1:5" x14ac:dyDescent="0.3">
      <c r="A102" s="4">
        <v>92</v>
      </c>
      <c r="B102" s="4">
        <v>15.5</v>
      </c>
      <c r="E102" s="4" t="s">
        <v>272</v>
      </c>
    </row>
    <row r="103" spans="1:5" x14ac:dyDescent="0.3">
      <c r="A103" s="4">
        <v>93</v>
      </c>
      <c r="B103" s="4">
        <v>15.5</v>
      </c>
      <c r="E103" s="4" t="s">
        <v>273</v>
      </c>
    </row>
    <row r="104" spans="1:5" x14ac:dyDescent="0.3">
      <c r="A104" s="4">
        <v>94</v>
      </c>
      <c r="B104" s="4">
        <v>15.5</v>
      </c>
      <c r="E104" s="4" t="s">
        <v>274</v>
      </c>
    </row>
    <row r="105" spans="1:5" x14ac:dyDescent="0.3">
      <c r="A105" s="4">
        <v>95</v>
      </c>
      <c r="B105" s="4">
        <v>15.5</v>
      </c>
      <c r="E105" s="4" t="s">
        <v>275</v>
      </c>
    </row>
    <row r="106" spans="1:5" x14ac:dyDescent="0.3">
      <c r="A106" s="4">
        <v>96</v>
      </c>
      <c r="B106" s="4">
        <v>15.5</v>
      </c>
      <c r="E106" s="4" t="s">
        <v>276</v>
      </c>
    </row>
    <row r="107" spans="1:5" x14ac:dyDescent="0.3">
      <c r="A107" s="4">
        <v>97</v>
      </c>
      <c r="B107" s="4">
        <v>15.5</v>
      </c>
      <c r="E107" s="4" t="s">
        <v>277</v>
      </c>
    </row>
    <row r="108" spans="1:5" x14ac:dyDescent="0.3">
      <c r="A108" s="4">
        <v>98</v>
      </c>
      <c r="B108" s="4">
        <v>15.5</v>
      </c>
      <c r="E108" s="4" t="s">
        <v>278</v>
      </c>
    </row>
    <row r="109" spans="1:5" x14ac:dyDescent="0.3">
      <c r="A109" s="4">
        <v>99</v>
      </c>
      <c r="B109" s="4">
        <v>15.5</v>
      </c>
      <c r="E109" s="4" t="s">
        <v>279</v>
      </c>
    </row>
    <row r="110" spans="1:5" x14ac:dyDescent="0.3">
      <c r="E110" s="4" t="s">
        <v>280</v>
      </c>
    </row>
    <row r="111" spans="1:5" x14ac:dyDescent="0.3">
      <c r="E111" s="4" t="s">
        <v>281</v>
      </c>
    </row>
    <row r="112" spans="1:5" x14ac:dyDescent="0.3">
      <c r="E112" s="4" t="s">
        <v>282</v>
      </c>
    </row>
    <row r="113" spans="5:5" x14ac:dyDescent="0.3">
      <c r="E113" s="4" t="s">
        <v>283</v>
      </c>
    </row>
    <row r="114" spans="5:5" x14ac:dyDescent="0.3">
      <c r="E114" s="4" t="s">
        <v>284</v>
      </c>
    </row>
    <row r="115" spans="5:5" x14ac:dyDescent="0.3">
      <c r="E115" s="4" t="s">
        <v>285</v>
      </c>
    </row>
    <row r="116" spans="5:5" x14ac:dyDescent="0.3">
      <c r="E116" s="4" t="s">
        <v>286</v>
      </c>
    </row>
    <row r="117" spans="5:5" x14ac:dyDescent="0.3">
      <c r="E117" s="4" t="s">
        <v>287</v>
      </c>
    </row>
    <row r="118" spans="5:5" x14ac:dyDescent="0.3">
      <c r="E118" s="4" t="s">
        <v>288</v>
      </c>
    </row>
    <row r="119" spans="5:5" x14ac:dyDescent="0.3">
      <c r="E119" s="4" t="s">
        <v>289</v>
      </c>
    </row>
    <row r="120" spans="5:5" x14ac:dyDescent="0.3">
      <c r="E120" s="4" t="s">
        <v>290</v>
      </c>
    </row>
    <row r="121" spans="5:5" x14ac:dyDescent="0.3">
      <c r="E121" s="4" t="s">
        <v>291</v>
      </c>
    </row>
    <row r="122" spans="5:5" x14ac:dyDescent="0.3">
      <c r="E122" s="4" t="s">
        <v>292</v>
      </c>
    </row>
    <row r="123" spans="5:5" x14ac:dyDescent="0.3">
      <c r="E123" s="4" t="s">
        <v>293</v>
      </c>
    </row>
    <row r="124" spans="5:5" x14ac:dyDescent="0.3">
      <c r="E124" s="4" t="s">
        <v>294</v>
      </c>
    </row>
    <row r="125" spans="5:5" x14ac:dyDescent="0.3">
      <c r="E125" s="4" t="s">
        <v>295</v>
      </c>
    </row>
    <row r="126" spans="5:5" x14ac:dyDescent="0.3">
      <c r="E126" s="4" t="s">
        <v>296</v>
      </c>
    </row>
    <row r="127" spans="5:5" x14ac:dyDescent="0.3">
      <c r="E127" s="4" t="s">
        <v>297</v>
      </c>
    </row>
    <row r="128" spans="5:5" x14ac:dyDescent="0.3">
      <c r="E128" s="4" t="s">
        <v>298</v>
      </c>
    </row>
    <row r="129" spans="5:5" x14ac:dyDescent="0.3">
      <c r="E129" s="4" t="s">
        <v>299</v>
      </c>
    </row>
    <row r="130" spans="5:5" x14ac:dyDescent="0.3">
      <c r="E130" s="4" t="s">
        <v>300</v>
      </c>
    </row>
    <row r="131" spans="5:5" x14ac:dyDescent="0.3">
      <c r="E131" s="4" t="s">
        <v>301</v>
      </c>
    </row>
    <row r="132" spans="5:5" x14ac:dyDescent="0.3">
      <c r="E132" s="4" t="s">
        <v>302</v>
      </c>
    </row>
    <row r="133" spans="5:5" x14ac:dyDescent="0.3">
      <c r="E133" s="4" t="s">
        <v>303</v>
      </c>
    </row>
    <row r="134" spans="5:5" x14ac:dyDescent="0.3">
      <c r="E134" s="4" t="s">
        <v>304</v>
      </c>
    </row>
    <row r="135" spans="5:5" x14ac:dyDescent="0.3">
      <c r="E135" s="4" t="s">
        <v>305</v>
      </c>
    </row>
    <row r="136" spans="5:5" x14ac:dyDescent="0.3">
      <c r="E136" s="4" t="s">
        <v>306</v>
      </c>
    </row>
    <row r="137" spans="5:5" x14ac:dyDescent="0.3">
      <c r="E137" s="4" t="s">
        <v>307</v>
      </c>
    </row>
    <row r="138" spans="5:5" x14ac:dyDescent="0.3">
      <c r="E138" s="4" t="s">
        <v>308</v>
      </c>
    </row>
    <row r="139" spans="5:5" x14ac:dyDescent="0.3">
      <c r="E139" s="4" t="s">
        <v>309</v>
      </c>
    </row>
    <row r="140" spans="5:5" x14ac:dyDescent="0.3">
      <c r="E140" s="4" t="s">
        <v>310</v>
      </c>
    </row>
    <row r="141" spans="5:5" x14ac:dyDescent="0.3">
      <c r="E141" s="4" t="s">
        <v>311</v>
      </c>
    </row>
    <row r="142" spans="5:5" x14ac:dyDescent="0.3">
      <c r="E142" s="4" t="s">
        <v>312</v>
      </c>
    </row>
    <row r="143" spans="5:5" x14ac:dyDescent="0.3">
      <c r="E143" s="4" t="s">
        <v>313</v>
      </c>
    </row>
    <row r="144" spans="5:5" x14ac:dyDescent="0.3">
      <c r="E144" s="4" t="s">
        <v>314</v>
      </c>
    </row>
    <row r="145" spans="5:5" x14ac:dyDescent="0.3">
      <c r="E145" s="4" t="s">
        <v>315</v>
      </c>
    </row>
    <row r="146" spans="5:5" x14ac:dyDescent="0.3">
      <c r="E146" s="4" t="s">
        <v>316</v>
      </c>
    </row>
    <row r="147" spans="5:5" x14ac:dyDescent="0.3">
      <c r="E147" s="4" t="s">
        <v>317</v>
      </c>
    </row>
    <row r="148" spans="5:5" x14ac:dyDescent="0.3">
      <c r="E148" s="4" t="s">
        <v>318</v>
      </c>
    </row>
    <row r="149" spans="5:5" x14ac:dyDescent="0.3">
      <c r="E149" s="4" t="s">
        <v>319</v>
      </c>
    </row>
    <row r="150" spans="5:5" x14ac:dyDescent="0.3">
      <c r="E150" s="4" t="s">
        <v>320</v>
      </c>
    </row>
    <row r="151" spans="5:5" x14ac:dyDescent="0.3">
      <c r="E151" s="4" t="s">
        <v>321</v>
      </c>
    </row>
    <row r="152" spans="5:5" x14ac:dyDescent="0.3">
      <c r="E152" s="4" t="s">
        <v>322</v>
      </c>
    </row>
    <row r="153" spans="5:5" x14ac:dyDescent="0.3">
      <c r="E153" s="4" t="s">
        <v>323</v>
      </c>
    </row>
    <row r="154" spans="5:5" x14ac:dyDescent="0.3">
      <c r="E154" s="4" t="s">
        <v>324</v>
      </c>
    </row>
    <row r="155" spans="5:5" x14ac:dyDescent="0.3">
      <c r="E155" s="4" t="s">
        <v>325</v>
      </c>
    </row>
    <row r="156" spans="5:5" x14ac:dyDescent="0.3">
      <c r="E156" s="4" t="s">
        <v>326</v>
      </c>
    </row>
    <row r="157" spans="5:5" x14ac:dyDescent="0.3">
      <c r="E157" s="4" t="s">
        <v>327</v>
      </c>
    </row>
    <row r="158" spans="5:5" x14ac:dyDescent="0.3">
      <c r="E158" s="4" t="s">
        <v>328</v>
      </c>
    </row>
    <row r="159" spans="5:5" x14ac:dyDescent="0.3">
      <c r="E159" s="4" t="s">
        <v>329</v>
      </c>
    </row>
    <row r="160" spans="5:5" x14ac:dyDescent="0.3">
      <c r="E160" s="4" t="s">
        <v>330</v>
      </c>
    </row>
    <row r="161" spans="5:5" x14ac:dyDescent="0.3">
      <c r="E161" s="4" t="s">
        <v>331</v>
      </c>
    </row>
    <row r="162" spans="5:5" x14ac:dyDescent="0.3">
      <c r="E162" s="4" t="s">
        <v>332</v>
      </c>
    </row>
    <row r="163" spans="5:5" x14ac:dyDescent="0.3">
      <c r="E163" s="4" t="s">
        <v>333</v>
      </c>
    </row>
    <row r="164" spans="5:5" x14ac:dyDescent="0.3">
      <c r="E164" s="4" t="s">
        <v>334</v>
      </c>
    </row>
    <row r="165" spans="5:5" x14ac:dyDescent="0.3">
      <c r="E165" s="4" t="s">
        <v>335</v>
      </c>
    </row>
    <row r="166" spans="5:5" x14ac:dyDescent="0.3">
      <c r="E166" s="4" t="s">
        <v>336</v>
      </c>
    </row>
    <row r="167" spans="5:5" x14ac:dyDescent="0.3">
      <c r="E167" s="4" t="s">
        <v>337</v>
      </c>
    </row>
    <row r="168" spans="5:5" x14ac:dyDescent="0.3">
      <c r="E168" s="4" t="s">
        <v>338</v>
      </c>
    </row>
    <row r="169" spans="5:5" x14ac:dyDescent="0.3">
      <c r="E169" s="4" t="s">
        <v>339</v>
      </c>
    </row>
    <row r="170" spans="5:5" x14ac:dyDescent="0.3">
      <c r="E170" s="4" t="s">
        <v>340</v>
      </c>
    </row>
    <row r="171" spans="5:5" x14ac:dyDescent="0.3">
      <c r="E171" s="4" t="s">
        <v>341</v>
      </c>
    </row>
    <row r="172" spans="5:5" x14ac:dyDescent="0.3">
      <c r="E172" s="4" t="s">
        <v>342</v>
      </c>
    </row>
    <row r="173" spans="5:5" x14ac:dyDescent="0.3">
      <c r="E173" s="4" t="s">
        <v>343</v>
      </c>
    </row>
    <row r="174" spans="5:5" x14ac:dyDescent="0.3">
      <c r="E174" s="4" t="s">
        <v>344</v>
      </c>
    </row>
    <row r="175" spans="5:5" x14ac:dyDescent="0.3">
      <c r="E175" s="4" t="s">
        <v>345</v>
      </c>
    </row>
    <row r="176" spans="5:5" x14ac:dyDescent="0.3">
      <c r="E176" s="4" t="s">
        <v>346</v>
      </c>
    </row>
    <row r="177" spans="5:5" x14ac:dyDescent="0.3">
      <c r="E177" s="4" t="s">
        <v>347</v>
      </c>
    </row>
    <row r="178" spans="5:5" x14ac:dyDescent="0.3">
      <c r="E178" s="4" t="s">
        <v>348</v>
      </c>
    </row>
    <row r="179" spans="5:5" x14ac:dyDescent="0.3">
      <c r="E179" s="4" t="s">
        <v>349</v>
      </c>
    </row>
    <row r="180" spans="5:5" x14ac:dyDescent="0.3">
      <c r="E180" s="4" t="s">
        <v>350</v>
      </c>
    </row>
    <row r="181" spans="5:5" x14ac:dyDescent="0.3">
      <c r="E181" s="4" t="s">
        <v>351</v>
      </c>
    </row>
    <row r="182" spans="5:5" x14ac:dyDescent="0.3">
      <c r="E182" s="4" t="s">
        <v>352</v>
      </c>
    </row>
    <row r="183" spans="5:5" x14ac:dyDescent="0.3">
      <c r="E183" s="4" t="s">
        <v>353</v>
      </c>
    </row>
    <row r="184" spans="5:5" x14ac:dyDescent="0.3">
      <c r="E184" s="4" t="s">
        <v>354</v>
      </c>
    </row>
    <row r="185" spans="5:5" x14ac:dyDescent="0.3">
      <c r="E185" s="4" t="s">
        <v>355</v>
      </c>
    </row>
    <row r="186" spans="5:5" x14ac:dyDescent="0.3">
      <c r="E186" s="4" t="s">
        <v>356</v>
      </c>
    </row>
    <row r="187" spans="5:5" x14ac:dyDescent="0.3">
      <c r="E187" s="4" t="s">
        <v>357</v>
      </c>
    </row>
    <row r="188" spans="5:5" x14ac:dyDescent="0.3">
      <c r="E188" s="4" t="s">
        <v>358</v>
      </c>
    </row>
    <row r="189" spans="5:5" x14ac:dyDescent="0.3">
      <c r="E189" s="4" t="s">
        <v>359</v>
      </c>
    </row>
    <row r="190" spans="5:5" x14ac:dyDescent="0.3">
      <c r="E190" s="4" t="s">
        <v>360</v>
      </c>
    </row>
    <row r="191" spans="5:5" x14ac:dyDescent="0.3">
      <c r="E191" s="4" t="s">
        <v>361</v>
      </c>
    </row>
    <row r="192" spans="5:5" x14ac:dyDescent="0.3">
      <c r="E192" s="4" t="s">
        <v>362</v>
      </c>
    </row>
    <row r="193" spans="5:5" x14ac:dyDescent="0.3">
      <c r="E193" s="4" t="s">
        <v>363</v>
      </c>
    </row>
    <row r="194" spans="5:5" x14ac:dyDescent="0.3">
      <c r="E194" s="4" t="s">
        <v>364</v>
      </c>
    </row>
    <row r="195" spans="5:5" x14ac:dyDescent="0.3">
      <c r="E195" s="4" t="s">
        <v>365</v>
      </c>
    </row>
    <row r="196" spans="5:5" x14ac:dyDescent="0.3">
      <c r="E196" s="4" t="s">
        <v>366</v>
      </c>
    </row>
    <row r="197" spans="5:5" x14ac:dyDescent="0.3">
      <c r="E197" s="4" t="s">
        <v>367</v>
      </c>
    </row>
    <row r="198" spans="5:5" x14ac:dyDescent="0.3">
      <c r="E198" s="4" t="s">
        <v>368</v>
      </c>
    </row>
    <row r="199" spans="5:5" x14ac:dyDescent="0.3">
      <c r="E199" s="4" t="s">
        <v>369</v>
      </c>
    </row>
    <row r="200" spans="5:5" x14ac:dyDescent="0.3">
      <c r="E200" s="4" t="s">
        <v>370</v>
      </c>
    </row>
    <row r="201" spans="5:5" x14ac:dyDescent="0.3">
      <c r="E201" s="4" t="s">
        <v>371</v>
      </c>
    </row>
    <row r="202" spans="5:5" x14ac:dyDescent="0.3">
      <c r="E202" s="4" t="s">
        <v>372</v>
      </c>
    </row>
    <row r="203" spans="5:5" x14ac:dyDescent="0.3">
      <c r="E203" s="4" t="s">
        <v>373</v>
      </c>
    </row>
    <row r="204" spans="5:5" x14ac:dyDescent="0.3">
      <c r="E204" s="4" t="s">
        <v>374</v>
      </c>
    </row>
    <row r="205" spans="5:5" x14ac:dyDescent="0.3">
      <c r="E205" s="4" t="s">
        <v>375</v>
      </c>
    </row>
    <row r="206" spans="5:5" x14ac:dyDescent="0.3">
      <c r="E206" s="4" t="s">
        <v>376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0:C40"/>
  <sheetViews>
    <sheetView topLeftCell="A13" workbookViewId="0">
      <selection activeCell="B40" sqref="B40"/>
    </sheetView>
  </sheetViews>
  <sheetFormatPr baseColWidth="10" defaultColWidth="8.88671875" defaultRowHeight="14.4" x14ac:dyDescent="0.3"/>
  <cols>
    <col min="1" max="1" width="17.109375" customWidth="1"/>
    <col min="2" max="2" width="29.88671875" customWidth="1"/>
    <col min="3" max="3" width="20.109375" customWidth="1"/>
  </cols>
  <sheetData>
    <row r="10" spans="1:3" x14ac:dyDescent="0.3">
      <c r="A10" s="1" t="s">
        <v>0</v>
      </c>
      <c r="B10" s="1" t="s">
        <v>1</v>
      </c>
      <c r="C10" s="1" t="s">
        <v>2</v>
      </c>
    </row>
    <row r="11" spans="1:3" x14ac:dyDescent="0.3">
      <c r="A11" s="2">
        <v>1</v>
      </c>
      <c r="B11" s="3">
        <v>11.5</v>
      </c>
      <c r="C11" s="98" t="s">
        <v>3</v>
      </c>
    </row>
    <row r="12" spans="1:3" x14ac:dyDescent="0.3">
      <c r="A12" s="2">
        <v>2</v>
      </c>
      <c r="B12" s="3">
        <v>12.1</v>
      </c>
      <c r="C12" s="98"/>
    </row>
    <row r="13" spans="1:3" x14ac:dyDescent="0.3">
      <c r="A13" s="2">
        <v>3</v>
      </c>
      <c r="B13" s="3">
        <v>12.7</v>
      </c>
      <c r="C13" s="98"/>
    </row>
    <row r="14" spans="1:3" x14ac:dyDescent="0.3">
      <c r="A14" s="2">
        <v>4</v>
      </c>
      <c r="B14" s="3">
        <v>13.3</v>
      </c>
      <c r="C14" s="98"/>
    </row>
    <row r="15" spans="1:3" x14ac:dyDescent="0.3">
      <c r="A15" s="2">
        <v>5</v>
      </c>
      <c r="B15" s="3">
        <v>13.9</v>
      </c>
      <c r="C15" s="98"/>
    </row>
    <row r="16" spans="1:3" x14ac:dyDescent="0.3">
      <c r="A16" s="2">
        <v>6</v>
      </c>
      <c r="B16" s="3">
        <v>14.5</v>
      </c>
      <c r="C16" s="98"/>
    </row>
    <row r="17" spans="1:3" x14ac:dyDescent="0.3">
      <c r="A17" s="2">
        <v>7</v>
      </c>
      <c r="B17" s="3">
        <v>15.1</v>
      </c>
      <c r="C17" s="98"/>
    </row>
    <row r="18" spans="1:3" x14ac:dyDescent="0.3">
      <c r="A18" s="2">
        <v>8</v>
      </c>
      <c r="B18" s="3">
        <v>15.7</v>
      </c>
      <c r="C18" s="98"/>
    </row>
    <row r="19" spans="1:3" x14ac:dyDescent="0.3">
      <c r="A19" s="2">
        <v>9</v>
      </c>
      <c r="B19" s="3">
        <v>16.3</v>
      </c>
      <c r="C19" s="98"/>
    </row>
    <row r="20" spans="1:3" x14ac:dyDescent="0.3">
      <c r="A20" s="2">
        <v>10</v>
      </c>
      <c r="B20" s="3">
        <v>16.899999999999999</v>
      </c>
      <c r="C20" s="98"/>
    </row>
    <row r="21" spans="1:3" x14ac:dyDescent="0.3">
      <c r="A21" s="2">
        <v>11</v>
      </c>
      <c r="B21" s="3">
        <v>17.600000000000001</v>
      </c>
      <c r="C21" s="98"/>
    </row>
    <row r="22" spans="1:3" x14ac:dyDescent="0.3">
      <c r="A22" s="2">
        <v>12</v>
      </c>
      <c r="B22" s="3">
        <v>18.3</v>
      </c>
      <c r="C22" s="98"/>
    </row>
    <row r="23" spans="1:3" x14ac:dyDescent="0.3">
      <c r="A23" s="2">
        <v>13</v>
      </c>
      <c r="B23" s="3">
        <v>19</v>
      </c>
      <c r="C23" s="98"/>
    </row>
    <row r="24" spans="1:3" x14ac:dyDescent="0.3">
      <c r="A24" s="2">
        <v>14</v>
      </c>
      <c r="B24" s="3">
        <v>19.7</v>
      </c>
      <c r="C24" s="98"/>
    </row>
    <row r="25" spans="1:3" x14ac:dyDescent="0.3">
      <c r="A25" s="2">
        <v>15</v>
      </c>
      <c r="B25" s="3">
        <v>20.399999999999999</v>
      </c>
      <c r="C25" s="98"/>
    </row>
    <row r="26" spans="1:3" x14ac:dyDescent="0.3">
      <c r="A26" s="2">
        <v>16</v>
      </c>
      <c r="B26" s="3">
        <v>21.1</v>
      </c>
      <c r="C26" s="98"/>
    </row>
    <row r="27" spans="1:3" x14ac:dyDescent="0.3">
      <c r="A27" s="2">
        <v>17</v>
      </c>
      <c r="B27" s="3">
        <v>21.8</v>
      </c>
      <c r="C27" s="98"/>
    </row>
    <row r="28" spans="1:3" x14ac:dyDescent="0.3">
      <c r="A28" s="2">
        <v>18</v>
      </c>
      <c r="B28" s="3">
        <v>22.5</v>
      </c>
      <c r="C28" s="98"/>
    </row>
    <row r="29" spans="1:3" x14ac:dyDescent="0.3">
      <c r="A29" s="2">
        <v>19</v>
      </c>
      <c r="B29" s="3">
        <v>23.2</v>
      </c>
      <c r="C29" s="98"/>
    </row>
    <row r="30" spans="1:3" x14ac:dyDescent="0.3">
      <c r="A30" s="2">
        <v>20</v>
      </c>
      <c r="B30" s="3">
        <v>23.9</v>
      </c>
      <c r="C30" s="98"/>
    </row>
    <row r="31" spans="1:3" x14ac:dyDescent="0.3">
      <c r="A31" s="2">
        <v>21</v>
      </c>
      <c r="B31" s="3">
        <v>24.65</v>
      </c>
      <c r="C31" s="98"/>
    </row>
    <row r="32" spans="1:3" x14ac:dyDescent="0.3">
      <c r="A32" s="2">
        <v>22</v>
      </c>
      <c r="B32" s="3">
        <v>25.4</v>
      </c>
      <c r="C32" s="98"/>
    </row>
    <row r="33" spans="1:3" x14ac:dyDescent="0.3">
      <c r="A33" s="2">
        <v>23</v>
      </c>
      <c r="B33" s="3">
        <v>26.15</v>
      </c>
      <c r="C33" s="98"/>
    </row>
    <row r="34" spans="1:3" x14ac:dyDescent="0.3">
      <c r="A34" s="2">
        <v>24</v>
      </c>
      <c r="B34" s="3">
        <v>26.9</v>
      </c>
      <c r="C34" s="98"/>
    </row>
    <row r="35" spans="1:3" x14ac:dyDescent="0.3">
      <c r="A35" s="2">
        <v>25</v>
      </c>
      <c r="B35" s="3">
        <v>27.65</v>
      </c>
      <c r="C35" s="98"/>
    </row>
    <row r="36" spans="1:3" x14ac:dyDescent="0.3">
      <c r="A36" s="2">
        <v>26</v>
      </c>
      <c r="B36" s="3">
        <v>28.4</v>
      </c>
      <c r="C36" s="98"/>
    </row>
    <row r="37" spans="1:3" x14ac:dyDescent="0.3">
      <c r="A37" s="2">
        <v>27</v>
      </c>
      <c r="B37" s="3">
        <v>29.15</v>
      </c>
      <c r="C37" s="98"/>
    </row>
    <row r="38" spans="1:3" x14ac:dyDescent="0.3">
      <c r="A38" s="2">
        <v>28</v>
      </c>
      <c r="B38" s="3">
        <v>29.9</v>
      </c>
      <c r="C38" s="98"/>
    </row>
    <row r="39" spans="1:3" x14ac:dyDescent="0.3">
      <c r="A39" s="2">
        <v>29</v>
      </c>
      <c r="B39" s="3">
        <v>30.65</v>
      </c>
      <c r="C39" s="98"/>
    </row>
    <row r="40" spans="1:3" x14ac:dyDescent="0.3">
      <c r="A40" s="2">
        <v>30</v>
      </c>
      <c r="B40" s="3">
        <v>31.41</v>
      </c>
      <c r="C40" s="98"/>
    </row>
  </sheetData>
  <mergeCells count="1">
    <mergeCell ref="C11:C40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F0DE5-6C52-48AA-9398-98DD30014185}">
  <dimension ref="A3:B41"/>
  <sheetViews>
    <sheetView workbookViewId="0">
      <selection activeCell="A7" sqref="A7"/>
    </sheetView>
  </sheetViews>
  <sheetFormatPr baseColWidth="10" defaultRowHeight="14.4" x14ac:dyDescent="0.3"/>
  <cols>
    <col min="1" max="1" width="21.33203125" customWidth="1"/>
    <col min="2" max="2" width="33.44140625" customWidth="1"/>
  </cols>
  <sheetData>
    <row r="3" spans="1:2" x14ac:dyDescent="0.3">
      <c r="A3" s="59" t="s">
        <v>486</v>
      </c>
    </row>
    <row r="4" spans="1:2" x14ac:dyDescent="0.3">
      <c r="A4" t="s">
        <v>487</v>
      </c>
    </row>
    <row r="6" spans="1:2" x14ac:dyDescent="0.3">
      <c r="A6" s="59" t="s">
        <v>489</v>
      </c>
    </row>
    <row r="8" spans="1:2" x14ac:dyDescent="0.3">
      <c r="A8" s="4" t="s">
        <v>156</v>
      </c>
      <c r="B8" s="58" t="s">
        <v>488</v>
      </c>
    </row>
    <row r="9" spans="1:2" x14ac:dyDescent="0.3">
      <c r="A9" s="4">
        <v>0.25</v>
      </c>
      <c r="B9" s="4">
        <v>5.56</v>
      </c>
    </row>
    <row r="10" spans="1:2" x14ac:dyDescent="0.3">
      <c r="A10" s="4">
        <v>0.5</v>
      </c>
      <c r="B10" s="4">
        <v>6.27</v>
      </c>
    </row>
    <row r="11" spans="1:2" x14ac:dyDescent="0.3">
      <c r="A11" s="4">
        <v>0.75</v>
      </c>
      <c r="B11" s="4">
        <v>7.01</v>
      </c>
    </row>
    <row r="12" spans="1:2" x14ac:dyDescent="0.3">
      <c r="A12" s="4">
        <v>1</v>
      </c>
      <c r="B12" s="4">
        <v>7.61</v>
      </c>
    </row>
    <row r="13" spans="1:2" x14ac:dyDescent="0.3">
      <c r="A13" s="4">
        <v>2</v>
      </c>
      <c r="B13" s="4">
        <v>8.44</v>
      </c>
    </row>
    <row r="14" spans="1:2" x14ac:dyDescent="0.3">
      <c r="A14" s="4">
        <v>3</v>
      </c>
      <c r="B14" s="4">
        <v>9.26</v>
      </c>
    </row>
    <row r="15" spans="1:2" x14ac:dyDescent="0.3">
      <c r="A15" s="4">
        <v>4</v>
      </c>
      <c r="B15" s="4">
        <v>10.1</v>
      </c>
    </row>
    <row r="16" spans="1:2" x14ac:dyDescent="0.3">
      <c r="A16" s="4">
        <v>5</v>
      </c>
      <c r="B16" s="4">
        <v>10.92</v>
      </c>
    </row>
    <row r="17" spans="1:2" x14ac:dyDescent="0.3">
      <c r="A17" s="4">
        <v>6</v>
      </c>
      <c r="B17" s="4">
        <v>11.77</v>
      </c>
    </row>
    <row r="18" spans="1:2" x14ac:dyDescent="0.3">
      <c r="A18" s="4">
        <v>7</v>
      </c>
      <c r="B18" s="4">
        <v>12.59</v>
      </c>
    </row>
    <row r="19" spans="1:2" x14ac:dyDescent="0.3">
      <c r="A19" s="4">
        <v>8</v>
      </c>
      <c r="B19" s="4">
        <v>13.41</v>
      </c>
    </row>
    <row r="20" spans="1:2" x14ac:dyDescent="0.3">
      <c r="A20" s="4">
        <v>9</v>
      </c>
      <c r="B20" s="4">
        <v>14.25</v>
      </c>
    </row>
    <row r="21" spans="1:2" x14ac:dyDescent="0.3">
      <c r="A21" s="4">
        <v>10</v>
      </c>
      <c r="B21" s="4">
        <v>15.08</v>
      </c>
    </row>
    <row r="22" spans="1:2" x14ac:dyDescent="0.3">
      <c r="A22" s="4">
        <v>11</v>
      </c>
      <c r="B22" s="4">
        <v>15.92</v>
      </c>
    </row>
    <row r="23" spans="1:2" x14ac:dyDescent="0.3">
      <c r="A23" s="4">
        <v>12</v>
      </c>
      <c r="B23" s="4">
        <v>16.739999999999998</v>
      </c>
    </row>
    <row r="24" spans="1:2" x14ac:dyDescent="0.3">
      <c r="A24" s="4">
        <v>13</v>
      </c>
      <c r="B24" s="4">
        <v>17.57</v>
      </c>
    </row>
    <row r="25" spans="1:2" x14ac:dyDescent="0.3">
      <c r="A25" s="4">
        <v>14</v>
      </c>
      <c r="B25" s="4">
        <v>18.41</v>
      </c>
    </row>
    <row r="26" spans="1:2" x14ac:dyDescent="0.3">
      <c r="A26" s="4">
        <v>15</v>
      </c>
      <c r="B26" s="4">
        <v>19.23</v>
      </c>
    </row>
    <row r="27" spans="1:2" x14ac:dyDescent="0.3">
      <c r="A27" s="4">
        <v>16</v>
      </c>
      <c r="B27" s="4">
        <v>20.07</v>
      </c>
    </row>
    <row r="28" spans="1:2" x14ac:dyDescent="0.3">
      <c r="A28" s="4">
        <v>17</v>
      </c>
      <c r="B28" s="4">
        <v>20.89</v>
      </c>
    </row>
    <row r="29" spans="1:2" x14ac:dyDescent="0.3">
      <c r="A29" s="4">
        <v>18</v>
      </c>
      <c r="B29" s="4">
        <v>21.79</v>
      </c>
    </row>
    <row r="30" spans="1:2" x14ac:dyDescent="0.3">
      <c r="A30" s="4">
        <v>19</v>
      </c>
      <c r="B30" s="4">
        <v>22.56</v>
      </c>
    </row>
    <row r="31" spans="1:2" x14ac:dyDescent="0.3">
      <c r="A31" s="4">
        <v>20</v>
      </c>
      <c r="B31" s="4">
        <v>23.38</v>
      </c>
    </row>
    <row r="32" spans="1:2" x14ac:dyDescent="0.3">
      <c r="A32" s="4">
        <v>21</v>
      </c>
      <c r="B32" s="4">
        <v>24.22</v>
      </c>
    </row>
    <row r="33" spans="1:2" x14ac:dyDescent="0.3">
      <c r="A33" s="4">
        <v>22</v>
      </c>
      <c r="B33" s="4">
        <v>25.04</v>
      </c>
    </row>
    <row r="34" spans="1:2" x14ac:dyDescent="0.3">
      <c r="A34" s="4">
        <v>23</v>
      </c>
      <c r="B34" s="4">
        <v>25.88</v>
      </c>
    </row>
    <row r="35" spans="1:2" x14ac:dyDescent="0.3">
      <c r="A35" s="4">
        <v>24</v>
      </c>
      <c r="B35" s="4">
        <v>26.71</v>
      </c>
    </row>
    <row r="36" spans="1:2" x14ac:dyDescent="0.3">
      <c r="A36" s="4">
        <v>25</v>
      </c>
      <c r="B36" s="4">
        <v>27.53</v>
      </c>
    </row>
    <row r="37" spans="1:2" x14ac:dyDescent="0.3">
      <c r="A37" s="4">
        <v>26</v>
      </c>
      <c r="B37" s="4">
        <v>28.37</v>
      </c>
    </row>
    <row r="38" spans="1:2" x14ac:dyDescent="0.3">
      <c r="A38" s="4">
        <v>27</v>
      </c>
      <c r="B38" s="4">
        <v>29.2</v>
      </c>
    </row>
    <row r="39" spans="1:2" x14ac:dyDescent="0.3">
      <c r="A39" s="4">
        <v>28</v>
      </c>
      <c r="B39" s="4">
        <v>30.03</v>
      </c>
    </row>
    <row r="40" spans="1:2" x14ac:dyDescent="0.3">
      <c r="A40" s="4">
        <v>29</v>
      </c>
      <c r="B40" s="4">
        <v>30.87</v>
      </c>
    </row>
    <row r="41" spans="1:2" x14ac:dyDescent="0.3">
      <c r="A41" s="4">
        <v>30</v>
      </c>
      <c r="B41" s="4">
        <v>31.68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87"/>
  <sheetViews>
    <sheetView topLeftCell="A94" workbookViewId="0">
      <selection activeCell="B5" sqref="B5"/>
    </sheetView>
  </sheetViews>
  <sheetFormatPr baseColWidth="10" defaultRowHeight="14.4" x14ac:dyDescent="0.3"/>
  <cols>
    <col min="1" max="1" width="26.6640625" customWidth="1"/>
    <col min="2" max="2" width="18" customWidth="1"/>
  </cols>
  <sheetData>
    <row r="1" spans="1:3" x14ac:dyDescent="0.3">
      <c r="A1" t="s">
        <v>131</v>
      </c>
      <c r="B1" t="s">
        <v>132</v>
      </c>
      <c r="C1" t="s">
        <v>133</v>
      </c>
    </row>
    <row r="3" spans="1:3" x14ac:dyDescent="0.3">
      <c r="A3" t="s">
        <v>14</v>
      </c>
      <c r="B3" t="s">
        <v>127</v>
      </c>
      <c r="C3" t="s">
        <v>126</v>
      </c>
    </row>
    <row r="4" spans="1:3" x14ac:dyDescent="0.3">
      <c r="A4" t="s">
        <v>18</v>
      </c>
      <c r="B4" t="s">
        <v>127</v>
      </c>
      <c r="C4" t="s">
        <v>126</v>
      </c>
    </row>
    <row r="5" spans="1:3" x14ac:dyDescent="0.3">
      <c r="A5" t="s">
        <v>22</v>
      </c>
      <c r="B5" t="s">
        <v>126</v>
      </c>
      <c r="C5" t="s">
        <v>126</v>
      </c>
    </row>
    <row r="6" spans="1:3" x14ac:dyDescent="0.3">
      <c r="A6" t="s">
        <v>26</v>
      </c>
      <c r="B6" t="s">
        <v>128</v>
      </c>
      <c r="C6" t="s">
        <v>126</v>
      </c>
    </row>
    <row r="7" spans="1:3" x14ac:dyDescent="0.3">
      <c r="A7" t="s">
        <v>72</v>
      </c>
      <c r="B7" t="s">
        <v>128</v>
      </c>
      <c r="C7" s="47" t="s">
        <v>126</v>
      </c>
    </row>
    <row r="8" spans="1:3" x14ac:dyDescent="0.3">
      <c r="A8" t="s">
        <v>30</v>
      </c>
      <c r="B8" t="s">
        <v>128</v>
      </c>
      <c r="C8" t="s">
        <v>126</v>
      </c>
    </row>
    <row r="9" spans="1:3" x14ac:dyDescent="0.3">
      <c r="A9" t="s">
        <v>34</v>
      </c>
      <c r="B9" t="s">
        <v>128</v>
      </c>
      <c r="C9" t="s">
        <v>126</v>
      </c>
    </row>
    <row r="10" spans="1:3" x14ac:dyDescent="0.3">
      <c r="A10" t="s">
        <v>37</v>
      </c>
      <c r="B10" t="s">
        <v>127</v>
      </c>
      <c r="C10" t="s">
        <v>126</v>
      </c>
    </row>
    <row r="11" spans="1:3" x14ac:dyDescent="0.3">
      <c r="A11" t="s">
        <v>39</v>
      </c>
      <c r="B11" t="s">
        <v>128</v>
      </c>
      <c r="C11" t="s">
        <v>126</v>
      </c>
    </row>
    <row r="12" spans="1:3" x14ac:dyDescent="0.3">
      <c r="A12" t="s">
        <v>41</v>
      </c>
      <c r="B12" t="s">
        <v>126</v>
      </c>
      <c r="C12" t="s">
        <v>126</v>
      </c>
    </row>
    <row r="13" spans="1:3" x14ac:dyDescent="0.3">
      <c r="A13" t="s">
        <v>42</v>
      </c>
      <c r="B13" t="s">
        <v>128</v>
      </c>
      <c r="C13" t="s">
        <v>126</v>
      </c>
    </row>
    <row r="14" spans="1:3" x14ac:dyDescent="0.3">
      <c r="A14" t="s">
        <v>43</v>
      </c>
      <c r="B14" t="s">
        <v>127</v>
      </c>
      <c r="C14" t="s">
        <v>126</v>
      </c>
    </row>
    <row r="15" spans="1:3" x14ac:dyDescent="0.3">
      <c r="A15" t="s">
        <v>45</v>
      </c>
      <c r="B15" t="s">
        <v>128</v>
      </c>
      <c r="C15" t="s">
        <v>126</v>
      </c>
    </row>
    <row r="16" spans="1:3" x14ac:dyDescent="0.3">
      <c r="A16" t="s">
        <v>69</v>
      </c>
      <c r="B16" t="s">
        <v>125</v>
      </c>
      <c r="C16" t="s">
        <v>124</v>
      </c>
    </row>
    <row r="17" spans="1:3" x14ac:dyDescent="0.3">
      <c r="A17" t="s">
        <v>46</v>
      </c>
      <c r="B17" t="s">
        <v>127</v>
      </c>
      <c r="C17" t="s">
        <v>126</v>
      </c>
    </row>
    <row r="18" spans="1:3" x14ac:dyDescent="0.3">
      <c r="A18" t="s">
        <v>68</v>
      </c>
      <c r="B18" t="s">
        <v>124</v>
      </c>
      <c r="C18" t="s">
        <v>125</v>
      </c>
    </row>
    <row r="19" spans="1:3" x14ac:dyDescent="0.3">
      <c r="A19" t="s">
        <v>71</v>
      </c>
      <c r="B19" t="s">
        <v>124</v>
      </c>
      <c r="C19" t="s">
        <v>124</v>
      </c>
    </row>
    <row r="20" spans="1:3" x14ac:dyDescent="0.3">
      <c r="A20" t="s">
        <v>47</v>
      </c>
      <c r="B20" t="s">
        <v>125</v>
      </c>
      <c r="C20" t="s">
        <v>126</v>
      </c>
    </row>
    <row r="21" spans="1:3" x14ac:dyDescent="0.3">
      <c r="A21" t="s">
        <v>48</v>
      </c>
      <c r="B21" t="s">
        <v>126</v>
      </c>
      <c r="C21" t="s">
        <v>126</v>
      </c>
    </row>
    <row r="22" spans="1:3" x14ac:dyDescent="0.3">
      <c r="A22" t="s">
        <v>49</v>
      </c>
      <c r="B22" t="s">
        <v>127</v>
      </c>
      <c r="C22" t="s">
        <v>126</v>
      </c>
    </row>
    <row r="23" spans="1:3" x14ac:dyDescent="0.3">
      <c r="A23" t="s">
        <v>74</v>
      </c>
      <c r="B23" t="s">
        <v>124</v>
      </c>
      <c r="C23" t="s">
        <v>124</v>
      </c>
    </row>
    <row r="24" spans="1:3" x14ac:dyDescent="0.3">
      <c r="A24" t="s">
        <v>50</v>
      </c>
      <c r="B24" t="s">
        <v>125</v>
      </c>
      <c r="C24" t="s">
        <v>126</v>
      </c>
    </row>
    <row r="25" spans="1:3" x14ac:dyDescent="0.3">
      <c r="A25" t="s">
        <v>51</v>
      </c>
      <c r="B25" t="s">
        <v>126</v>
      </c>
      <c r="C25" t="s">
        <v>126</v>
      </c>
    </row>
    <row r="26" spans="1:3" x14ac:dyDescent="0.3">
      <c r="A26" t="s">
        <v>52</v>
      </c>
      <c r="B26" t="s">
        <v>127</v>
      </c>
      <c r="C26" t="s">
        <v>126</v>
      </c>
    </row>
    <row r="27" spans="1:3" x14ac:dyDescent="0.3">
      <c r="A27" t="s">
        <v>53</v>
      </c>
      <c r="B27" t="s">
        <v>128</v>
      </c>
      <c r="C27" t="s">
        <v>126</v>
      </c>
    </row>
    <row r="28" spans="1:3" x14ac:dyDescent="0.3">
      <c r="A28" t="s">
        <v>17</v>
      </c>
      <c r="B28" t="s">
        <v>125</v>
      </c>
      <c r="C28" t="s">
        <v>125</v>
      </c>
    </row>
    <row r="29" spans="1:3" x14ac:dyDescent="0.3">
      <c r="A29" t="s">
        <v>76</v>
      </c>
      <c r="B29" t="s">
        <v>124</v>
      </c>
      <c r="C29" t="s">
        <v>125</v>
      </c>
    </row>
    <row r="30" spans="1:3" x14ac:dyDescent="0.3">
      <c r="A30" s="4" t="s">
        <v>24</v>
      </c>
      <c r="B30" t="s">
        <v>125</v>
      </c>
      <c r="C30" t="s">
        <v>124</v>
      </c>
    </row>
    <row r="31" spans="1:3" x14ac:dyDescent="0.3">
      <c r="A31" t="s">
        <v>54</v>
      </c>
      <c r="B31" t="s">
        <v>128</v>
      </c>
      <c r="C31" t="s">
        <v>126</v>
      </c>
    </row>
    <row r="32" spans="1:3" x14ac:dyDescent="0.3">
      <c r="A32" t="s">
        <v>55</v>
      </c>
      <c r="B32" t="s">
        <v>127</v>
      </c>
      <c r="C32" t="s">
        <v>126</v>
      </c>
    </row>
    <row r="33" spans="1:3" x14ac:dyDescent="0.3">
      <c r="A33" t="s">
        <v>56</v>
      </c>
      <c r="B33" t="s">
        <v>127</v>
      </c>
      <c r="C33" t="s">
        <v>126</v>
      </c>
    </row>
    <row r="34" spans="1:3" x14ac:dyDescent="0.3">
      <c r="A34" t="s">
        <v>57</v>
      </c>
      <c r="B34" t="s">
        <v>126</v>
      </c>
      <c r="C34" t="s">
        <v>126</v>
      </c>
    </row>
    <row r="35" spans="1:3" x14ac:dyDescent="0.3">
      <c r="A35" t="s">
        <v>91</v>
      </c>
      <c r="B35" t="s">
        <v>128</v>
      </c>
      <c r="C35" t="s">
        <v>126</v>
      </c>
    </row>
    <row r="36" spans="1:3" x14ac:dyDescent="0.3">
      <c r="A36" t="s">
        <v>67</v>
      </c>
      <c r="B36" t="s">
        <v>122</v>
      </c>
      <c r="C36" t="s">
        <v>124</v>
      </c>
    </row>
    <row r="37" spans="1:3" x14ac:dyDescent="0.3">
      <c r="A37" t="s">
        <v>77</v>
      </c>
      <c r="B37" t="s">
        <v>124</v>
      </c>
      <c r="C37" t="s">
        <v>125</v>
      </c>
    </row>
    <row r="38" spans="1:3" x14ac:dyDescent="0.3">
      <c r="A38" t="s">
        <v>70</v>
      </c>
      <c r="B38" t="s">
        <v>122</v>
      </c>
      <c r="C38" t="s">
        <v>122</v>
      </c>
    </row>
    <row r="39" spans="1:3" x14ac:dyDescent="0.3">
      <c r="A39" s="4" t="s">
        <v>429</v>
      </c>
      <c r="B39" t="s">
        <v>122</v>
      </c>
      <c r="C39" t="s">
        <v>122</v>
      </c>
    </row>
    <row r="40" spans="1:3" x14ac:dyDescent="0.3">
      <c r="A40" s="4" t="s">
        <v>430</v>
      </c>
      <c r="B40" t="s">
        <v>122</v>
      </c>
      <c r="C40" t="s">
        <v>122</v>
      </c>
    </row>
    <row r="41" spans="1:3" x14ac:dyDescent="0.3">
      <c r="A41" s="4" t="s">
        <v>431</v>
      </c>
      <c r="B41" t="s">
        <v>122</v>
      </c>
      <c r="C41" t="s">
        <v>122</v>
      </c>
    </row>
    <row r="42" spans="1:3" x14ac:dyDescent="0.3">
      <c r="A42" s="4" t="s">
        <v>432</v>
      </c>
      <c r="B42" t="s">
        <v>122</v>
      </c>
      <c r="C42" t="s">
        <v>122</v>
      </c>
    </row>
    <row r="43" spans="1:3" x14ac:dyDescent="0.3">
      <c r="A43" s="4" t="s">
        <v>433</v>
      </c>
      <c r="B43" t="s">
        <v>122</v>
      </c>
      <c r="C43" t="s">
        <v>122</v>
      </c>
    </row>
    <row r="44" spans="1:3" x14ac:dyDescent="0.3">
      <c r="A44" s="4" t="s">
        <v>434</v>
      </c>
      <c r="B44" t="s">
        <v>122</v>
      </c>
      <c r="C44" t="s">
        <v>122</v>
      </c>
    </row>
    <row r="45" spans="1:3" x14ac:dyDescent="0.3">
      <c r="A45" s="4" t="s">
        <v>435</v>
      </c>
      <c r="B45" t="s">
        <v>122</v>
      </c>
      <c r="C45" t="s">
        <v>122</v>
      </c>
    </row>
    <row r="46" spans="1:3" x14ac:dyDescent="0.3">
      <c r="A46" s="4" t="s">
        <v>436</v>
      </c>
      <c r="B46" t="s">
        <v>122</v>
      </c>
      <c r="C46" t="s">
        <v>122</v>
      </c>
    </row>
    <row r="47" spans="1:3" x14ac:dyDescent="0.3">
      <c r="A47" s="4" t="s">
        <v>437</v>
      </c>
      <c r="B47" t="s">
        <v>122</v>
      </c>
      <c r="C47" t="s">
        <v>122</v>
      </c>
    </row>
    <row r="48" spans="1:3" x14ac:dyDescent="0.3">
      <c r="A48" s="4" t="s">
        <v>438</v>
      </c>
      <c r="B48" t="s">
        <v>122</v>
      </c>
      <c r="C48" t="s">
        <v>122</v>
      </c>
    </row>
    <row r="49" spans="1:3" x14ac:dyDescent="0.3">
      <c r="A49" s="4" t="s">
        <v>439</v>
      </c>
      <c r="B49" t="s">
        <v>122</v>
      </c>
      <c r="C49" t="s">
        <v>122</v>
      </c>
    </row>
    <row r="50" spans="1:3" x14ac:dyDescent="0.3">
      <c r="A50" s="4" t="s">
        <v>440</v>
      </c>
      <c r="B50" t="s">
        <v>122</v>
      </c>
      <c r="C50" t="s">
        <v>122</v>
      </c>
    </row>
    <row r="51" spans="1:3" x14ac:dyDescent="0.3">
      <c r="A51" s="4" t="s">
        <v>441</v>
      </c>
      <c r="B51" t="s">
        <v>122</v>
      </c>
      <c r="C51" t="s">
        <v>122</v>
      </c>
    </row>
    <row r="52" spans="1:3" x14ac:dyDescent="0.3">
      <c r="A52" s="4" t="s">
        <v>442</v>
      </c>
      <c r="B52" t="s">
        <v>122</v>
      </c>
      <c r="C52" t="s">
        <v>122</v>
      </c>
    </row>
    <row r="53" spans="1:3" x14ac:dyDescent="0.3">
      <c r="A53" s="4" t="s">
        <v>443</v>
      </c>
      <c r="B53" t="s">
        <v>122</v>
      </c>
      <c r="C53" t="s">
        <v>122</v>
      </c>
    </row>
    <row r="54" spans="1:3" x14ac:dyDescent="0.3">
      <c r="A54" s="4" t="s">
        <v>444</v>
      </c>
      <c r="B54" t="s">
        <v>122</v>
      </c>
      <c r="C54" t="s">
        <v>122</v>
      </c>
    </row>
    <row r="55" spans="1:3" x14ac:dyDescent="0.3">
      <c r="A55" s="4" t="s">
        <v>445</v>
      </c>
      <c r="B55" t="s">
        <v>122</v>
      </c>
      <c r="C55" t="s">
        <v>122</v>
      </c>
    </row>
    <row r="56" spans="1:3" x14ac:dyDescent="0.3">
      <c r="A56" s="4" t="s">
        <v>446</v>
      </c>
      <c r="B56" t="s">
        <v>122</v>
      </c>
      <c r="C56" t="s">
        <v>122</v>
      </c>
    </row>
    <row r="57" spans="1:3" x14ac:dyDescent="0.3">
      <c r="A57" s="4" t="s">
        <v>447</v>
      </c>
      <c r="B57" t="s">
        <v>122</v>
      </c>
      <c r="C57" t="s">
        <v>122</v>
      </c>
    </row>
    <row r="58" spans="1:3" x14ac:dyDescent="0.3">
      <c r="A58" s="4" t="s">
        <v>448</v>
      </c>
      <c r="B58" t="s">
        <v>122</v>
      </c>
      <c r="C58" t="s">
        <v>122</v>
      </c>
    </row>
    <row r="59" spans="1:3" x14ac:dyDescent="0.3">
      <c r="A59" s="4" t="s">
        <v>449</v>
      </c>
      <c r="B59" t="s">
        <v>122</v>
      </c>
      <c r="C59" t="s">
        <v>122</v>
      </c>
    </row>
    <row r="60" spans="1:3" x14ac:dyDescent="0.3">
      <c r="A60" t="s">
        <v>94</v>
      </c>
      <c r="B60" t="s">
        <v>128</v>
      </c>
      <c r="C60" t="s">
        <v>126</v>
      </c>
    </row>
    <row r="61" spans="1:3" x14ac:dyDescent="0.3">
      <c r="A61" t="s">
        <v>90</v>
      </c>
      <c r="B61" t="s">
        <v>127</v>
      </c>
      <c r="C61" t="s">
        <v>126</v>
      </c>
    </row>
    <row r="62" spans="1:3" x14ac:dyDescent="0.3">
      <c r="A62" t="s">
        <v>93</v>
      </c>
      <c r="B62" t="s">
        <v>127</v>
      </c>
      <c r="C62" t="s">
        <v>126</v>
      </c>
    </row>
    <row r="63" spans="1:3" x14ac:dyDescent="0.3">
      <c r="A63" t="s">
        <v>79</v>
      </c>
      <c r="B63" t="s">
        <v>124</v>
      </c>
      <c r="C63" t="s">
        <v>124</v>
      </c>
    </row>
    <row r="64" spans="1:3" x14ac:dyDescent="0.3">
      <c r="A64" t="s">
        <v>95</v>
      </c>
      <c r="B64" t="s">
        <v>127</v>
      </c>
      <c r="C64" t="s">
        <v>126</v>
      </c>
    </row>
    <row r="65" spans="1:3" x14ac:dyDescent="0.3">
      <c r="A65" t="s">
        <v>58</v>
      </c>
      <c r="B65" t="s">
        <v>127</v>
      </c>
      <c r="C65" t="s">
        <v>126</v>
      </c>
    </row>
    <row r="66" spans="1:3" x14ac:dyDescent="0.3">
      <c r="A66" t="s">
        <v>73</v>
      </c>
      <c r="B66" t="s">
        <v>122</v>
      </c>
      <c r="C66" t="s">
        <v>122</v>
      </c>
    </row>
    <row r="67" spans="1:3" x14ac:dyDescent="0.3">
      <c r="A67" t="s">
        <v>29</v>
      </c>
      <c r="B67" t="s">
        <v>124</v>
      </c>
      <c r="C67" t="s">
        <v>125</v>
      </c>
    </row>
    <row r="68" spans="1:3" x14ac:dyDescent="0.3">
      <c r="A68" t="s">
        <v>98</v>
      </c>
      <c r="B68" t="s">
        <v>127</v>
      </c>
      <c r="C68" t="s">
        <v>126</v>
      </c>
    </row>
    <row r="69" spans="1:3" x14ac:dyDescent="0.3">
      <c r="A69" t="s">
        <v>100</v>
      </c>
      <c r="B69" t="s">
        <v>127</v>
      </c>
      <c r="C69" t="s">
        <v>126</v>
      </c>
    </row>
    <row r="70" spans="1:3" x14ac:dyDescent="0.3">
      <c r="A70" t="s">
        <v>96</v>
      </c>
      <c r="B70" t="s">
        <v>128</v>
      </c>
      <c r="C70" t="s">
        <v>126</v>
      </c>
    </row>
    <row r="71" spans="1:3" x14ac:dyDescent="0.3">
      <c r="A71" t="s">
        <v>10</v>
      </c>
      <c r="B71" t="s">
        <v>123</v>
      </c>
      <c r="C71" t="s">
        <v>123</v>
      </c>
    </row>
    <row r="72" spans="1:3" x14ac:dyDescent="0.3">
      <c r="A72" t="s">
        <v>182</v>
      </c>
      <c r="B72" t="s">
        <v>123</v>
      </c>
      <c r="C72" t="s">
        <v>123</v>
      </c>
    </row>
    <row r="73" spans="1:3" x14ac:dyDescent="0.3">
      <c r="A73" t="s">
        <v>183</v>
      </c>
      <c r="B73" t="s">
        <v>123</v>
      </c>
      <c r="C73" t="s">
        <v>123</v>
      </c>
    </row>
    <row r="74" spans="1:3" x14ac:dyDescent="0.3">
      <c r="A74" t="s">
        <v>184</v>
      </c>
      <c r="B74" t="s">
        <v>123</v>
      </c>
      <c r="C74" t="s">
        <v>123</v>
      </c>
    </row>
    <row r="75" spans="1:3" x14ac:dyDescent="0.3">
      <c r="A75" t="s">
        <v>178</v>
      </c>
      <c r="B75" t="s">
        <v>123</v>
      </c>
      <c r="C75" t="s">
        <v>123</v>
      </c>
    </row>
    <row r="76" spans="1:3" x14ac:dyDescent="0.3">
      <c r="A76" t="s">
        <v>179</v>
      </c>
      <c r="B76" t="s">
        <v>123</v>
      </c>
      <c r="C76" t="s">
        <v>123</v>
      </c>
    </row>
    <row r="77" spans="1:3" x14ac:dyDescent="0.3">
      <c r="A77" t="s">
        <v>185</v>
      </c>
      <c r="B77" t="s">
        <v>123</v>
      </c>
      <c r="C77" t="s">
        <v>123</v>
      </c>
    </row>
    <row r="78" spans="1:3" x14ac:dyDescent="0.3">
      <c r="A78" t="s">
        <v>186</v>
      </c>
      <c r="B78" t="s">
        <v>123</v>
      </c>
      <c r="C78" t="s">
        <v>123</v>
      </c>
    </row>
    <row r="79" spans="1:3" x14ac:dyDescent="0.3">
      <c r="A79" t="s">
        <v>187</v>
      </c>
      <c r="B79" t="s">
        <v>123</v>
      </c>
      <c r="C79" t="s">
        <v>123</v>
      </c>
    </row>
    <row r="80" spans="1:3" x14ac:dyDescent="0.3">
      <c r="A80" t="s">
        <v>188</v>
      </c>
      <c r="B80" t="s">
        <v>123</v>
      </c>
      <c r="C80" t="s">
        <v>123</v>
      </c>
    </row>
    <row r="81" spans="1:3" x14ac:dyDescent="0.3">
      <c r="A81" t="s">
        <v>189</v>
      </c>
      <c r="B81" t="s">
        <v>123</v>
      </c>
      <c r="C81" t="s">
        <v>123</v>
      </c>
    </row>
    <row r="82" spans="1:3" x14ac:dyDescent="0.3">
      <c r="A82" t="s">
        <v>190</v>
      </c>
      <c r="B82" t="s">
        <v>123</v>
      </c>
      <c r="C82" t="s">
        <v>123</v>
      </c>
    </row>
    <row r="83" spans="1:3" x14ac:dyDescent="0.3">
      <c r="A83" t="s">
        <v>191</v>
      </c>
      <c r="B83" t="s">
        <v>123</v>
      </c>
      <c r="C83" t="s">
        <v>123</v>
      </c>
    </row>
    <row r="84" spans="1:3" x14ac:dyDescent="0.3">
      <c r="A84" t="s">
        <v>192</v>
      </c>
      <c r="B84" t="s">
        <v>123</v>
      </c>
      <c r="C84" t="s">
        <v>123</v>
      </c>
    </row>
    <row r="85" spans="1:3" x14ac:dyDescent="0.3">
      <c r="A85" t="s">
        <v>193</v>
      </c>
      <c r="B85" t="s">
        <v>123</v>
      </c>
      <c r="C85" t="s">
        <v>123</v>
      </c>
    </row>
    <row r="86" spans="1:3" x14ac:dyDescent="0.3">
      <c r="A86" t="s">
        <v>194</v>
      </c>
      <c r="B86" t="s">
        <v>123</v>
      </c>
      <c r="C86" t="s">
        <v>123</v>
      </c>
    </row>
    <row r="87" spans="1:3" x14ac:dyDescent="0.3">
      <c r="A87" t="s">
        <v>195</v>
      </c>
      <c r="B87" t="s">
        <v>123</v>
      </c>
      <c r="C87" t="s">
        <v>123</v>
      </c>
    </row>
    <row r="88" spans="1:3" x14ac:dyDescent="0.3">
      <c r="A88" t="s">
        <v>196</v>
      </c>
      <c r="B88" t="s">
        <v>123</v>
      </c>
      <c r="C88" t="s">
        <v>123</v>
      </c>
    </row>
    <row r="89" spans="1:3" x14ac:dyDescent="0.3">
      <c r="A89" t="s">
        <v>197</v>
      </c>
      <c r="B89" t="s">
        <v>123</v>
      </c>
      <c r="C89" t="s">
        <v>123</v>
      </c>
    </row>
    <row r="90" spans="1:3" x14ac:dyDescent="0.3">
      <c r="A90" t="s">
        <v>198</v>
      </c>
      <c r="B90" t="s">
        <v>123</v>
      </c>
      <c r="C90" t="s">
        <v>123</v>
      </c>
    </row>
    <row r="91" spans="1:3" x14ac:dyDescent="0.3">
      <c r="A91" t="s">
        <v>199</v>
      </c>
      <c r="B91" t="s">
        <v>123</v>
      </c>
      <c r="C91" t="s">
        <v>123</v>
      </c>
    </row>
    <row r="92" spans="1:3" x14ac:dyDescent="0.3">
      <c r="A92" t="s">
        <v>200</v>
      </c>
      <c r="B92" t="s">
        <v>123</v>
      </c>
      <c r="C92" t="s">
        <v>123</v>
      </c>
    </row>
    <row r="93" spans="1:3" x14ac:dyDescent="0.3">
      <c r="A93" t="s">
        <v>180</v>
      </c>
      <c r="B93" t="s">
        <v>123</v>
      </c>
      <c r="C93" t="s">
        <v>123</v>
      </c>
    </row>
    <row r="94" spans="1:3" x14ac:dyDescent="0.3">
      <c r="A94" t="s">
        <v>181</v>
      </c>
      <c r="B94" t="s">
        <v>123</v>
      </c>
      <c r="C94" t="s">
        <v>123</v>
      </c>
    </row>
    <row r="95" spans="1:3" x14ac:dyDescent="0.3">
      <c r="A95" t="s">
        <v>201</v>
      </c>
      <c r="B95" t="s">
        <v>123</v>
      </c>
      <c r="C95" t="s">
        <v>123</v>
      </c>
    </row>
    <row r="96" spans="1:3" x14ac:dyDescent="0.3">
      <c r="A96" t="s">
        <v>202</v>
      </c>
      <c r="B96" t="s">
        <v>123</v>
      </c>
      <c r="C96" t="s">
        <v>123</v>
      </c>
    </row>
    <row r="97" spans="1:3" x14ac:dyDescent="0.3">
      <c r="A97" t="s">
        <v>203</v>
      </c>
      <c r="B97" t="s">
        <v>123</v>
      </c>
      <c r="C97" t="s">
        <v>123</v>
      </c>
    </row>
    <row r="98" spans="1:3" x14ac:dyDescent="0.3">
      <c r="A98" t="s">
        <v>204</v>
      </c>
      <c r="B98" t="s">
        <v>123</v>
      </c>
      <c r="C98" t="s">
        <v>123</v>
      </c>
    </row>
    <row r="99" spans="1:3" x14ac:dyDescent="0.3">
      <c r="A99" t="s">
        <v>205</v>
      </c>
      <c r="B99" t="s">
        <v>123</v>
      </c>
      <c r="C99" t="s">
        <v>123</v>
      </c>
    </row>
    <row r="100" spans="1:3" x14ac:dyDescent="0.3">
      <c r="A100" t="s">
        <v>206</v>
      </c>
      <c r="B100" t="s">
        <v>123</v>
      </c>
      <c r="C100" t="s">
        <v>123</v>
      </c>
    </row>
    <row r="101" spans="1:3" x14ac:dyDescent="0.3">
      <c r="A101" t="s">
        <v>207</v>
      </c>
      <c r="B101" t="s">
        <v>123</v>
      </c>
      <c r="C101" t="s">
        <v>123</v>
      </c>
    </row>
    <row r="102" spans="1:3" x14ac:dyDescent="0.3">
      <c r="A102" t="s">
        <v>208</v>
      </c>
      <c r="B102" t="s">
        <v>123</v>
      </c>
      <c r="C102" t="s">
        <v>123</v>
      </c>
    </row>
    <row r="103" spans="1:3" x14ac:dyDescent="0.3">
      <c r="A103" t="s">
        <v>209</v>
      </c>
      <c r="B103" t="s">
        <v>123</v>
      </c>
      <c r="C103" t="s">
        <v>123</v>
      </c>
    </row>
    <row r="104" spans="1:3" x14ac:dyDescent="0.3">
      <c r="A104" t="s">
        <v>210</v>
      </c>
      <c r="B104" t="s">
        <v>123</v>
      </c>
      <c r="C104" t="s">
        <v>123</v>
      </c>
    </row>
    <row r="105" spans="1:3" x14ac:dyDescent="0.3">
      <c r="A105" t="s">
        <v>211</v>
      </c>
      <c r="B105" t="s">
        <v>123</v>
      </c>
      <c r="C105" t="s">
        <v>123</v>
      </c>
    </row>
    <row r="106" spans="1:3" x14ac:dyDescent="0.3">
      <c r="A106" t="s">
        <v>212</v>
      </c>
      <c r="B106" t="s">
        <v>123</v>
      </c>
      <c r="C106" t="s">
        <v>123</v>
      </c>
    </row>
    <row r="107" spans="1:3" x14ac:dyDescent="0.3">
      <c r="A107" t="s">
        <v>213</v>
      </c>
      <c r="B107" t="s">
        <v>123</v>
      </c>
      <c r="C107" t="s">
        <v>123</v>
      </c>
    </row>
    <row r="108" spans="1:3" x14ac:dyDescent="0.3">
      <c r="A108" t="s">
        <v>214</v>
      </c>
      <c r="B108" t="s">
        <v>123</v>
      </c>
      <c r="C108" t="s">
        <v>123</v>
      </c>
    </row>
    <row r="109" spans="1:3" x14ac:dyDescent="0.3">
      <c r="A109" t="s">
        <v>215</v>
      </c>
      <c r="B109" t="s">
        <v>123</v>
      </c>
      <c r="C109" t="s">
        <v>123</v>
      </c>
    </row>
    <row r="110" spans="1:3" x14ac:dyDescent="0.3">
      <c r="A110" t="s">
        <v>216</v>
      </c>
      <c r="B110" t="s">
        <v>123</v>
      </c>
      <c r="C110" t="s">
        <v>123</v>
      </c>
    </row>
    <row r="111" spans="1:3" x14ac:dyDescent="0.3">
      <c r="A111" t="s">
        <v>217</v>
      </c>
      <c r="B111" t="s">
        <v>123</v>
      </c>
      <c r="C111" t="s">
        <v>123</v>
      </c>
    </row>
    <row r="112" spans="1:3" x14ac:dyDescent="0.3">
      <c r="A112" t="s">
        <v>218</v>
      </c>
      <c r="B112" t="s">
        <v>123</v>
      </c>
      <c r="C112" t="s">
        <v>123</v>
      </c>
    </row>
    <row r="113" spans="1:3" x14ac:dyDescent="0.3">
      <c r="A113" t="s">
        <v>219</v>
      </c>
      <c r="B113" t="s">
        <v>123</v>
      </c>
      <c r="C113" t="s">
        <v>123</v>
      </c>
    </row>
    <row r="114" spans="1:3" x14ac:dyDescent="0.3">
      <c r="A114" t="s">
        <v>220</v>
      </c>
      <c r="B114" t="s">
        <v>123</v>
      </c>
      <c r="C114" t="s">
        <v>123</v>
      </c>
    </row>
    <row r="115" spans="1:3" x14ac:dyDescent="0.3">
      <c r="A115" t="s">
        <v>175</v>
      </c>
      <c r="B115" t="s">
        <v>123</v>
      </c>
      <c r="C115" t="s">
        <v>123</v>
      </c>
    </row>
    <row r="116" spans="1:3" x14ac:dyDescent="0.3">
      <c r="A116" t="s">
        <v>221</v>
      </c>
      <c r="B116" t="s">
        <v>123</v>
      </c>
      <c r="C116" t="s">
        <v>123</v>
      </c>
    </row>
    <row r="117" spans="1:3" x14ac:dyDescent="0.3">
      <c r="A117" t="s">
        <v>222</v>
      </c>
      <c r="B117" t="s">
        <v>123</v>
      </c>
      <c r="C117" t="s">
        <v>123</v>
      </c>
    </row>
    <row r="118" spans="1:3" x14ac:dyDescent="0.3">
      <c r="A118" t="s">
        <v>176</v>
      </c>
      <c r="B118" t="s">
        <v>123</v>
      </c>
      <c r="C118" t="s">
        <v>123</v>
      </c>
    </row>
    <row r="119" spans="1:3" x14ac:dyDescent="0.3">
      <c r="A119" t="s">
        <v>223</v>
      </c>
      <c r="B119" t="s">
        <v>123</v>
      </c>
      <c r="C119" t="s">
        <v>123</v>
      </c>
    </row>
    <row r="120" spans="1:3" x14ac:dyDescent="0.3">
      <c r="A120" t="s">
        <v>224</v>
      </c>
      <c r="B120" t="s">
        <v>123</v>
      </c>
      <c r="C120" t="s">
        <v>123</v>
      </c>
    </row>
    <row r="121" spans="1:3" x14ac:dyDescent="0.3">
      <c r="A121" t="s">
        <v>225</v>
      </c>
      <c r="B121" t="s">
        <v>123</v>
      </c>
      <c r="C121" t="s">
        <v>123</v>
      </c>
    </row>
    <row r="122" spans="1:3" x14ac:dyDescent="0.3">
      <c r="A122" t="s">
        <v>226</v>
      </c>
      <c r="B122" t="s">
        <v>123</v>
      </c>
      <c r="C122" t="s">
        <v>123</v>
      </c>
    </row>
    <row r="123" spans="1:3" x14ac:dyDescent="0.3">
      <c r="A123" t="s">
        <v>227</v>
      </c>
      <c r="B123" t="s">
        <v>123</v>
      </c>
      <c r="C123" t="s">
        <v>123</v>
      </c>
    </row>
    <row r="124" spans="1:3" x14ac:dyDescent="0.3">
      <c r="A124" t="s">
        <v>228</v>
      </c>
      <c r="B124" t="s">
        <v>123</v>
      </c>
      <c r="C124" t="s">
        <v>123</v>
      </c>
    </row>
    <row r="125" spans="1:3" x14ac:dyDescent="0.3">
      <c r="A125" t="s">
        <v>177</v>
      </c>
      <c r="B125" t="s">
        <v>123</v>
      </c>
      <c r="C125" t="s">
        <v>123</v>
      </c>
    </row>
    <row r="126" spans="1:3" x14ac:dyDescent="0.3">
      <c r="A126" t="s">
        <v>229</v>
      </c>
      <c r="B126" t="s">
        <v>123</v>
      </c>
      <c r="C126" t="s">
        <v>123</v>
      </c>
    </row>
    <row r="127" spans="1:3" x14ac:dyDescent="0.3">
      <c r="A127" t="s">
        <v>230</v>
      </c>
      <c r="B127" t="s">
        <v>123</v>
      </c>
      <c r="C127" t="s">
        <v>123</v>
      </c>
    </row>
    <row r="128" spans="1:3" x14ac:dyDescent="0.3">
      <c r="A128" t="s">
        <v>231</v>
      </c>
      <c r="B128" t="s">
        <v>123</v>
      </c>
      <c r="C128" t="s">
        <v>123</v>
      </c>
    </row>
    <row r="129" spans="1:3" x14ac:dyDescent="0.3">
      <c r="A129" t="s">
        <v>232</v>
      </c>
      <c r="B129" t="s">
        <v>123</v>
      </c>
      <c r="C129" t="s">
        <v>123</v>
      </c>
    </row>
    <row r="130" spans="1:3" x14ac:dyDescent="0.3">
      <c r="A130" t="s">
        <v>233</v>
      </c>
      <c r="B130" t="s">
        <v>123</v>
      </c>
      <c r="C130" t="s">
        <v>123</v>
      </c>
    </row>
    <row r="131" spans="1:3" x14ac:dyDescent="0.3">
      <c r="A131" t="s">
        <v>234</v>
      </c>
      <c r="B131" t="s">
        <v>123</v>
      </c>
      <c r="C131" t="s">
        <v>123</v>
      </c>
    </row>
    <row r="132" spans="1:3" x14ac:dyDescent="0.3">
      <c r="A132" t="s">
        <v>235</v>
      </c>
      <c r="B132" t="s">
        <v>123</v>
      </c>
      <c r="C132" t="s">
        <v>123</v>
      </c>
    </row>
    <row r="133" spans="1:3" x14ac:dyDescent="0.3">
      <c r="A133" t="s">
        <v>236</v>
      </c>
      <c r="B133" t="s">
        <v>123</v>
      </c>
      <c r="C133" t="s">
        <v>123</v>
      </c>
    </row>
    <row r="134" spans="1:3" x14ac:dyDescent="0.3">
      <c r="A134" t="s">
        <v>237</v>
      </c>
      <c r="B134" t="s">
        <v>123</v>
      </c>
      <c r="C134" t="s">
        <v>123</v>
      </c>
    </row>
    <row r="135" spans="1:3" x14ac:dyDescent="0.3">
      <c r="A135" t="s">
        <v>238</v>
      </c>
      <c r="B135" t="s">
        <v>123</v>
      </c>
      <c r="C135" t="s">
        <v>123</v>
      </c>
    </row>
    <row r="136" spans="1:3" x14ac:dyDescent="0.3">
      <c r="A136" t="s">
        <v>239</v>
      </c>
      <c r="B136" t="s">
        <v>123</v>
      </c>
      <c r="C136" t="s">
        <v>123</v>
      </c>
    </row>
    <row r="137" spans="1:3" x14ac:dyDescent="0.3">
      <c r="A137" t="s">
        <v>240</v>
      </c>
      <c r="B137" t="s">
        <v>123</v>
      </c>
      <c r="C137" t="s">
        <v>123</v>
      </c>
    </row>
    <row r="138" spans="1:3" x14ac:dyDescent="0.3">
      <c r="A138" t="s">
        <v>241</v>
      </c>
      <c r="B138" t="s">
        <v>123</v>
      </c>
      <c r="C138" t="s">
        <v>123</v>
      </c>
    </row>
    <row r="139" spans="1:3" x14ac:dyDescent="0.3">
      <c r="A139" t="s">
        <v>242</v>
      </c>
      <c r="B139" t="s">
        <v>123</v>
      </c>
      <c r="C139" t="s">
        <v>123</v>
      </c>
    </row>
    <row r="140" spans="1:3" x14ac:dyDescent="0.3">
      <c r="A140" t="s">
        <v>243</v>
      </c>
      <c r="B140" t="s">
        <v>123</v>
      </c>
      <c r="C140" t="s">
        <v>123</v>
      </c>
    </row>
    <row r="141" spans="1:3" x14ac:dyDescent="0.3">
      <c r="A141" t="s">
        <v>244</v>
      </c>
      <c r="B141" t="s">
        <v>123</v>
      </c>
      <c r="C141" t="s">
        <v>123</v>
      </c>
    </row>
    <row r="142" spans="1:3" x14ac:dyDescent="0.3">
      <c r="A142" t="s">
        <v>245</v>
      </c>
      <c r="B142" t="s">
        <v>123</v>
      </c>
      <c r="C142" t="s">
        <v>123</v>
      </c>
    </row>
    <row r="143" spans="1:3" x14ac:dyDescent="0.3">
      <c r="A143" t="s">
        <v>246</v>
      </c>
      <c r="B143" t="s">
        <v>123</v>
      </c>
      <c r="C143" t="s">
        <v>123</v>
      </c>
    </row>
    <row r="144" spans="1:3" x14ac:dyDescent="0.3">
      <c r="A144" t="s">
        <v>247</v>
      </c>
      <c r="B144" t="s">
        <v>123</v>
      </c>
      <c r="C144" t="s">
        <v>123</v>
      </c>
    </row>
    <row r="145" spans="1:3" x14ac:dyDescent="0.3">
      <c r="A145" t="s">
        <v>248</v>
      </c>
      <c r="B145" t="s">
        <v>123</v>
      </c>
      <c r="C145" t="s">
        <v>123</v>
      </c>
    </row>
    <row r="146" spans="1:3" x14ac:dyDescent="0.3">
      <c r="A146" t="s">
        <v>249</v>
      </c>
      <c r="B146" t="s">
        <v>123</v>
      </c>
      <c r="C146" t="s">
        <v>123</v>
      </c>
    </row>
    <row r="147" spans="1:3" x14ac:dyDescent="0.3">
      <c r="A147" t="s">
        <v>250</v>
      </c>
      <c r="B147" t="s">
        <v>123</v>
      </c>
      <c r="C147" t="s">
        <v>123</v>
      </c>
    </row>
    <row r="148" spans="1:3" x14ac:dyDescent="0.3">
      <c r="A148" t="s">
        <v>251</v>
      </c>
      <c r="B148" t="s">
        <v>123</v>
      </c>
      <c r="C148" t="s">
        <v>123</v>
      </c>
    </row>
    <row r="149" spans="1:3" x14ac:dyDescent="0.3">
      <c r="A149" t="s">
        <v>252</v>
      </c>
      <c r="B149" t="s">
        <v>123</v>
      </c>
      <c r="C149" t="s">
        <v>123</v>
      </c>
    </row>
    <row r="150" spans="1:3" x14ac:dyDescent="0.3">
      <c r="A150" t="s">
        <v>253</v>
      </c>
      <c r="B150" t="s">
        <v>123</v>
      </c>
      <c r="C150" t="s">
        <v>123</v>
      </c>
    </row>
    <row r="151" spans="1:3" x14ac:dyDescent="0.3">
      <c r="A151" t="s">
        <v>254</v>
      </c>
      <c r="B151" t="s">
        <v>123</v>
      </c>
      <c r="C151" t="s">
        <v>123</v>
      </c>
    </row>
    <row r="152" spans="1:3" x14ac:dyDescent="0.3">
      <c r="A152" t="s">
        <v>255</v>
      </c>
      <c r="B152" t="s">
        <v>123</v>
      </c>
      <c r="C152" t="s">
        <v>123</v>
      </c>
    </row>
    <row r="153" spans="1:3" x14ac:dyDescent="0.3">
      <c r="A153" t="s">
        <v>256</v>
      </c>
      <c r="B153" t="s">
        <v>123</v>
      </c>
      <c r="C153" t="s">
        <v>123</v>
      </c>
    </row>
    <row r="154" spans="1:3" x14ac:dyDescent="0.3">
      <c r="A154" t="s">
        <v>257</v>
      </c>
      <c r="B154" t="s">
        <v>123</v>
      </c>
      <c r="C154" t="s">
        <v>123</v>
      </c>
    </row>
    <row r="155" spans="1:3" x14ac:dyDescent="0.3">
      <c r="A155" t="s">
        <v>258</v>
      </c>
      <c r="B155" t="s">
        <v>123</v>
      </c>
      <c r="C155" t="s">
        <v>123</v>
      </c>
    </row>
    <row r="156" spans="1:3" x14ac:dyDescent="0.3">
      <c r="A156" t="s">
        <v>259</v>
      </c>
      <c r="B156" t="s">
        <v>123</v>
      </c>
      <c r="C156" t="s">
        <v>123</v>
      </c>
    </row>
    <row r="157" spans="1:3" x14ac:dyDescent="0.3">
      <c r="A157" t="s">
        <v>260</v>
      </c>
      <c r="B157" t="s">
        <v>123</v>
      </c>
      <c r="C157" t="s">
        <v>123</v>
      </c>
    </row>
    <row r="158" spans="1:3" x14ac:dyDescent="0.3">
      <c r="A158" t="s">
        <v>261</v>
      </c>
      <c r="B158" t="s">
        <v>123</v>
      </c>
      <c r="C158" t="s">
        <v>123</v>
      </c>
    </row>
    <row r="159" spans="1:3" x14ac:dyDescent="0.3">
      <c r="A159" t="s">
        <v>262</v>
      </c>
      <c r="B159" t="s">
        <v>123</v>
      </c>
      <c r="C159" t="s">
        <v>123</v>
      </c>
    </row>
    <row r="160" spans="1:3" x14ac:dyDescent="0.3">
      <c r="A160" t="s">
        <v>263</v>
      </c>
      <c r="B160" t="s">
        <v>123</v>
      </c>
      <c r="C160" t="s">
        <v>123</v>
      </c>
    </row>
    <row r="161" spans="1:3" x14ac:dyDescent="0.3">
      <c r="A161" t="s">
        <v>264</v>
      </c>
      <c r="B161" t="s">
        <v>123</v>
      </c>
      <c r="C161" t="s">
        <v>123</v>
      </c>
    </row>
    <row r="162" spans="1:3" x14ac:dyDescent="0.3">
      <c r="A162" t="s">
        <v>265</v>
      </c>
      <c r="B162" t="s">
        <v>123</v>
      </c>
      <c r="C162" t="s">
        <v>123</v>
      </c>
    </row>
    <row r="163" spans="1:3" x14ac:dyDescent="0.3">
      <c r="A163" t="s">
        <v>266</v>
      </c>
      <c r="B163" t="s">
        <v>123</v>
      </c>
      <c r="C163" t="s">
        <v>123</v>
      </c>
    </row>
    <row r="164" spans="1:3" x14ac:dyDescent="0.3">
      <c r="A164" t="s">
        <v>267</v>
      </c>
      <c r="B164" t="s">
        <v>123</v>
      </c>
      <c r="C164" t="s">
        <v>123</v>
      </c>
    </row>
    <row r="165" spans="1:3" x14ac:dyDescent="0.3">
      <c r="A165" t="s">
        <v>268</v>
      </c>
      <c r="B165" t="s">
        <v>123</v>
      </c>
      <c r="C165" t="s">
        <v>123</v>
      </c>
    </row>
    <row r="166" spans="1:3" x14ac:dyDescent="0.3">
      <c r="A166" t="s">
        <v>269</v>
      </c>
      <c r="B166" t="s">
        <v>123</v>
      </c>
      <c r="C166" t="s">
        <v>123</v>
      </c>
    </row>
    <row r="167" spans="1:3" x14ac:dyDescent="0.3">
      <c r="A167" t="s">
        <v>270</v>
      </c>
      <c r="B167" t="s">
        <v>123</v>
      </c>
      <c r="C167" t="s">
        <v>123</v>
      </c>
    </row>
    <row r="168" spans="1:3" x14ac:dyDescent="0.3">
      <c r="A168" t="s">
        <v>271</v>
      </c>
      <c r="B168" t="s">
        <v>123</v>
      </c>
      <c r="C168" t="s">
        <v>123</v>
      </c>
    </row>
    <row r="169" spans="1:3" x14ac:dyDescent="0.3">
      <c r="A169" t="s">
        <v>272</v>
      </c>
      <c r="B169" t="s">
        <v>123</v>
      </c>
      <c r="C169" t="s">
        <v>123</v>
      </c>
    </row>
    <row r="170" spans="1:3" x14ac:dyDescent="0.3">
      <c r="A170" t="s">
        <v>273</v>
      </c>
      <c r="B170" t="s">
        <v>123</v>
      </c>
      <c r="C170" t="s">
        <v>123</v>
      </c>
    </row>
    <row r="171" spans="1:3" x14ac:dyDescent="0.3">
      <c r="A171" t="s">
        <v>274</v>
      </c>
      <c r="B171" t="s">
        <v>123</v>
      </c>
      <c r="C171" t="s">
        <v>123</v>
      </c>
    </row>
    <row r="172" spans="1:3" x14ac:dyDescent="0.3">
      <c r="A172" t="s">
        <v>275</v>
      </c>
      <c r="B172" t="s">
        <v>123</v>
      </c>
      <c r="C172" t="s">
        <v>123</v>
      </c>
    </row>
    <row r="173" spans="1:3" x14ac:dyDescent="0.3">
      <c r="A173" t="s">
        <v>276</v>
      </c>
      <c r="B173" t="s">
        <v>123</v>
      </c>
      <c r="C173" t="s">
        <v>123</v>
      </c>
    </row>
    <row r="174" spans="1:3" x14ac:dyDescent="0.3">
      <c r="A174" t="s">
        <v>277</v>
      </c>
      <c r="B174" t="s">
        <v>123</v>
      </c>
      <c r="C174" t="s">
        <v>123</v>
      </c>
    </row>
    <row r="175" spans="1:3" x14ac:dyDescent="0.3">
      <c r="A175" t="s">
        <v>278</v>
      </c>
      <c r="B175" t="s">
        <v>123</v>
      </c>
      <c r="C175" t="s">
        <v>123</v>
      </c>
    </row>
    <row r="176" spans="1:3" x14ac:dyDescent="0.3">
      <c r="A176" t="s">
        <v>279</v>
      </c>
      <c r="B176" t="s">
        <v>123</v>
      </c>
      <c r="C176" t="s">
        <v>123</v>
      </c>
    </row>
    <row r="177" spans="1:3" x14ac:dyDescent="0.3">
      <c r="A177" t="s">
        <v>280</v>
      </c>
      <c r="B177" t="s">
        <v>123</v>
      </c>
      <c r="C177" t="s">
        <v>123</v>
      </c>
    </row>
    <row r="178" spans="1:3" x14ac:dyDescent="0.3">
      <c r="A178" t="s">
        <v>281</v>
      </c>
      <c r="B178" t="s">
        <v>123</v>
      </c>
      <c r="C178" t="s">
        <v>123</v>
      </c>
    </row>
    <row r="179" spans="1:3" x14ac:dyDescent="0.3">
      <c r="A179" t="s">
        <v>282</v>
      </c>
      <c r="B179" t="s">
        <v>123</v>
      </c>
      <c r="C179" t="s">
        <v>123</v>
      </c>
    </row>
    <row r="180" spans="1:3" x14ac:dyDescent="0.3">
      <c r="A180" t="s">
        <v>283</v>
      </c>
      <c r="B180" t="s">
        <v>123</v>
      </c>
      <c r="C180" t="s">
        <v>123</v>
      </c>
    </row>
    <row r="181" spans="1:3" x14ac:dyDescent="0.3">
      <c r="A181" t="s">
        <v>284</v>
      </c>
      <c r="B181" t="s">
        <v>123</v>
      </c>
      <c r="C181" t="s">
        <v>123</v>
      </c>
    </row>
    <row r="182" spans="1:3" x14ac:dyDescent="0.3">
      <c r="A182" t="s">
        <v>285</v>
      </c>
      <c r="B182" t="s">
        <v>123</v>
      </c>
      <c r="C182" t="s">
        <v>123</v>
      </c>
    </row>
    <row r="183" spans="1:3" x14ac:dyDescent="0.3">
      <c r="A183" t="s">
        <v>286</v>
      </c>
      <c r="B183" t="s">
        <v>123</v>
      </c>
      <c r="C183" t="s">
        <v>123</v>
      </c>
    </row>
    <row r="184" spans="1:3" x14ac:dyDescent="0.3">
      <c r="A184" t="s">
        <v>287</v>
      </c>
      <c r="B184" t="s">
        <v>123</v>
      </c>
      <c r="C184" t="s">
        <v>123</v>
      </c>
    </row>
    <row r="185" spans="1:3" x14ac:dyDescent="0.3">
      <c r="A185" t="s">
        <v>288</v>
      </c>
      <c r="B185" t="s">
        <v>123</v>
      </c>
      <c r="C185" t="s">
        <v>123</v>
      </c>
    </row>
    <row r="186" spans="1:3" x14ac:dyDescent="0.3">
      <c r="A186" t="s">
        <v>289</v>
      </c>
      <c r="B186" t="s">
        <v>123</v>
      </c>
      <c r="C186" t="s">
        <v>123</v>
      </c>
    </row>
    <row r="187" spans="1:3" x14ac:dyDescent="0.3">
      <c r="A187" t="s">
        <v>290</v>
      </c>
      <c r="B187" t="s">
        <v>123</v>
      </c>
      <c r="C187" t="s">
        <v>123</v>
      </c>
    </row>
    <row r="188" spans="1:3" x14ac:dyDescent="0.3">
      <c r="A188" t="s">
        <v>291</v>
      </c>
      <c r="B188" t="s">
        <v>123</v>
      </c>
      <c r="C188" t="s">
        <v>123</v>
      </c>
    </row>
    <row r="189" spans="1:3" x14ac:dyDescent="0.3">
      <c r="A189" t="s">
        <v>292</v>
      </c>
      <c r="B189" t="s">
        <v>123</v>
      </c>
      <c r="C189" t="s">
        <v>123</v>
      </c>
    </row>
    <row r="190" spans="1:3" x14ac:dyDescent="0.3">
      <c r="A190" t="s">
        <v>293</v>
      </c>
      <c r="B190" t="s">
        <v>123</v>
      </c>
      <c r="C190" t="s">
        <v>123</v>
      </c>
    </row>
    <row r="191" spans="1:3" x14ac:dyDescent="0.3">
      <c r="A191" t="s">
        <v>294</v>
      </c>
      <c r="B191" t="s">
        <v>123</v>
      </c>
      <c r="C191" t="s">
        <v>123</v>
      </c>
    </row>
    <row r="192" spans="1:3" x14ac:dyDescent="0.3">
      <c r="A192" t="s">
        <v>295</v>
      </c>
      <c r="B192" t="s">
        <v>123</v>
      </c>
      <c r="C192" t="s">
        <v>123</v>
      </c>
    </row>
    <row r="193" spans="1:3" x14ac:dyDescent="0.3">
      <c r="A193" t="s">
        <v>296</v>
      </c>
      <c r="B193" t="s">
        <v>123</v>
      </c>
      <c r="C193" t="s">
        <v>123</v>
      </c>
    </row>
    <row r="194" spans="1:3" x14ac:dyDescent="0.3">
      <c r="A194" t="s">
        <v>297</v>
      </c>
      <c r="B194" t="s">
        <v>123</v>
      </c>
      <c r="C194" t="s">
        <v>123</v>
      </c>
    </row>
    <row r="195" spans="1:3" x14ac:dyDescent="0.3">
      <c r="A195" t="s">
        <v>298</v>
      </c>
      <c r="B195" t="s">
        <v>123</v>
      </c>
      <c r="C195" t="s">
        <v>123</v>
      </c>
    </row>
    <row r="196" spans="1:3" x14ac:dyDescent="0.3">
      <c r="A196" t="s">
        <v>299</v>
      </c>
      <c r="B196" t="s">
        <v>123</v>
      </c>
      <c r="C196" t="s">
        <v>123</v>
      </c>
    </row>
    <row r="197" spans="1:3" x14ac:dyDescent="0.3">
      <c r="A197" t="s">
        <v>300</v>
      </c>
      <c r="B197" t="s">
        <v>123</v>
      </c>
      <c r="C197" t="s">
        <v>123</v>
      </c>
    </row>
    <row r="198" spans="1:3" x14ac:dyDescent="0.3">
      <c r="A198" t="s">
        <v>301</v>
      </c>
      <c r="B198" t="s">
        <v>123</v>
      </c>
      <c r="C198" t="s">
        <v>123</v>
      </c>
    </row>
    <row r="199" spans="1:3" x14ac:dyDescent="0.3">
      <c r="A199" t="s">
        <v>302</v>
      </c>
      <c r="B199" t="s">
        <v>123</v>
      </c>
      <c r="C199" t="s">
        <v>123</v>
      </c>
    </row>
    <row r="200" spans="1:3" x14ac:dyDescent="0.3">
      <c r="A200" t="s">
        <v>303</v>
      </c>
      <c r="B200" t="s">
        <v>123</v>
      </c>
      <c r="C200" t="s">
        <v>123</v>
      </c>
    </row>
    <row r="201" spans="1:3" x14ac:dyDescent="0.3">
      <c r="A201" t="s">
        <v>304</v>
      </c>
      <c r="B201" t="s">
        <v>123</v>
      </c>
      <c r="C201" t="s">
        <v>123</v>
      </c>
    </row>
    <row r="202" spans="1:3" x14ac:dyDescent="0.3">
      <c r="A202" t="s">
        <v>305</v>
      </c>
      <c r="B202" t="s">
        <v>123</v>
      </c>
      <c r="C202" t="s">
        <v>123</v>
      </c>
    </row>
    <row r="203" spans="1:3" x14ac:dyDescent="0.3">
      <c r="A203" t="s">
        <v>306</v>
      </c>
      <c r="B203" t="s">
        <v>123</v>
      </c>
      <c r="C203" t="s">
        <v>123</v>
      </c>
    </row>
    <row r="204" spans="1:3" x14ac:dyDescent="0.3">
      <c r="A204" t="s">
        <v>307</v>
      </c>
      <c r="B204" t="s">
        <v>123</v>
      </c>
      <c r="C204" t="s">
        <v>123</v>
      </c>
    </row>
    <row r="205" spans="1:3" x14ac:dyDescent="0.3">
      <c r="A205" t="s">
        <v>308</v>
      </c>
      <c r="B205" t="s">
        <v>123</v>
      </c>
      <c r="C205" t="s">
        <v>123</v>
      </c>
    </row>
    <row r="206" spans="1:3" x14ac:dyDescent="0.3">
      <c r="A206" t="s">
        <v>309</v>
      </c>
      <c r="B206" t="s">
        <v>123</v>
      </c>
      <c r="C206" t="s">
        <v>123</v>
      </c>
    </row>
    <row r="207" spans="1:3" x14ac:dyDescent="0.3">
      <c r="A207" t="s">
        <v>310</v>
      </c>
      <c r="B207" t="s">
        <v>123</v>
      </c>
      <c r="C207" t="s">
        <v>123</v>
      </c>
    </row>
    <row r="208" spans="1:3" x14ac:dyDescent="0.3">
      <c r="A208" t="s">
        <v>311</v>
      </c>
      <c r="B208" t="s">
        <v>123</v>
      </c>
      <c r="C208" t="s">
        <v>123</v>
      </c>
    </row>
    <row r="209" spans="1:3" x14ac:dyDescent="0.3">
      <c r="A209" t="s">
        <v>312</v>
      </c>
      <c r="B209" t="s">
        <v>123</v>
      </c>
      <c r="C209" t="s">
        <v>123</v>
      </c>
    </row>
    <row r="210" spans="1:3" x14ac:dyDescent="0.3">
      <c r="A210" t="s">
        <v>313</v>
      </c>
      <c r="B210" t="s">
        <v>123</v>
      </c>
      <c r="C210" t="s">
        <v>123</v>
      </c>
    </row>
    <row r="211" spans="1:3" x14ac:dyDescent="0.3">
      <c r="A211" t="s">
        <v>314</v>
      </c>
      <c r="B211" t="s">
        <v>123</v>
      </c>
      <c r="C211" t="s">
        <v>123</v>
      </c>
    </row>
    <row r="212" spans="1:3" x14ac:dyDescent="0.3">
      <c r="A212" t="s">
        <v>315</v>
      </c>
      <c r="B212" t="s">
        <v>123</v>
      </c>
      <c r="C212" t="s">
        <v>123</v>
      </c>
    </row>
    <row r="213" spans="1:3" x14ac:dyDescent="0.3">
      <c r="A213" t="s">
        <v>316</v>
      </c>
      <c r="B213" t="s">
        <v>123</v>
      </c>
      <c r="C213" t="s">
        <v>123</v>
      </c>
    </row>
    <row r="214" spans="1:3" x14ac:dyDescent="0.3">
      <c r="A214" t="s">
        <v>317</v>
      </c>
      <c r="B214" t="s">
        <v>123</v>
      </c>
      <c r="C214" t="s">
        <v>123</v>
      </c>
    </row>
    <row r="215" spans="1:3" x14ac:dyDescent="0.3">
      <c r="A215" t="s">
        <v>318</v>
      </c>
      <c r="B215" t="s">
        <v>123</v>
      </c>
      <c r="C215" t="s">
        <v>123</v>
      </c>
    </row>
    <row r="216" spans="1:3" x14ac:dyDescent="0.3">
      <c r="A216" t="s">
        <v>319</v>
      </c>
      <c r="B216" t="s">
        <v>123</v>
      </c>
      <c r="C216" t="s">
        <v>123</v>
      </c>
    </row>
    <row r="217" spans="1:3" x14ac:dyDescent="0.3">
      <c r="A217" t="s">
        <v>320</v>
      </c>
      <c r="B217" t="s">
        <v>123</v>
      </c>
      <c r="C217" t="s">
        <v>123</v>
      </c>
    </row>
    <row r="218" spans="1:3" x14ac:dyDescent="0.3">
      <c r="A218" t="s">
        <v>321</v>
      </c>
      <c r="B218" t="s">
        <v>123</v>
      </c>
      <c r="C218" t="s">
        <v>123</v>
      </c>
    </row>
    <row r="219" spans="1:3" x14ac:dyDescent="0.3">
      <c r="A219" t="s">
        <v>322</v>
      </c>
      <c r="B219" t="s">
        <v>123</v>
      </c>
      <c r="C219" t="s">
        <v>123</v>
      </c>
    </row>
    <row r="220" spans="1:3" x14ac:dyDescent="0.3">
      <c r="A220" t="s">
        <v>323</v>
      </c>
      <c r="B220" t="s">
        <v>123</v>
      </c>
      <c r="C220" t="s">
        <v>123</v>
      </c>
    </row>
    <row r="221" spans="1:3" x14ac:dyDescent="0.3">
      <c r="A221" t="s">
        <v>324</v>
      </c>
      <c r="B221" t="s">
        <v>123</v>
      </c>
      <c r="C221" t="s">
        <v>123</v>
      </c>
    </row>
    <row r="222" spans="1:3" x14ac:dyDescent="0.3">
      <c r="A222" t="s">
        <v>325</v>
      </c>
      <c r="B222" t="s">
        <v>123</v>
      </c>
      <c r="C222" t="s">
        <v>123</v>
      </c>
    </row>
    <row r="223" spans="1:3" x14ac:dyDescent="0.3">
      <c r="A223" t="s">
        <v>326</v>
      </c>
      <c r="B223" t="s">
        <v>123</v>
      </c>
      <c r="C223" t="s">
        <v>123</v>
      </c>
    </row>
    <row r="224" spans="1:3" x14ac:dyDescent="0.3">
      <c r="A224" t="s">
        <v>327</v>
      </c>
      <c r="B224" t="s">
        <v>123</v>
      </c>
      <c r="C224" t="s">
        <v>123</v>
      </c>
    </row>
    <row r="225" spans="1:3" x14ac:dyDescent="0.3">
      <c r="A225" t="s">
        <v>328</v>
      </c>
      <c r="B225" t="s">
        <v>123</v>
      </c>
      <c r="C225" t="s">
        <v>123</v>
      </c>
    </row>
    <row r="226" spans="1:3" x14ac:dyDescent="0.3">
      <c r="A226" t="s">
        <v>329</v>
      </c>
      <c r="B226" t="s">
        <v>123</v>
      </c>
      <c r="C226" t="s">
        <v>123</v>
      </c>
    </row>
    <row r="227" spans="1:3" x14ac:dyDescent="0.3">
      <c r="A227" t="s">
        <v>330</v>
      </c>
      <c r="B227" t="s">
        <v>123</v>
      </c>
      <c r="C227" t="s">
        <v>123</v>
      </c>
    </row>
    <row r="228" spans="1:3" x14ac:dyDescent="0.3">
      <c r="A228" t="s">
        <v>331</v>
      </c>
      <c r="B228" t="s">
        <v>123</v>
      </c>
      <c r="C228" t="s">
        <v>123</v>
      </c>
    </row>
    <row r="229" spans="1:3" x14ac:dyDescent="0.3">
      <c r="A229" t="s">
        <v>332</v>
      </c>
      <c r="B229" t="s">
        <v>123</v>
      </c>
      <c r="C229" t="s">
        <v>123</v>
      </c>
    </row>
    <row r="230" spans="1:3" x14ac:dyDescent="0.3">
      <c r="A230" t="s">
        <v>333</v>
      </c>
      <c r="B230" t="s">
        <v>123</v>
      </c>
      <c r="C230" t="s">
        <v>123</v>
      </c>
    </row>
    <row r="231" spans="1:3" x14ac:dyDescent="0.3">
      <c r="A231" t="s">
        <v>334</v>
      </c>
      <c r="B231" t="s">
        <v>123</v>
      </c>
      <c r="C231" t="s">
        <v>123</v>
      </c>
    </row>
    <row r="232" spans="1:3" x14ac:dyDescent="0.3">
      <c r="A232" t="s">
        <v>335</v>
      </c>
      <c r="B232" t="s">
        <v>123</v>
      </c>
      <c r="C232" t="s">
        <v>123</v>
      </c>
    </row>
    <row r="233" spans="1:3" x14ac:dyDescent="0.3">
      <c r="A233" t="s">
        <v>336</v>
      </c>
      <c r="B233" t="s">
        <v>123</v>
      </c>
      <c r="C233" t="s">
        <v>123</v>
      </c>
    </row>
    <row r="234" spans="1:3" x14ac:dyDescent="0.3">
      <c r="A234" t="s">
        <v>337</v>
      </c>
      <c r="B234" t="s">
        <v>123</v>
      </c>
      <c r="C234" t="s">
        <v>123</v>
      </c>
    </row>
    <row r="235" spans="1:3" x14ac:dyDescent="0.3">
      <c r="A235" t="s">
        <v>338</v>
      </c>
      <c r="B235" t="s">
        <v>123</v>
      </c>
      <c r="C235" t="s">
        <v>123</v>
      </c>
    </row>
    <row r="236" spans="1:3" x14ac:dyDescent="0.3">
      <c r="A236" t="s">
        <v>339</v>
      </c>
      <c r="B236" t="s">
        <v>123</v>
      </c>
      <c r="C236" t="s">
        <v>123</v>
      </c>
    </row>
    <row r="237" spans="1:3" x14ac:dyDescent="0.3">
      <c r="A237" t="s">
        <v>340</v>
      </c>
      <c r="B237" t="s">
        <v>123</v>
      </c>
      <c r="C237" t="s">
        <v>123</v>
      </c>
    </row>
    <row r="238" spans="1:3" x14ac:dyDescent="0.3">
      <c r="A238" t="s">
        <v>341</v>
      </c>
      <c r="B238" t="s">
        <v>123</v>
      </c>
      <c r="C238" t="s">
        <v>123</v>
      </c>
    </row>
    <row r="239" spans="1:3" x14ac:dyDescent="0.3">
      <c r="A239" t="s">
        <v>342</v>
      </c>
      <c r="B239" t="s">
        <v>123</v>
      </c>
      <c r="C239" t="s">
        <v>123</v>
      </c>
    </row>
    <row r="240" spans="1:3" x14ac:dyDescent="0.3">
      <c r="A240" t="s">
        <v>343</v>
      </c>
      <c r="B240" t="s">
        <v>123</v>
      </c>
      <c r="C240" t="s">
        <v>123</v>
      </c>
    </row>
    <row r="241" spans="1:3" x14ac:dyDescent="0.3">
      <c r="A241" t="s">
        <v>344</v>
      </c>
      <c r="B241" t="s">
        <v>123</v>
      </c>
      <c r="C241" t="s">
        <v>123</v>
      </c>
    </row>
    <row r="242" spans="1:3" x14ac:dyDescent="0.3">
      <c r="A242" t="s">
        <v>345</v>
      </c>
      <c r="B242" t="s">
        <v>123</v>
      </c>
      <c r="C242" t="s">
        <v>123</v>
      </c>
    </row>
    <row r="243" spans="1:3" x14ac:dyDescent="0.3">
      <c r="A243" t="s">
        <v>346</v>
      </c>
      <c r="B243" t="s">
        <v>123</v>
      </c>
      <c r="C243" t="s">
        <v>123</v>
      </c>
    </row>
    <row r="244" spans="1:3" x14ac:dyDescent="0.3">
      <c r="A244" t="s">
        <v>347</v>
      </c>
      <c r="B244" t="s">
        <v>123</v>
      </c>
      <c r="C244" t="s">
        <v>123</v>
      </c>
    </row>
    <row r="245" spans="1:3" x14ac:dyDescent="0.3">
      <c r="A245" t="s">
        <v>348</v>
      </c>
      <c r="B245" t="s">
        <v>123</v>
      </c>
      <c r="C245" t="s">
        <v>123</v>
      </c>
    </row>
    <row r="246" spans="1:3" x14ac:dyDescent="0.3">
      <c r="A246" t="s">
        <v>349</v>
      </c>
      <c r="B246" t="s">
        <v>123</v>
      </c>
      <c r="C246" t="s">
        <v>123</v>
      </c>
    </row>
    <row r="247" spans="1:3" x14ac:dyDescent="0.3">
      <c r="A247" t="s">
        <v>350</v>
      </c>
      <c r="B247" t="s">
        <v>123</v>
      </c>
      <c r="C247" t="s">
        <v>123</v>
      </c>
    </row>
    <row r="248" spans="1:3" x14ac:dyDescent="0.3">
      <c r="A248" t="s">
        <v>351</v>
      </c>
      <c r="B248" t="s">
        <v>123</v>
      </c>
      <c r="C248" t="s">
        <v>123</v>
      </c>
    </row>
    <row r="249" spans="1:3" x14ac:dyDescent="0.3">
      <c r="A249" t="s">
        <v>352</v>
      </c>
      <c r="B249" t="s">
        <v>123</v>
      </c>
      <c r="C249" t="s">
        <v>123</v>
      </c>
    </row>
    <row r="250" spans="1:3" x14ac:dyDescent="0.3">
      <c r="A250" t="s">
        <v>353</v>
      </c>
      <c r="B250" t="s">
        <v>123</v>
      </c>
      <c r="C250" t="s">
        <v>123</v>
      </c>
    </row>
    <row r="251" spans="1:3" x14ac:dyDescent="0.3">
      <c r="A251" t="s">
        <v>354</v>
      </c>
      <c r="B251" t="s">
        <v>123</v>
      </c>
      <c r="C251" t="s">
        <v>123</v>
      </c>
    </row>
    <row r="252" spans="1:3" x14ac:dyDescent="0.3">
      <c r="A252" t="s">
        <v>355</v>
      </c>
      <c r="B252" t="s">
        <v>123</v>
      </c>
      <c r="C252" t="s">
        <v>123</v>
      </c>
    </row>
    <row r="253" spans="1:3" x14ac:dyDescent="0.3">
      <c r="A253" t="s">
        <v>356</v>
      </c>
      <c r="B253" t="s">
        <v>124</v>
      </c>
      <c r="C253" t="s">
        <v>124</v>
      </c>
    </row>
    <row r="254" spans="1:3" x14ac:dyDescent="0.3">
      <c r="A254" t="s">
        <v>357</v>
      </c>
      <c r="B254" t="s">
        <v>127</v>
      </c>
      <c r="C254" t="s">
        <v>126</v>
      </c>
    </row>
    <row r="255" spans="1:3" x14ac:dyDescent="0.3">
      <c r="A255" t="s">
        <v>358</v>
      </c>
      <c r="B255" t="s">
        <v>127</v>
      </c>
      <c r="C255" t="s">
        <v>126</v>
      </c>
    </row>
    <row r="256" spans="1:3" x14ac:dyDescent="0.3">
      <c r="A256" t="s">
        <v>359</v>
      </c>
      <c r="B256" t="s">
        <v>122</v>
      </c>
      <c r="C256" t="s">
        <v>122</v>
      </c>
    </row>
    <row r="257" spans="1:3" x14ac:dyDescent="0.3">
      <c r="A257" t="s">
        <v>360</v>
      </c>
      <c r="B257" t="s">
        <v>127</v>
      </c>
      <c r="C257" t="s">
        <v>126</v>
      </c>
    </row>
    <row r="258" spans="1:3" x14ac:dyDescent="0.3">
      <c r="A258" t="s">
        <v>361</v>
      </c>
      <c r="B258" t="s">
        <v>127</v>
      </c>
      <c r="C258" t="s">
        <v>126</v>
      </c>
    </row>
    <row r="259" spans="1:3" x14ac:dyDescent="0.3">
      <c r="A259" t="s">
        <v>362</v>
      </c>
      <c r="B259" t="s">
        <v>124</v>
      </c>
      <c r="C259" t="s">
        <v>124</v>
      </c>
    </row>
    <row r="260" spans="1:3" x14ac:dyDescent="0.3">
      <c r="A260" t="s">
        <v>363</v>
      </c>
      <c r="B260" t="s">
        <v>128</v>
      </c>
      <c r="C260" t="s">
        <v>126</v>
      </c>
    </row>
    <row r="261" spans="1:3" x14ac:dyDescent="0.3">
      <c r="A261" t="s">
        <v>364</v>
      </c>
      <c r="B261" t="s">
        <v>126</v>
      </c>
      <c r="C261" t="s">
        <v>126</v>
      </c>
    </row>
    <row r="262" spans="1:3" x14ac:dyDescent="0.3">
      <c r="A262" t="s">
        <v>365</v>
      </c>
      <c r="B262" t="s">
        <v>127</v>
      </c>
      <c r="C262" t="s">
        <v>126</v>
      </c>
    </row>
    <row r="263" spans="1:3" x14ac:dyDescent="0.3">
      <c r="A263" t="s">
        <v>366</v>
      </c>
      <c r="B263" t="s">
        <v>126</v>
      </c>
      <c r="C263" t="s">
        <v>126</v>
      </c>
    </row>
    <row r="264" spans="1:3" x14ac:dyDescent="0.3">
      <c r="A264" t="s">
        <v>367</v>
      </c>
      <c r="B264" t="s">
        <v>124</v>
      </c>
      <c r="C264" t="s">
        <v>124</v>
      </c>
    </row>
    <row r="265" spans="1:3" x14ac:dyDescent="0.3">
      <c r="A265" t="s">
        <v>368</v>
      </c>
      <c r="B265" t="s">
        <v>127</v>
      </c>
      <c r="C265" t="s">
        <v>126</v>
      </c>
    </row>
    <row r="266" spans="1:3" x14ac:dyDescent="0.3">
      <c r="A266" t="s">
        <v>369</v>
      </c>
      <c r="B266" t="s">
        <v>126</v>
      </c>
      <c r="C266" t="s">
        <v>126</v>
      </c>
    </row>
    <row r="267" spans="1:3" x14ac:dyDescent="0.3">
      <c r="A267" t="s">
        <v>370</v>
      </c>
      <c r="B267" t="s">
        <v>127</v>
      </c>
      <c r="C267" t="s">
        <v>126</v>
      </c>
    </row>
    <row r="268" spans="1:3" x14ac:dyDescent="0.3">
      <c r="A268" t="s">
        <v>371</v>
      </c>
      <c r="B268" t="s">
        <v>127</v>
      </c>
      <c r="C268" t="s">
        <v>126</v>
      </c>
    </row>
    <row r="269" spans="1:3" x14ac:dyDescent="0.3">
      <c r="A269" t="s">
        <v>372</v>
      </c>
      <c r="B269" t="s">
        <v>128</v>
      </c>
      <c r="C269" t="s">
        <v>126</v>
      </c>
    </row>
    <row r="270" spans="1:3" x14ac:dyDescent="0.3">
      <c r="A270" t="s">
        <v>373</v>
      </c>
      <c r="B270" t="s">
        <v>128</v>
      </c>
      <c r="C270" t="s">
        <v>126</v>
      </c>
    </row>
    <row r="271" spans="1:3" x14ac:dyDescent="0.3">
      <c r="A271" t="s">
        <v>374</v>
      </c>
      <c r="B271" t="s">
        <v>128</v>
      </c>
      <c r="C271" t="s">
        <v>126</v>
      </c>
    </row>
    <row r="272" spans="1:3" x14ac:dyDescent="0.3">
      <c r="A272" t="s">
        <v>375</v>
      </c>
      <c r="B272" t="s">
        <v>127</v>
      </c>
      <c r="C272" t="s">
        <v>126</v>
      </c>
    </row>
    <row r="273" spans="1:3" x14ac:dyDescent="0.3">
      <c r="A273" t="s">
        <v>376</v>
      </c>
      <c r="B273" t="s">
        <v>127</v>
      </c>
      <c r="C273" t="s">
        <v>126</v>
      </c>
    </row>
    <row r="274" spans="1:3" x14ac:dyDescent="0.3">
      <c r="A274" t="s">
        <v>85</v>
      </c>
      <c r="B274" t="s">
        <v>124</v>
      </c>
      <c r="C274" t="s">
        <v>124</v>
      </c>
    </row>
    <row r="275" spans="1:3" x14ac:dyDescent="0.3">
      <c r="A275" t="s">
        <v>101</v>
      </c>
      <c r="B275" t="s">
        <v>127</v>
      </c>
      <c r="C275" t="s">
        <v>126</v>
      </c>
    </row>
    <row r="276" spans="1:3" x14ac:dyDescent="0.3">
      <c r="A276" t="s">
        <v>59</v>
      </c>
      <c r="B276" t="s">
        <v>127</v>
      </c>
      <c r="C276" t="s">
        <v>126</v>
      </c>
    </row>
    <row r="277" spans="1:3" x14ac:dyDescent="0.3">
      <c r="A277" t="s">
        <v>75</v>
      </c>
      <c r="B277" t="s">
        <v>122</v>
      </c>
      <c r="C277" t="s">
        <v>122</v>
      </c>
    </row>
    <row r="278" spans="1:3" x14ac:dyDescent="0.3">
      <c r="A278" t="s">
        <v>103</v>
      </c>
      <c r="B278" t="s">
        <v>127</v>
      </c>
      <c r="C278" t="s">
        <v>126</v>
      </c>
    </row>
    <row r="279" spans="1:3" x14ac:dyDescent="0.3">
      <c r="A279" t="s">
        <v>105</v>
      </c>
      <c r="B279" t="s">
        <v>127</v>
      </c>
      <c r="C279" t="s">
        <v>126</v>
      </c>
    </row>
    <row r="280" spans="1:3" x14ac:dyDescent="0.3">
      <c r="A280" t="s">
        <v>38</v>
      </c>
      <c r="B280" t="s">
        <v>124</v>
      </c>
      <c r="C280" t="s">
        <v>124</v>
      </c>
    </row>
    <row r="281" spans="1:3" x14ac:dyDescent="0.3">
      <c r="A281" t="s">
        <v>97</v>
      </c>
      <c r="B281" t="s">
        <v>128</v>
      </c>
      <c r="C281" t="s">
        <v>126</v>
      </c>
    </row>
    <row r="282" spans="1:3" x14ac:dyDescent="0.3">
      <c r="A282" t="s">
        <v>81</v>
      </c>
      <c r="B282" t="s">
        <v>126</v>
      </c>
      <c r="C282" t="s">
        <v>126</v>
      </c>
    </row>
    <row r="283" spans="1:3" x14ac:dyDescent="0.3">
      <c r="A283" t="s">
        <v>107</v>
      </c>
      <c r="B283" t="s">
        <v>127</v>
      </c>
      <c r="C283" t="s">
        <v>126</v>
      </c>
    </row>
    <row r="284" spans="1:3" x14ac:dyDescent="0.3">
      <c r="A284" t="s">
        <v>84</v>
      </c>
      <c r="B284" t="s">
        <v>126</v>
      </c>
      <c r="C284" t="s">
        <v>126</v>
      </c>
    </row>
    <row r="285" spans="1:3" x14ac:dyDescent="0.3">
      <c r="A285" t="s">
        <v>40</v>
      </c>
      <c r="B285" t="s">
        <v>124</v>
      </c>
      <c r="C285" t="s">
        <v>124</v>
      </c>
    </row>
    <row r="286" spans="1:3" x14ac:dyDescent="0.3">
      <c r="A286" t="s">
        <v>109</v>
      </c>
      <c r="B286" t="s">
        <v>127</v>
      </c>
      <c r="C286" t="s">
        <v>126</v>
      </c>
    </row>
    <row r="287" spans="1:3" x14ac:dyDescent="0.3">
      <c r="A287" t="s">
        <v>86</v>
      </c>
      <c r="B287" t="s">
        <v>126</v>
      </c>
      <c r="C287" t="s">
        <v>126</v>
      </c>
    </row>
    <row r="288" spans="1:3" x14ac:dyDescent="0.3">
      <c r="A288" t="s">
        <v>111</v>
      </c>
      <c r="B288" t="s">
        <v>127</v>
      </c>
      <c r="C288" t="s">
        <v>126</v>
      </c>
    </row>
    <row r="289" spans="1:3" x14ac:dyDescent="0.3">
      <c r="A289" t="s">
        <v>113</v>
      </c>
      <c r="B289" t="s">
        <v>127</v>
      </c>
      <c r="C289" t="s">
        <v>126</v>
      </c>
    </row>
    <row r="290" spans="1:3" x14ac:dyDescent="0.3">
      <c r="A290" t="s">
        <v>99</v>
      </c>
      <c r="B290" t="s">
        <v>128</v>
      </c>
      <c r="C290" t="s">
        <v>126</v>
      </c>
    </row>
    <row r="291" spans="1:3" x14ac:dyDescent="0.3">
      <c r="A291" t="s">
        <v>44</v>
      </c>
      <c r="B291" t="s">
        <v>128</v>
      </c>
      <c r="C291" t="s">
        <v>126</v>
      </c>
    </row>
    <row r="292" spans="1:3" x14ac:dyDescent="0.3">
      <c r="A292" t="s">
        <v>60</v>
      </c>
      <c r="B292" t="s">
        <v>128</v>
      </c>
      <c r="C292" t="s">
        <v>126</v>
      </c>
    </row>
    <row r="293" spans="1:3" x14ac:dyDescent="0.3">
      <c r="A293" t="s">
        <v>114</v>
      </c>
      <c r="B293" t="s">
        <v>127</v>
      </c>
      <c r="C293" t="s">
        <v>126</v>
      </c>
    </row>
    <row r="294" spans="1:3" x14ac:dyDescent="0.3">
      <c r="A294" t="s">
        <v>61</v>
      </c>
      <c r="B294" t="s">
        <v>127</v>
      </c>
      <c r="C294" t="s">
        <v>126</v>
      </c>
    </row>
    <row r="295" spans="1:3" x14ac:dyDescent="0.3">
      <c r="A295" t="s">
        <v>115</v>
      </c>
      <c r="B295" t="s">
        <v>127</v>
      </c>
      <c r="C295" t="s">
        <v>126</v>
      </c>
    </row>
    <row r="296" spans="1:3" x14ac:dyDescent="0.3">
      <c r="A296" t="s">
        <v>27</v>
      </c>
      <c r="B296" t="s">
        <v>122</v>
      </c>
      <c r="C296" t="s">
        <v>122</v>
      </c>
    </row>
    <row r="297" spans="1:3" x14ac:dyDescent="0.3">
      <c r="A297" s="4" t="s">
        <v>473</v>
      </c>
      <c r="B297" t="s">
        <v>122</v>
      </c>
      <c r="C297" t="s">
        <v>122</v>
      </c>
    </row>
    <row r="298" spans="1:3" x14ac:dyDescent="0.3">
      <c r="A298" s="4" t="s">
        <v>474</v>
      </c>
      <c r="B298" t="s">
        <v>122</v>
      </c>
      <c r="C298" t="s">
        <v>122</v>
      </c>
    </row>
    <row r="299" spans="1:3" x14ac:dyDescent="0.3">
      <c r="A299" t="s">
        <v>102</v>
      </c>
      <c r="B299" t="s">
        <v>128</v>
      </c>
      <c r="C299" t="s">
        <v>126</v>
      </c>
    </row>
    <row r="300" spans="1:3" x14ac:dyDescent="0.3">
      <c r="A300" t="s">
        <v>104</v>
      </c>
      <c r="B300" t="s">
        <v>128</v>
      </c>
      <c r="C300" t="s">
        <v>126</v>
      </c>
    </row>
    <row r="301" spans="1:3" x14ac:dyDescent="0.3">
      <c r="A301" t="s">
        <v>150</v>
      </c>
      <c r="B301" t="s">
        <v>126</v>
      </c>
      <c r="C301" t="s">
        <v>126</v>
      </c>
    </row>
    <row r="302" spans="1:3" x14ac:dyDescent="0.3">
      <c r="A302" t="s">
        <v>33</v>
      </c>
      <c r="B302" t="s">
        <v>125</v>
      </c>
      <c r="C302" t="s">
        <v>125</v>
      </c>
    </row>
    <row r="303" spans="1:3" x14ac:dyDescent="0.3">
      <c r="A303" t="s">
        <v>80</v>
      </c>
      <c r="B303" t="s">
        <v>125</v>
      </c>
      <c r="C303" t="s">
        <v>126</v>
      </c>
    </row>
    <row r="304" spans="1:3" x14ac:dyDescent="0.3">
      <c r="A304" t="s">
        <v>83</v>
      </c>
      <c r="B304" t="s">
        <v>125</v>
      </c>
      <c r="C304" t="s">
        <v>126</v>
      </c>
    </row>
    <row r="305" spans="1:3" x14ac:dyDescent="0.3">
      <c r="A305" t="s">
        <v>78</v>
      </c>
      <c r="B305" t="s">
        <v>122</v>
      </c>
      <c r="C305" t="s">
        <v>122</v>
      </c>
    </row>
    <row r="306" spans="1:3" x14ac:dyDescent="0.3">
      <c r="A306" s="4" t="s">
        <v>381</v>
      </c>
      <c r="B306" t="s">
        <v>122</v>
      </c>
      <c r="C306" t="s">
        <v>122</v>
      </c>
    </row>
    <row r="307" spans="1:3" x14ac:dyDescent="0.3">
      <c r="A307" s="44" t="s">
        <v>427</v>
      </c>
      <c r="B307" t="s">
        <v>122</v>
      </c>
      <c r="C307" t="s">
        <v>122</v>
      </c>
    </row>
    <row r="308" spans="1:3" x14ac:dyDescent="0.3">
      <c r="A308" s="4" t="s">
        <v>383</v>
      </c>
      <c r="B308" t="s">
        <v>122</v>
      </c>
      <c r="C308" t="s">
        <v>122</v>
      </c>
    </row>
    <row r="309" spans="1:3" x14ac:dyDescent="0.3">
      <c r="A309" s="4" t="s">
        <v>384</v>
      </c>
      <c r="B309" t="s">
        <v>122</v>
      </c>
      <c r="C309" t="s">
        <v>122</v>
      </c>
    </row>
    <row r="310" spans="1:3" x14ac:dyDescent="0.3">
      <c r="A310" s="4" t="s">
        <v>385</v>
      </c>
      <c r="B310" t="s">
        <v>122</v>
      </c>
      <c r="C310" t="s">
        <v>122</v>
      </c>
    </row>
    <row r="311" spans="1:3" x14ac:dyDescent="0.3">
      <c r="A311" s="4" t="s">
        <v>386</v>
      </c>
      <c r="B311" t="s">
        <v>122</v>
      </c>
      <c r="C311" t="s">
        <v>122</v>
      </c>
    </row>
    <row r="312" spans="1:3" x14ac:dyDescent="0.3">
      <c r="A312" s="4" t="s">
        <v>387</v>
      </c>
      <c r="B312" t="s">
        <v>122</v>
      </c>
      <c r="C312" t="s">
        <v>122</v>
      </c>
    </row>
    <row r="313" spans="1:3" x14ac:dyDescent="0.3">
      <c r="A313" s="4" t="s">
        <v>388</v>
      </c>
      <c r="B313" t="s">
        <v>122</v>
      </c>
      <c r="C313" t="s">
        <v>122</v>
      </c>
    </row>
    <row r="314" spans="1:3" x14ac:dyDescent="0.3">
      <c r="A314" s="4" t="s">
        <v>389</v>
      </c>
      <c r="B314" t="s">
        <v>122</v>
      </c>
      <c r="C314" t="s">
        <v>122</v>
      </c>
    </row>
    <row r="315" spans="1:3" x14ac:dyDescent="0.3">
      <c r="A315" s="4" t="s">
        <v>390</v>
      </c>
      <c r="B315" t="s">
        <v>122</v>
      </c>
      <c r="C315" t="s">
        <v>122</v>
      </c>
    </row>
    <row r="316" spans="1:3" x14ac:dyDescent="0.3">
      <c r="A316" s="4" t="s">
        <v>391</v>
      </c>
      <c r="B316" t="s">
        <v>122</v>
      </c>
      <c r="C316" t="s">
        <v>122</v>
      </c>
    </row>
    <row r="317" spans="1:3" x14ac:dyDescent="0.3">
      <c r="A317" s="4" t="s">
        <v>392</v>
      </c>
      <c r="B317" t="s">
        <v>122</v>
      </c>
      <c r="C317" t="s">
        <v>122</v>
      </c>
    </row>
    <row r="318" spans="1:3" x14ac:dyDescent="0.3">
      <c r="A318" s="4" t="s">
        <v>393</v>
      </c>
      <c r="B318" t="s">
        <v>122</v>
      </c>
      <c r="C318" t="s">
        <v>122</v>
      </c>
    </row>
    <row r="319" spans="1:3" x14ac:dyDescent="0.3">
      <c r="A319" s="4" t="s">
        <v>394</v>
      </c>
      <c r="B319" t="s">
        <v>122</v>
      </c>
      <c r="C319" t="s">
        <v>122</v>
      </c>
    </row>
    <row r="320" spans="1:3" x14ac:dyDescent="0.3">
      <c r="A320" s="4" t="s">
        <v>395</v>
      </c>
      <c r="B320" t="s">
        <v>122</v>
      </c>
      <c r="C320" t="s">
        <v>122</v>
      </c>
    </row>
    <row r="321" spans="1:3" x14ac:dyDescent="0.3">
      <c r="A321" s="4" t="s">
        <v>396</v>
      </c>
      <c r="B321" t="s">
        <v>122</v>
      </c>
      <c r="C321" t="s">
        <v>122</v>
      </c>
    </row>
    <row r="322" spans="1:3" x14ac:dyDescent="0.3">
      <c r="A322" s="4" t="s">
        <v>397</v>
      </c>
      <c r="B322" t="s">
        <v>122</v>
      </c>
      <c r="C322" t="s">
        <v>122</v>
      </c>
    </row>
    <row r="323" spans="1:3" x14ac:dyDescent="0.3">
      <c r="A323" s="4" t="s">
        <v>398</v>
      </c>
      <c r="B323" t="s">
        <v>122</v>
      </c>
      <c r="C323" t="s">
        <v>122</v>
      </c>
    </row>
    <row r="324" spans="1:3" x14ac:dyDescent="0.3">
      <c r="A324" s="4" t="s">
        <v>399</v>
      </c>
      <c r="B324" t="s">
        <v>122</v>
      </c>
      <c r="C324" t="s">
        <v>122</v>
      </c>
    </row>
    <row r="325" spans="1:3" x14ac:dyDescent="0.3">
      <c r="A325" s="4" t="s">
        <v>400</v>
      </c>
      <c r="B325" t="s">
        <v>122</v>
      </c>
      <c r="C325" t="s">
        <v>122</v>
      </c>
    </row>
    <row r="326" spans="1:3" x14ac:dyDescent="0.3">
      <c r="A326" s="4" t="s">
        <v>401</v>
      </c>
      <c r="B326" t="s">
        <v>122</v>
      </c>
      <c r="C326" t="s">
        <v>122</v>
      </c>
    </row>
    <row r="327" spans="1:3" x14ac:dyDescent="0.3">
      <c r="A327" s="4" t="s">
        <v>402</v>
      </c>
      <c r="B327" t="s">
        <v>122</v>
      </c>
      <c r="C327" t="s">
        <v>122</v>
      </c>
    </row>
    <row r="328" spans="1:3" x14ac:dyDescent="0.3">
      <c r="A328" s="4" t="s">
        <v>403</v>
      </c>
      <c r="B328" t="s">
        <v>122</v>
      </c>
      <c r="C328" t="s">
        <v>122</v>
      </c>
    </row>
    <row r="329" spans="1:3" x14ac:dyDescent="0.3">
      <c r="A329" s="4" t="s">
        <v>404</v>
      </c>
      <c r="B329" t="s">
        <v>122</v>
      </c>
      <c r="C329" t="s">
        <v>122</v>
      </c>
    </row>
    <row r="330" spans="1:3" x14ac:dyDescent="0.3">
      <c r="A330" s="4" t="s">
        <v>405</v>
      </c>
      <c r="B330" t="s">
        <v>122</v>
      </c>
      <c r="C330" t="s">
        <v>122</v>
      </c>
    </row>
    <row r="331" spans="1:3" x14ac:dyDescent="0.3">
      <c r="A331" s="4" t="s">
        <v>406</v>
      </c>
      <c r="B331" t="s">
        <v>122</v>
      </c>
      <c r="C331" t="s">
        <v>122</v>
      </c>
    </row>
    <row r="332" spans="1:3" x14ac:dyDescent="0.3">
      <c r="A332" s="4" t="s">
        <v>407</v>
      </c>
      <c r="B332" t="s">
        <v>122</v>
      </c>
      <c r="C332" t="s">
        <v>122</v>
      </c>
    </row>
    <row r="333" spans="1:3" x14ac:dyDescent="0.3">
      <c r="A333" s="4" t="s">
        <v>408</v>
      </c>
      <c r="B333" t="s">
        <v>122</v>
      </c>
      <c r="C333" t="s">
        <v>122</v>
      </c>
    </row>
    <row r="334" spans="1:3" x14ac:dyDescent="0.3">
      <c r="A334" s="4" t="s">
        <v>428</v>
      </c>
      <c r="B334" t="s">
        <v>122</v>
      </c>
      <c r="C334" t="s">
        <v>122</v>
      </c>
    </row>
    <row r="335" spans="1:3" x14ac:dyDescent="0.3">
      <c r="A335" s="4" t="s">
        <v>410</v>
      </c>
      <c r="B335" t="s">
        <v>122</v>
      </c>
      <c r="C335" t="s">
        <v>122</v>
      </c>
    </row>
    <row r="336" spans="1:3" x14ac:dyDescent="0.3">
      <c r="A336" s="4" t="s">
        <v>411</v>
      </c>
      <c r="B336" t="s">
        <v>122</v>
      </c>
      <c r="C336" t="s">
        <v>122</v>
      </c>
    </row>
    <row r="337" spans="1:3" x14ac:dyDescent="0.3">
      <c r="A337" s="4" t="s">
        <v>412</v>
      </c>
      <c r="B337" t="s">
        <v>122</v>
      </c>
      <c r="C337" t="s">
        <v>122</v>
      </c>
    </row>
    <row r="338" spans="1:3" x14ac:dyDescent="0.3">
      <c r="A338" s="4" t="s">
        <v>413</v>
      </c>
      <c r="B338" t="s">
        <v>122</v>
      </c>
      <c r="C338" t="s">
        <v>122</v>
      </c>
    </row>
    <row r="339" spans="1:3" x14ac:dyDescent="0.3">
      <c r="A339" s="4" t="s">
        <v>414</v>
      </c>
      <c r="B339" t="s">
        <v>122</v>
      </c>
      <c r="C339" t="s">
        <v>122</v>
      </c>
    </row>
    <row r="340" spans="1:3" x14ac:dyDescent="0.3">
      <c r="A340" s="4" t="s">
        <v>415</v>
      </c>
      <c r="B340" t="s">
        <v>122</v>
      </c>
      <c r="C340" t="s">
        <v>122</v>
      </c>
    </row>
    <row r="341" spans="1:3" x14ac:dyDescent="0.3">
      <c r="A341" s="4" t="s">
        <v>416</v>
      </c>
      <c r="B341" t="s">
        <v>122</v>
      </c>
      <c r="C341" t="s">
        <v>122</v>
      </c>
    </row>
    <row r="342" spans="1:3" x14ac:dyDescent="0.3">
      <c r="A342" s="4" t="s">
        <v>417</v>
      </c>
      <c r="B342" t="s">
        <v>122</v>
      </c>
      <c r="C342" t="s">
        <v>122</v>
      </c>
    </row>
    <row r="343" spans="1:3" x14ac:dyDescent="0.3">
      <c r="A343" s="4" t="s">
        <v>418</v>
      </c>
      <c r="B343" t="s">
        <v>122</v>
      </c>
      <c r="C343" t="s">
        <v>122</v>
      </c>
    </row>
    <row r="344" spans="1:3" x14ac:dyDescent="0.3">
      <c r="A344" s="4" t="s">
        <v>419</v>
      </c>
      <c r="B344" t="s">
        <v>122</v>
      </c>
      <c r="C344" t="s">
        <v>122</v>
      </c>
    </row>
    <row r="345" spans="1:3" x14ac:dyDescent="0.3">
      <c r="A345" s="4" t="s">
        <v>420</v>
      </c>
      <c r="B345" t="s">
        <v>122</v>
      </c>
      <c r="C345" t="s">
        <v>122</v>
      </c>
    </row>
    <row r="346" spans="1:3" x14ac:dyDescent="0.3">
      <c r="A346" s="4" t="s">
        <v>421</v>
      </c>
      <c r="B346" t="s">
        <v>122</v>
      </c>
      <c r="C346" t="s">
        <v>122</v>
      </c>
    </row>
    <row r="347" spans="1:3" x14ac:dyDescent="0.3">
      <c r="A347" s="4" t="s">
        <v>422</v>
      </c>
      <c r="B347" t="s">
        <v>122</v>
      </c>
      <c r="C347" t="s">
        <v>122</v>
      </c>
    </row>
    <row r="348" spans="1:3" x14ac:dyDescent="0.3">
      <c r="A348" s="4" t="s">
        <v>423</v>
      </c>
      <c r="B348" t="s">
        <v>122</v>
      </c>
      <c r="C348" t="s">
        <v>122</v>
      </c>
    </row>
    <row r="349" spans="1:3" x14ac:dyDescent="0.3">
      <c r="A349" s="4" t="s">
        <v>424</v>
      </c>
      <c r="B349" t="s">
        <v>122</v>
      </c>
      <c r="C349" t="s">
        <v>122</v>
      </c>
    </row>
    <row r="350" spans="1:3" x14ac:dyDescent="0.3">
      <c r="A350" t="s">
        <v>88</v>
      </c>
      <c r="B350" t="s">
        <v>126</v>
      </c>
      <c r="C350" t="s">
        <v>126</v>
      </c>
    </row>
    <row r="351" spans="1:3" x14ac:dyDescent="0.3">
      <c r="A351" t="s">
        <v>116</v>
      </c>
      <c r="B351" t="s">
        <v>127</v>
      </c>
      <c r="C351" t="s">
        <v>126</v>
      </c>
    </row>
    <row r="352" spans="1:3" x14ac:dyDescent="0.3">
      <c r="A352" t="s">
        <v>117</v>
      </c>
      <c r="B352" t="s">
        <v>127</v>
      </c>
      <c r="C352" t="s">
        <v>126</v>
      </c>
    </row>
    <row r="353" spans="1:3" x14ac:dyDescent="0.3">
      <c r="A353" t="s">
        <v>106</v>
      </c>
      <c r="B353" t="s">
        <v>128</v>
      </c>
      <c r="C353" t="s">
        <v>126</v>
      </c>
    </row>
    <row r="354" spans="1:3" x14ac:dyDescent="0.3">
      <c r="A354" t="s">
        <v>108</v>
      </c>
      <c r="B354" t="s">
        <v>128</v>
      </c>
      <c r="C354" t="s">
        <v>126</v>
      </c>
    </row>
    <row r="355" spans="1:3" x14ac:dyDescent="0.3">
      <c r="A355" t="s">
        <v>82</v>
      </c>
      <c r="B355" t="s">
        <v>122</v>
      </c>
      <c r="C355" t="s">
        <v>122</v>
      </c>
    </row>
    <row r="356" spans="1:3" x14ac:dyDescent="0.3">
      <c r="A356" s="4" t="s">
        <v>471</v>
      </c>
      <c r="B356" t="s">
        <v>122</v>
      </c>
      <c r="C356" t="s">
        <v>122</v>
      </c>
    </row>
    <row r="357" spans="1:3" x14ac:dyDescent="0.3">
      <c r="A357" s="4" t="s">
        <v>472</v>
      </c>
      <c r="B357" t="s">
        <v>122</v>
      </c>
      <c r="C357" t="s">
        <v>122</v>
      </c>
    </row>
    <row r="358" spans="1:3" x14ac:dyDescent="0.3">
      <c r="A358" t="s">
        <v>36</v>
      </c>
      <c r="B358" t="s">
        <v>122</v>
      </c>
      <c r="C358" t="s">
        <v>125</v>
      </c>
    </row>
    <row r="359" spans="1:3" x14ac:dyDescent="0.3">
      <c r="A359" s="4" t="s">
        <v>450</v>
      </c>
      <c r="B359" t="s">
        <v>122</v>
      </c>
      <c r="C359" t="s">
        <v>125</v>
      </c>
    </row>
    <row r="360" spans="1:3" x14ac:dyDescent="0.3">
      <c r="A360" s="4" t="s">
        <v>451</v>
      </c>
      <c r="B360" t="s">
        <v>122</v>
      </c>
      <c r="C360" t="s">
        <v>125</v>
      </c>
    </row>
    <row r="361" spans="1:3" x14ac:dyDescent="0.3">
      <c r="A361" s="4" t="s">
        <v>452</v>
      </c>
      <c r="B361" t="s">
        <v>122</v>
      </c>
      <c r="C361" t="s">
        <v>125</v>
      </c>
    </row>
    <row r="362" spans="1:3" x14ac:dyDescent="0.3">
      <c r="A362" s="4" t="s">
        <v>453</v>
      </c>
      <c r="B362" t="s">
        <v>122</v>
      </c>
      <c r="C362" t="s">
        <v>125</v>
      </c>
    </row>
    <row r="363" spans="1:3" x14ac:dyDescent="0.3">
      <c r="A363" s="4" t="s">
        <v>454</v>
      </c>
      <c r="B363" t="s">
        <v>122</v>
      </c>
      <c r="C363" t="s">
        <v>125</v>
      </c>
    </row>
    <row r="364" spans="1:3" x14ac:dyDescent="0.3">
      <c r="A364" s="4" t="s">
        <v>455</v>
      </c>
      <c r="B364" t="s">
        <v>122</v>
      </c>
      <c r="C364" t="s">
        <v>125</v>
      </c>
    </row>
    <row r="365" spans="1:3" x14ac:dyDescent="0.3">
      <c r="A365" s="4" t="s">
        <v>456</v>
      </c>
      <c r="B365" t="s">
        <v>122</v>
      </c>
      <c r="C365" t="s">
        <v>125</v>
      </c>
    </row>
    <row r="366" spans="1:3" x14ac:dyDescent="0.3">
      <c r="A366" s="4" t="s">
        <v>457</v>
      </c>
      <c r="B366" t="s">
        <v>122</v>
      </c>
      <c r="C366" t="s">
        <v>125</v>
      </c>
    </row>
    <row r="367" spans="1:3" x14ac:dyDescent="0.3">
      <c r="A367" s="4" t="s">
        <v>458</v>
      </c>
      <c r="B367" t="s">
        <v>122</v>
      </c>
      <c r="C367" t="s">
        <v>125</v>
      </c>
    </row>
    <row r="368" spans="1:3" x14ac:dyDescent="0.3">
      <c r="A368" s="4" t="s">
        <v>459</v>
      </c>
      <c r="B368" t="s">
        <v>122</v>
      </c>
      <c r="C368" t="s">
        <v>125</v>
      </c>
    </row>
    <row r="369" spans="1:3" x14ac:dyDescent="0.3">
      <c r="A369" s="4" t="s">
        <v>460</v>
      </c>
      <c r="B369" t="s">
        <v>122</v>
      </c>
      <c r="C369" t="s">
        <v>125</v>
      </c>
    </row>
    <row r="370" spans="1:3" x14ac:dyDescent="0.3">
      <c r="A370" s="4" t="s">
        <v>461</v>
      </c>
      <c r="B370" t="s">
        <v>122</v>
      </c>
      <c r="C370" t="s">
        <v>125</v>
      </c>
    </row>
    <row r="371" spans="1:3" x14ac:dyDescent="0.3">
      <c r="A371" s="4" t="s">
        <v>462</v>
      </c>
      <c r="B371" t="s">
        <v>122</v>
      </c>
      <c r="C371" t="s">
        <v>125</v>
      </c>
    </row>
    <row r="372" spans="1:3" x14ac:dyDescent="0.3">
      <c r="A372" s="4" t="s">
        <v>463</v>
      </c>
      <c r="B372" t="s">
        <v>122</v>
      </c>
      <c r="C372" t="s">
        <v>125</v>
      </c>
    </row>
    <row r="373" spans="1:3" x14ac:dyDescent="0.3">
      <c r="A373" s="4" t="s">
        <v>464</v>
      </c>
      <c r="B373" t="s">
        <v>122</v>
      </c>
      <c r="C373" t="s">
        <v>125</v>
      </c>
    </row>
    <row r="374" spans="1:3" x14ac:dyDescent="0.3">
      <c r="A374" s="4" t="s">
        <v>465</v>
      </c>
      <c r="B374" t="s">
        <v>122</v>
      </c>
      <c r="C374" t="s">
        <v>125</v>
      </c>
    </row>
    <row r="375" spans="1:3" x14ac:dyDescent="0.3">
      <c r="A375" s="4" t="s">
        <v>466</v>
      </c>
      <c r="B375" t="s">
        <v>122</v>
      </c>
      <c r="C375" t="s">
        <v>125</v>
      </c>
    </row>
    <row r="376" spans="1:3" x14ac:dyDescent="0.3">
      <c r="A376" s="4" t="s">
        <v>467</v>
      </c>
      <c r="B376" t="s">
        <v>122</v>
      </c>
      <c r="C376" t="s">
        <v>125</v>
      </c>
    </row>
    <row r="377" spans="1:3" x14ac:dyDescent="0.3">
      <c r="A377" s="4" t="s">
        <v>468</v>
      </c>
      <c r="B377" t="s">
        <v>122</v>
      </c>
      <c r="C377" t="s">
        <v>125</v>
      </c>
    </row>
    <row r="378" spans="1:3" x14ac:dyDescent="0.3">
      <c r="A378" s="46" t="s">
        <v>469</v>
      </c>
      <c r="B378" t="s">
        <v>122</v>
      </c>
      <c r="C378" t="s">
        <v>125</v>
      </c>
    </row>
    <row r="379" spans="1:3" x14ac:dyDescent="0.3">
      <c r="A379" t="s">
        <v>92</v>
      </c>
      <c r="B379" t="s">
        <v>124</v>
      </c>
      <c r="C379" t="s">
        <v>126</v>
      </c>
    </row>
    <row r="380" spans="1:3" x14ac:dyDescent="0.3">
      <c r="A380" t="s">
        <v>110</v>
      </c>
      <c r="B380" t="s">
        <v>128</v>
      </c>
      <c r="C380" t="s">
        <v>126</v>
      </c>
    </row>
    <row r="381" spans="1:3" x14ac:dyDescent="0.3">
      <c r="A381" t="s">
        <v>89</v>
      </c>
      <c r="B381" t="s">
        <v>126</v>
      </c>
      <c r="C381" t="s">
        <v>126</v>
      </c>
    </row>
    <row r="382" spans="1:3" x14ac:dyDescent="0.3">
      <c r="A382" t="s">
        <v>112</v>
      </c>
      <c r="B382" t="s">
        <v>128</v>
      </c>
      <c r="C382" t="s">
        <v>126</v>
      </c>
    </row>
    <row r="383" spans="1:3" x14ac:dyDescent="0.3">
      <c r="A383" s="26" t="s">
        <v>137</v>
      </c>
      <c r="B383" t="s">
        <v>125</v>
      </c>
      <c r="C383" t="s">
        <v>126</v>
      </c>
    </row>
    <row r="384" spans="1:3" x14ac:dyDescent="0.3">
      <c r="A384" t="s">
        <v>149</v>
      </c>
      <c r="B384" t="s">
        <v>125</v>
      </c>
      <c r="C384" t="s">
        <v>126</v>
      </c>
    </row>
    <row r="385" spans="1:3" x14ac:dyDescent="0.3">
      <c r="A385" t="s">
        <v>148</v>
      </c>
      <c r="B385" t="s">
        <v>125</v>
      </c>
      <c r="C385" t="s">
        <v>126</v>
      </c>
    </row>
    <row r="386" spans="1:3" x14ac:dyDescent="0.3">
      <c r="A386" t="s">
        <v>62</v>
      </c>
      <c r="B386" t="s">
        <v>125</v>
      </c>
      <c r="C386" t="s">
        <v>126</v>
      </c>
    </row>
    <row r="387" spans="1:3" x14ac:dyDescent="0.3">
      <c r="A387" t="s">
        <v>87</v>
      </c>
      <c r="B387" t="s">
        <v>125</v>
      </c>
      <c r="C387" t="s">
        <v>126</v>
      </c>
    </row>
  </sheetData>
  <phoneticPr fontId="5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Calculateur </vt:lpstr>
      <vt:lpstr>FA 49</vt:lpstr>
      <vt:lpstr>TNT</vt:lpstr>
      <vt:lpstr>Geodis  EXPRESS 24H</vt:lpstr>
      <vt:lpstr>Geodis Messagerie 48h</vt:lpstr>
      <vt:lpstr>Jamin Trasport</vt:lpstr>
      <vt:lpstr>Chronopost</vt:lpstr>
      <vt:lpstr>Colissimo</vt:lpstr>
      <vt:lpstr>BD DÉpart Geodis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KURTCEVICH Dany</dc:creator>
  <cp:lastModifiedBy>KURTCEVICH Dany</cp:lastModifiedBy>
  <cp:lastPrinted>2019-12-04T08:05:49Z</cp:lastPrinted>
  <dcterms:created xsi:type="dcterms:W3CDTF">2015-06-05T18:19:34Z</dcterms:created>
  <dcterms:modified xsi:type="dcterms:W3CDTF">2019-12-19T15:32:46Z</dcterms:modified>
</cp:coreProperties>
</file>