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" windowWidth="22116" windowHeight="9552" activeTab="1"/>
  </bookViews>
  <sheets>
    <sheet name="BC" sheetId="1" r:id="rId1"/>
    <sheet name="synt" sheetId="2" r:id="rId2"/>
  </sheets>
  <calcPr calcId="125725"/>
</workbook>
</file>

<file path=xl/calcChain.xml><?xml version="1.0" encoding="utf-8"?>
<calcChain xmlns="http://schemas.openxmlformats.org/spreadsheetml/2006/main">
  <c r="F16" i="2"/>
  <c r="D16"/>
  <c r="C16"/>
  <c r="F15"/>
  <c r="D15"/>
  <c r="C15"/>
  <c r="F14"/>
  <c r="D14"/>
  <c r="C14"/>
  <c r="F13"/>
  <c r="D13"/>
  <c r="C13"/>
  <c r="F12"/>
  <c r="D12"/>
  <c r="C12"/>
  <c r="F11"/>
  <c r="D11"/>
  <c r="C11"/>
  <c r="F10"/>
  <c r="D10"/>
  <c r="C10"/>
  <c r="F9"/>
  <c r="D9"/>
  <c r="C9"/>
  <c r="F8"/>
  <c r="D8"/>
  <c r="C8"/>
  <c r="F7"/>
  <c r="D7"/>
  <c r="C7"/>
  <c r="F6"/>
  <c r="D6"/>
  <c r="C6"/>
  <c r="F5"/>
  <c r="D5"/>
  <c r="C5"/>
  <c r="B5"/>
  <c r="B6"/>
  <c r="B7"/>
  <c r="B8"/>
  <c r="B9"/>
  <c r="B10"/>
  <c r="B11"/>
  <c r="B12"/>
  <c r="B13"/>
  <c r="B14"/>
  <c r="B15"/>
  <c r="B16"/>
  <c r="A6"/>
  <c r="A4"/>
  <c r="N9" i="1"/>
  <c r="N8"/>
  <c r="N7"/>
  <c r="N6"/>
  <c r="N5"/>
  <c r="N4"/>
  <c r="B4"/>
  <c r="B5" s="1"/>
  <c r="N3"/>
  <c r="D3"/>
  <c r="T1"/>
  <c r="S1"/>
  <c r="R1"/>
  <c r="Q1"/>
  <c r="P1"/>
  <c r="A7" i="2" l="1"/>
  <c r="B6" i="1"/>
  <c r="C4"/>
  <c r="D4" s="1"/>
  <c r="E6" i="2" l="1"/>
  <c r="E5"/>
  <c r="A8"/>
  <c r="B7" i="1"/>
  <c r="C6"/>
  <c r="D6" s="1"/>
  <c r="C5"/>
  <c r="D5" s="1"/>
  <c r="A9" i="2" l="1"/>
  <c r="E7"/>
  <c r="B8" i="1"/>
  <c r="C7"/>
  <c r="D7" s="1"/>
  <c r="E9" i="2" l="1"/>
  <c r="A10"/>
  <c r="E8"/>
  <c r="B9" i="1"/>
  <c r="C8"/>
  <c r="D8" s="1"/>
  <c r="A11" i="2" l="1"/>
  <c r="C9" i="1"/>
  <c r="D9" s="1"/>
  <c r="A12" i="2" l="1"/>
  <c r="E10"/>
  <c r="A13" l="1"/>
  <c r="E11"/>
  <c r="E12" l="1"/>
  <c r="A14"/>
  <c r="E13" l="1"/>
  <c r="A15"/>
  <c r="E15" l="1"/>
  <c r="E14"/>
  <c r="A16"/>
  <c r="D17" s="1"/>
  <c r="C17" l="1"/>
  <c r="E16" l="1"/>
  <c r="E17" s="1"/>
  <c r="B17"/>
</calcChain>
</file>

<file path=xl/sharedStrings.xml><?xml version="1.0" encoding="utf-8"?>
<sst xmlns="http://schemas.openxmlformats.org/spreadsheetml/2006/main" count="128" uniqueCount="87">
  <si>
    <t>SI(Tableau1[[#Cette ligne];[N° cmde]]=F3;B3;B3+1)</t>
  </si>
  <si>
    <t>SI(B4=B3;C3;(C3+1))</t>
  </si>
  <si>
    <t>Indicatf</t>
  </si>
  <si>
    <t>Pays</t>
  </si>
  <si>
    <t>id</t>
  </si>
  <si>
    <t>BF</t>
  </si>
  <si>
    <t>N° Fact</t>
  </si>
  <si>
    <t>date cmde</t>
  </si>
  <si>
    <t>N° cmde</t>
  </si>
  <si>
    <t>Nom</t>
  </si>
  <si>
    <t>prénom</t>
  </si>
  <si>
    <t>adresse1</t>
  </si>
  <si>
    <t>adresse2</t>
  </si>
  <si>
    <t>CP</t>
  </si>
  <si>
    <t>Ville</t>
  </si>
  <si>
    <t>TVA</t>
  </si>
  <si>
    <t>Devise</t>
  </si>
  <si>
    <t>réf pdt cmdé</t>
  </si>
  <si>
    <t>Quantité</t>
  </si>
  <si>
    <t>Px cmdé</t>
  </si>
  <si>
    <t>Fs port</t>
  </si>
  <si>
    <t>Remise</t>
  </si>
  <si>
    <t>Moyen paiement</t>
  </si>
  <si>
    <t>Transporteur</t>
  </si>
  <si>
    <t>Nom produit</t>
  </si>
  <si>
    <t>BE</t>
  </si>
  <si>
    <t>UE</t>
  </si>
  <si>
    <t>Belgique</t>
  </si>
  <si>
    <t>FR</t>
  </si>
  <si>
    <t>EUR</t>
  </si>
  <si>
    <t>BG</t>
  </si>
  <si>
    <t>Bulgarie</t>
  </si>
  <si>
    <t>CZ</t>
  </si>
  <si>
    <t>Tchéquie</t>
  </si>
  <si>
    <t>DK</t>
  </si>
  <si>
    <t>Danemark</t>
  </si>
  <si>
    <t>DE</t>
  </si>
  <si>
    <t>Allemagne</t>
  </si>
  <si>
    <t>EE</t>
  </si>
  <si>
    <t>Estonie</t>
  </si>
  <si>
    <t>IE</t>
  </si>
  <si>
    <t>Irlande</t>
  </si>
  <si>
    <t>EL</t>
  </si>
  <si>
    <t>Grèce</t>
  </si>
  <si>
    <t>ES</t>
  </si>
  <si>
    <t>Espagne</t>
  </si>
  <si>
    <t>France</t>
  </si>
  <si>
    <t>HR</t>
  </si>
  <si>
    <t>Croatie</t>
  </si>
  <si>
    <t>IT</t>
  </si>
  <si>
    <t>Italie</t>
  </si>
  <si>
    <t>CY</t>
  </si>
  <si>
    <t>Chypre</t>
  </si>
  <si>
    <t>LV</t>
  </si>
  <si>
    <t>Lettonie</t>
  </si>
  <si>
    <t>LT</t>
  </si>
  <si>
    <t>Lituanie</t>
  </si>
  <si>
    <t>LU</t>
  </si>
  <si>
    <t>Luxembourg</t>
  </si>
  <si>
    <t>HU</t>
  </si>
  <si>
    <t>Hongrie</t>
  </si>
  <si>
    <t>MT</t>
  </si>
  <si>
    <t>Malte</t>
  </si>
  <si>
    <t>NL</t>
  </si>
  <si>
    <t>Pays-Bas</t>
  </si>
  <si>
    <t>AT</t>
  </si>
  <si>
    <t>Autriche</t>
  </si>
  <si>
    <t>PL</t>
  </si>
  <si>
    <t>Pologne</t>
  </si>
  <si>
    <t>PT</t>
  </si>
  <si>
    <t>Portugal</t>
  </si>
  <si>
    <t>RO</t>
  </si>
  <si>
    <t>Roumanie</t>
  </si>
  <si>
    <t>SI</t>
  </si>
  <si>
    <t>Slovénie</t>
  </si>
  <si>
    <t>SK</t>
  </si>
  <si>
    <t>Slovaquie</t>
  </si>
  <si>
    <t>FI</t>
  </si>
  <si>
    <t>Finlande</t>
  </si>
  <si>
    <t>SE</t>
  </si>
  <si>
    <t>Suède</t>
  </si>
  <si>
    <t>VENTILATION CA</t>
  </si>
  <si>
    <t>Nbre De Factures</t>
  </si>
  <si>
    <t>Periode</t>
  </si>
  <si>
    <t>Commandés</t>
  </si>
  <si>
    <t>PORT</t>
  </si>
  <si>
    <t>TTC</t>
  </si>
</sst>
</file>

<file path=xl/styles.xml><?xml version="1.0" encoding="utf-8"?>
<styleSheet xmlns="http://schemas.openxmlformats.org/spreadsheetml/2006/main">
  <numFmts count="9">
    <numFmt numFmtId="43" formatCode="_-* #,##0.00\ _€_-;\-* #,##0.00\ _€_-;_-* &quot;-&quot;??\ _€_-;_-@_-"/>
    <numFmt numFmtId="164" formatCode="00000"/>
    <numFmt numFmtId="165" formatCode="0#&quot; &quot;##&quot; &quot;##&quot; &quot;##&quot; &quot;##"/>
    <numFmt numFmtId="166" formatCode="_(* #,##0.00_);_(* \(#,##0.00\);_(* &quot;-&quot;??_);_(@_)"/>
    <numFmt numFmtId="167" formatCode="_-* #,##0\ _€_-;\-* #,##0\ _€_-;_-* &quot;-&quot;??\ _€_-;_-@_-"/>
    <numFmt numFmtId="168" formatCode="_-* #,##0.00\ [$€-40C]_-;\-* #,##0.00\ [$€-40C]_-;_-* &quot;-&quot;??\ [$€-40C]_-;_-@_-"/>
    <numFmt numFmtId="169" formatCode="0&quot; lignes&quot;"/>
    <numFmt numFmtId="170" formatCode="_(* #,##0_);_(* \(#,##0\);_(* &quot;-&quot;??_);_(@_)"/>
    <numFmt numFmtId="171" formatCode="mmmm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7"/>
      <color rgb="FF1111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6">
    <xf numFmtId="0" fontId="0" fillId="0" borderId="0" xfId="0"/>
    <xf numFmtId="0" fontId="3" fillId="2" borderId="0" xfId="0" applyFont="1" applyFill="1"/>
    <xf numFmtId="0" fontId="3" fillId="2" borderId="0" xfId="0" applyNumberFormat="1" applyFont="1" applyFill="1"/>
    <xf numFmtId="0" fontId="0" fillId="2" borderId="0" xfId="0" applyFill="1"/>
    <xf numFmtId="0" fontId="0" fillId="2" borderId="0" xfId="0" applyFont="1" applyFill="1"/>
    <xf numFmtId="0" fontId="0" fillId="2" borderId="0" xfId="0" applyNumberFormat="1" applyFont="1" applyFill="1"/>
    <xf numFmtId="164" fontId="0" fillId="2" borderId="0" xfId="0" applyNumberFormat="1" applyFont="1" applyFill="1" applyAlignment="1">
      <alignment horizontal="right"/>
    </xf>
    <xf numFmtId="165" fontId="0" fillId="2" borderId="0" xfId="0" applyNumberFormat="1" applyFont="1" applyFill="1"/>
    <xf numFmtId="167" fontId="1" fillId="2" borderId="0" xfId="1" applyNumberFormat="1" applyFont="1" applyFill="1"/>
    <xf numFmtId="168" fontId="0" fillId="2" borderId="0" xfId="0" applyNumberFormat="1" applyFill="1"/>
    <xf numFmtId="169" fontId="0" fillId="2" borderId="0" xfId="0" applyNumberFormat="1" applyFill="1"/>
    <xf numFmtId="170" fontId="0" fillId="2" borderId="0" xfId="1" applyNumberFormat="1" applyFont="1" applyFill="1"/>
    <xf numFmtId="166" fontId="0" fillId="2" borderId="0" xfId="1" applyNumberFormat="1" applyFont="1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70" fontId="0" fillId="0" borderId="0" xfId="1" applyNumberFormat="1" applyFont="1" applyFill="1" applyAlignment="1">
      <alignment horizontal="center" vertical="center"/>
    </xf>
    <xf numFmtId="168" fontId="1" fillId="0" borderId="0" xfId="1" applyNumberFormat="1" applyFont="1" applyFill="1" applyAlignment="1">
      <alignment horizontal="center" vertical="center"/>
    </xf>
    <xf numFmtId="168" fontId="0" fillId="0" borderId="0" xfId="0" applyNumberFormat="1" applyFill="1" applyAlignment="1">
      <alignment horizontal="center" vertic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2" fillId="3" borderId="0" xfId="0" applyFont="1" applyFill="1" applyAlignment="1">
      <alignment horizontal="left" vertical="center"/>
    </xf>
    <xf numFmtId="0" fontId="2" fillId="3" borderId="0" xfId="0" applyNumberFormat="1" applyFont="1" applyFill="1" applyAlignment="1">
      <alignment horizontal="left" vertical="center"/>
    </xf>
    <xf numFmtId="0" fontId="0" fillId="0" borderId="0" xfId="0" applyNumberFormat="1" applyFill="1" applyAlignment="1">
      <alignment horizontal="left" vertical="center"/>
    </xf>
    <xf numFmtId="14" fontId="0" fillId="0" borderId="0" xfId="0" applyNumberFormat="1" applyFill="1" applyAlignment="1">
      <alignment horizontal="left" vertical="center"/>
    </xf>
    <xf numFmtId="0" fontId="0" fillId="0" borderId="0" xfId="0" applyNumberFormat="1"/>
    <xf numFmtId="170" fontId="0" fillId="0" borderId="0" xfId="1" applyNumberFormat="1" applyFont="1"/>
    <xf numFmtId="43" fontId="0" fillId="0" borderId="0" xfId="1" applyNumberFormat="1" applyFont="1"/>
    <xf numFmtId="0" fontId="0" fillId="0" borderId="0" xfId="0" applyFill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0" fillId="3" borderId="0" xfId="0" applyNumberFormat="1" applyFill="1" applyAlignment="1">
      <alignment horizontal="left" vertical="center"/>
    </xf>
    <xf numFmtId="164" fontId="0" fillId="0" borderId="0" xfId="0" applyNumberFormat="1" applyFill="1" applyAlignment="1">
      <alignment horizontal="left" vertical="center"/>
    </xf>
    <xf numFmtId="170" fontId="0" fillId="0" borderId="0" xfId="1" applyNumberFormat="1" applyFont="1" applyFill="1" applyAlignment="1">
      <alignment horizontal="left" vertical="center"/>
    </xf>
    <xf numFmtId="168" fontId="0" fillId="0" borderId="0" xfId="1" applyNumberFormat="1" applyFont="1" applyFill="1" applyAlignment="1">
      <alignment horizontal="left" vertical="center"/>
    </xf>
    <xf numFmtId="0" fontId="0" fillId="0" borderId="6" xfId="0" applyBorder="1"/>
    <xf numFmtId="0" fontId="4" fillId="0" borderId="0" xfId="0" applyFont="1" applyFill="1" applyAlignment="1">
      <alignment horizontal="left" vertical="center"/>
    </xf>
    <xf numFmtId="0" fontId="0" fillId="0" borderId="7" xfId="0" applyBorder="1"/>
    <xf numFmtId="0" fontId="0" fillId="0" borderId="8" xfId="0" applyBorder="1"/>
    <xf numFmtId="14" fontId="0" fillId="2" borderId="0" xfId="0" applyNumberFormat="1" applyFill="1"/>
    <xf numFmtId="0" fontId="0" fillId="0" borderId="0" xfId="0" applyBorder="1" applyAlignment="1">
      <alignment horizontal="center"/>
    </xf>
    <xf numFmtId="16" fontId="0" fillId="0" borderId="0" xfId="0" applyNumberFormat="1"/>
    <xf numFmtId="171" fontId="0" fillId="0" borderId="0" xfId="0" applyNumberFormat="1"/>
    <xf numFmtId="166" fontId="0" fillId="0" borderId="4" xfId="1" applyNumberFormat="1" applyFont="1" applyBorder="1"/>
    <xf numFmtId="166" fontId="0" fillId="0" borderId="0" xfId="1" applyNumberFormat="1" applyFont="1" applyBorder="1"/>
    <xf numFmtId="166" fontId="0" fillId="0" borderId="5" xfId="1" applyNumberFormat="1" applyFont="1" applyBorder="1"/>
    <xf numFmtId="166" fontId="0" fillId="0" borderId="6" xfId="1" applyNumberFormat="1" applyFont="1" applyBorder="1"/>
    <xf numFmtId="166" fontId="0" fillId="0" borderId="7" xfId="1" applyNumberFormat="1" applyFont="1" applyBorder="1"/>
    <xf numFmtId="166" fontId="0" fillId="0" borderId="8" xfId="1" applyNumberFormat="1" applyFont="1" applyBorder="1"/>
    <xf numFmtId="166" fontId="2" fillId="0" borderId="0" xfId="0" applyNumberFormat="1" applyFont="1"/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 wrapText="1"/>
    </xf>
  </cellXfs>
  <cellStyles count="2">
    <cellStyle name="Milliers" xfId="1" builtinId="3"/>
    <cellStyle name="Normal" xfId="0" builtinId="0"/>
  </cellStyles>
  <dxfs count="22">
    <dxf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</dxf>
    <dxf>
      <numFmt numFmtId="168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</dxf>
    <dxf>
      <numFmt numFmtId="168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</dxf>
    <dxf>
      <numFmt numFmtId="168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</dxf>
    <dxf>
      <numFmt numFmtId="170" formatCode="_(* #,##0_);_(* \(#,##0\);_(* &quot;-&quot;??_);_(@_)"/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</dxf>
    <dxf>
      <numFmt numFmtId="0" formatCode="General"/>
    </dxf>
    <dxf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</dxf>
    <dxf>
      <numFmt numFmtId="164" formatCode="00000"/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2:W9" insertRowShift="1" totalsRowShown="0" headerRowDxfId="21" dataDxfId="20">
  <autoFilter ref="B2:W9"/>
  <tableColumns count="22">
    <tableColumn id="1" name="id" dataDxfId="19"/>
    <tableColumn id="20" name="BF" dataDxfId="18">
      <calculatedColumnFormula>+IF(B3=B2,C2,(C2+1))</calculatedColumnFormula>
    </tableColumn>
    <tableColumn id="19" name="N° Fact" dataDxfId="17">
      <calculatedColumnFormula>+TEXT(DATE(YEAR(E3),MONTH(E3),1),"aaaa-MM")&amp; "-"&amp;TEXT(C3,"000")</calculatedColumnFormula>
    </tableColumn>
    <tableColumn id="2" name="date cmde" dataDxfId="16"/>
    <tableColumn id="16" name="N° cmde" dataDxfId="15"/>
    <tableColumn id="3" name="Nom" dataDxfId="14"/>
    <tableColumn id="4" name="prénom" dataDxfId="13"/>
    <tableColumn id="5" name="adresse1" dataDxfId="12"/>
    <tableColumn id="6" name="adresse2" dataDxfId="11"/>
    <tableColumn id="7" name="CP" dataDxfId="10"/>
    <tableColumn id="8" name="Ville" dataDxfId="9"/>
    <tableColumn id="22" name="Pays"/>
    <tableColumn id="21" name="TVA" dataDxfId="8">
      <calculatedColumnFormula>IF(M3="FR","FR 20%",IFERROR(VLOOKUP(M3,$BA$2:$BC$29,2,FALSE),"Hors.UE"))</calculatedColumnFormula>
    </tableColumn>
    <tableColumn id="17" name="Devise"/>
    <tableColumn id="9" name="réf pdt cmdé" dataDxfId="7"/>
    <tableColumn id="15" name="Quantité" dataDxfId="6" dataCellStyle="Milliers"/>
    <tableColumn id="10" name="Px cmdé" dataDxfId="5" dataCellStyle="Milliers"/>
    <tableColumn id="11" name="Fs port" dataDxfId="4"/>
    <tableColumn id="18" name="Remise" dataDxfId="3"/>
    <tableColumn id="12" name="Moyen paiement" dataDxfId="2"/>
    <tableColumn id="13" name="Transporteur" dataDxfId="1"/>
    <tableColumn id="14" name="Nom produit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BC28"/>
  <sheetViews>
    <sheetView workbookViewId="0">
      <selection activeCell="D17" sqref="D17"/>
    </sheetView>
  </sheetViews>
  <sheetFormatPr baseColWidth="10" defaultColWidth="11.21875" defaultRowHeight="14.4"/>
  <cols>
    <col min="1" max="1" width="5.6640625" style="3" bestFit="1" customWidth="1"/>
    <col min="2" max="2" width="5.6640625" style="3" customWidth="1"/>
    <col min="3" max="3" width="7.33203125" style="43" customWidth="1"/>
    <col min="4" max="4" width="14.33203125" style="3" bestFit="1" customWidth="1"/>
    <col min="5" max="5" width="12.88671875" style="4" bestFit="1" customWidth="1"/>
    <col min="6" max="6" width="11.109375" style="5" customWidth="1"/>
    <col min="7" max="7" width="9.88671875" style="4" customWidth="1"/>
    <col min="8" max="8" width="7.109375" style="6" bestFit="1" customWidth="1"/>
    <col min="9" max="9" width="6.33203125" style="4" customWidth="1"/>
    <col min="10" max="10" width="12.77734375" style="4" customWidth="1"/>
    <col min="11" max="11" width="13.6640625" style="7" bestFit="1" customWidth="1"/>
    <col min="12" max="12" width="8.21875" style="8" customWidth="1"/>
    <col min="13" max="13" width="10.5546875" style="9" bestFit="1" customWidth="1"/>
    <col min="14" max="14" width="13.109375" style="9" customWidth="1"/>
    <col min="15" max="16" width="11.21875" style="3"/>
    <col min="17" max="17" width="10.21875" style="11" customWidth="1"/>
    <col min="18" max="18" width="11.21875" style="3"/>
    <col min="19" max="19" width="16.109375" style="3" customWidth="1"/>
    <col min="20" max="20" width="12.77734375" style="3" bestFit="1" customWidth="1"/>
    <col min="21" max="16384" width="11.21875" style="3"/>
  </cols>
  <sheetData>
    <row r="1" spans="2:55">
      <c r="B1" s="1" t="s">
        <v>0</v>
      </c>
      <c r="C1" s="2" t="s">
        <v>1</v>
      </c>
      <c r="P1" s="10">
        <f>+SUBTOTAL(3,Tableau1[Quantité])</f>
        <v>7</v>
      </c>
      <c r="Q1" s="11">
        <f>+SUBTOTAL(9,Tableau1[Quantité])</f>
        <v>12</v>
      </c>
      <c r="R1" s="12">
        <f>+SUBTOTAL(9,Tableau1[Px cmdé])</f>
        <v>181.83999999999997</v>
      </c>
      <c r="S1" s="12">
        <f>+SUBTOTAL(9,Tableau1[Fs port])</f>
        <v>33.6</v>
      </c>
      <c r="T1" s="12">
        <f>+SUBTOTAL(9,Tableau1[Remise])</f>
        <v>-5.6020000000000003</v>
      </c>
      <c r="BA1" s="13" t="s">
        <v>2</v>
      </c>
      <c r="BB1" s="14"/>
      <c r="BC1" s="15" t="s">
        <v>3</v>
      </c>
    </row>
    <row r="2" spans="2:55">
      <c r="B2" s="16" t="s">
        <v>4</v>
      </c>
      <c r="C2" s="16" t="s">
        <v>5</v>
      </c>
      <c r="D2" s="16" t="s">
        <v>6</v>
      </c>
      <c r="E2" s="17" t="s">
        <v>7</v>
      </c>
      <c r="F2" s="18" t="s">
        <v>8</v>
      </c>
      <c r="G2" s="16" t="s">
        <v>9</v>
      </c>
      <c r="H2" s="16" t="s">
        <v>10</v>
      </c>
      <c r="I2" s="16" t="s">
        <v>11</v>
      </c>
      <c r="J2" s="16" t="s">
        <v>12</v>
      </c>
      <c r="K2" s="19" t="s">
        <v>13</v>
      </c>
      <c r="L2" s="16" t="s">
        <v>14</v>
      </c>
      <c r="M2" s="16" t="s">
        <v>3</v>
      </c>
      <c r="N2" s="16" t="s">
        <v>15</v>
      </c>
      <c r="O2" s="16" t="s">
        <v>16</v>
      </c>
      <c r="P2" s="16" t="s">
        <v>17</v>
      </c>
      <c r="Q2" s="20" t="s">
        <v>18</v>
      </c>
      <c r="R2" s="21" t="s">
        <v>19</v>
      </c>
      <c r="S2" s="22" t="s">
        <v>20</v>
      </c>
      <c r="T2" s="22" t="s">
        <v>21</v>
      </c>
      <c r="U2" s="16" t="s">
        <v>22</v>
      </c>
      <c r="V2" s="16" t="s">
        <v>23</v>
      </c>
      <c r="W2" s="16" t="s">
        <v>24</v>
      </c>
      <c r="BA2" s="23" t="s">
        <v>25</v>
      </c>
      <c r="BB2" s="24" t="s">
        <v>26</v>
      </c>
      <c r="BC2" s="25" t="s">
        <v>27</v>
      </c>
    </row>
    <row r="3" spans="2:55">
      <c r="B3" s="26">
        <v>1</v>
      </c>
      <c r="C3" s="27">
        <v>1</v>
      </c>
      <c r="D3" s="28" t="str">
        <f t="shared" ref="D3:D9" si="0">+TEXT(DATE(YEAR(E3),MONTH(E3),1),"aaaa-MM")&amp; "-"&amp;TEXT(C3,"000")</f>
        <v>2020-03-001</v>
      </c>
      <c r="E3" s="29">
        <v>43891</v>
      </c>
      <c r="F3" s="28">
        <v>1290</v>
      </c>
      <c r="G3"/>
      <c r="H3"/>
      <c r="I3"/>
      <c r="J3"/>
      <c r="K3"/>
      <c r="L3"/>
      <c r="M3" t="s">
        <v>28</v>
      </c>
      <c r="N3" s="30" t="str">
        <f t="shared" ref="N3:N9" si="1">IF(M3="FR","FR 20%",IFERROR(VLOOKUP(M3,$BA$2:$BC$29,2,FALSE),"Hors.UE"))</f>
        <v>FR 20%</v>
      </c>
      <c r="O3" t="s">
        <v>29</v>
      </c>
      <c r="P3">
        <v>6627</v>
      </c>
      <c r="Q3" s="31">
        <v>4</v>
      </c>
      <c r="R3" s="32">
        <v>55.96</v>
      </c>
      <c r="S3" s="32">
        <v>7.5</v>
      </c>
      <c r="T3" s="32">
        <v>-2.798</v>
      </c>
      <c r="U3"/>
      <c r="V3" s="33"/>
      <c r="W3" s="28"/>
      <c r="BA3" s="23" t="s">
        <v>30</v>
      </c>
      <c r="BB3" s="24" t="s">
        <v>26</v>
      </c>
      <c r="BC3" s="25" t="s">
        <v>31</v>
      </c>
    </row>
    <row r="4" spans="2:55">
      <c r="B4" s="34">
        <f>+IF(Tableau1[[#This Row],[N° cmde]]=F3,B3,B3+1)</f>
        <v>2</v>
      </c>
      <c r="C4" s="35">
        <f t="shared" ref="C4:C9" si="2">+IF(B4=B3,C3,(C3+1))</f>
        <v>2</v>
      </c>
      <c r="D4" s="28" t="str">
        <f t="shared" si="0"/>
        <v>2020-03-002</v>
      </c>
      <c r="E4" s="29">
        <v>43891</v>
      </c>
      <c r="F4" s="28">
        <v>1282</v>
      </c>
      <c r="G4" s="33"/>
      <c r="H4" s="33"/>
      <c r="I4" s="33"/>
      <c r="J4" s="33"/>
      <c r="K4" s="36"/>
      <c r="L4" s="33"/>
      <c r="M4" t="s">
        <v>28</v>
      </c>
      <c r="N4" s="30" t="str">
        <f t="shared" si="1"/>
        <v>FR 20%</v>
      </c>
      <c r="O4" t="s">
        <v>29</v>
      </c>
      <c r="P4" s="28">
        <v>9118</v>
      </c>
      <c r="Q4" s="37">
        <v>1</v>
      </c>
      <c r="R4" s="38">
        <v>14.95</v>
      </c>
      <c r="S4" s="38">
        <v>0</v>
      </c>
      <c r="T4" s="38">
        <v>0</v>
      </c>
      <c r="U4" s="33"/>
      <c r="V4" s="33"/>
      <c r="W4" s="28"/>
      <c r="BA4" s="23" t="s">
        <v>32</v>
      </c>
      <c r="BB4" s="24" t="s">
        <v>26</v>
      </c>
      <c r="BC4" s="25" t="s">
        <v>33</v>
      </c>
    </row>
    <row r="5" spans="2:55">
      <c r="B5" s="33">
        <f>+IF(Tableau1[[#This Row],[N° cmde]]=F4,B4,B4+1)</f>
        <v>3</v>
      </c>
      <c r="C5" s="28">
        <f t="shared" si="2"/>
        <v>3</v>
      </c>
      <c r="D5" s="28" t="str">
        <f t="shared" si="0"/>
        <v>2020-03-003</v>
      </c>
      <c r="E5" s="29">
        <v>43892</v>
      </c>
      <c r="F5" s="28">
        <v>1308</v>
      </c>
      <c r="G5" s="33"/>
      <c r="H5" s="33"/>
      <c r="I5" s="33"/>
      <c r="J5" s="33"/>
      <c r="K5" s="36"/>
      <c r="L5" s="33"/>
      <c r="M5" t="s">
        <v>28</v>
      </c>
      <c r="N5" s="30" t="str">
        <f t="shared" si="1"/>
        <v>FR 20%</v>
      </c>
      <c r="O5" t="s">
        <v>29</v>
      </c>
      <c r="P5" s="28">
        <v>9629</v>
      </c>
      <c r="Q5" s="37">
        <v>1</v>
      </c>
      <c r="R5" s="38">
        <v>17.95</v>
      </c>
      <c r="S5" s="38">
        <v>4.8</v>
      </c>
      <c r="T5" s="38">
        <v>0</v>
      </c>
      <c r="U5" s="33"/>
      <c r="V5" s="40"/>
      <c r="W5" s="28"/>
      <c r="BA5" s="23" t="s">
        <v>34</v>
      </c>
      <c r="BB5" s="24" t="s">
        <v>26</v>
      </c>
      <c r="BC5" s="25" t="s">
        <v>35</v>
      </c>
    </row>
    <row r="6" spans="2:55">
      <c r="B6" s="33">
        <f>+IF(Tableau1[[#This Row],[N° cmde]]=F5,B5,B5+1)</f>
        <v>4</v>
      </c>
      <c r="C6" s="28">
        <f t="shared" si="2"/>
        <v>4</v>
      </c>
      <c r="D6" s="28" t="str">
        <f t="shared" si="0"/>
        <v>2020-03-004</v>
      </c>
      <c r="E6" s="29">
        <v>43892</v>
      </c>
      <c r="F6" s="28">
        <v>1307</v>
      </c>
      <c r="G6" s="33"/>
      <c r="H6" s="33"/>
      <c r="I6" s="33"/>
      <c r="J6" s="33"/>
      <c r="K6" s="36"/>
      <c r="L6" s="33"/>
      <c r="M6" t="s">
        <v>28</v>
      </c>
      <c r="N6" s="30" t="str">
        <f t="shared" si="1"/>
        <v>FR 20%</v>
      </c>
      <c r="O6" t="s">
        <v>29</v>
      </c>
      <c r="P6" s="28">
        <v>8801</v>
      </c>
      <c r="Q6" s="37">
        <v>1</v>
      </c>
      <c r="R6" s="38">
        <v>15.95</v>
      </c>
      <c r="S6" s="38">
        <v>5.5</v>
      </c>
      <c r="T6" s="38">
        <v>0</v>
      </c>
      <c r="U6" s="33"/>
      <c r="V6" s="33"/>
      <c r="W6" s="28"/>
      <c r="BA6" s="23" t="s">
        <v>36</v>
      </c>
      <c r="BB6" s="24" t="s">
        <v>26</v>
      </c>
      <c r="BC6" s="25" t="s">
        <v>37</v>
      </c>
    </row>
    <row r="7" spans="2:55">
      <c r="B7" s="33">
        <f>+IF(Tableau1[[#This Row],[N° cmde]]=F6,B6,B6+1)</f>
        <v>5</v>
      </c>
      <c r="C7" s="28">
        <f t="shared" si="2"/>
        <v>5</v>
      </c>
      <c r="D7" s="28" t="str">
        <f t="shared" si="0"/>
        <v>2020-03-005</v>
      </c>
      <c r="E7" s="29">
        <v>43892</v>
      </c>
      <c r="F7" s="28">
        <v>1306</v>
      </c>
      <c r="G7" s="33"/>
      <c r="H7" s="33"/>
      <c r="I7" s="33"/>
      <c r="J7" s="33"/>
      <c r="K7" s="36"/>
      <c r="L7" s="33"/>
      <c r="M7" t="s">
        <v>28</v>
      </c>
      <c r="N7" s="30" t="str">
        <f t="shared" si="1"/>
        <v>FR 20%</v>
      </c>
      <c r="O7" t="s">
        <v>29</v>
      </c>
      <c r="P7" s="28">
        <v>9444</v>
      </c>
      <c r="Q7" s="37">
        <v>2</v>
      </c>
      <c r="R7" s="38">
        <v>30.1</v>
      </c>
      <c r="S7" s="38">
        <v>5.5</v>
      </c>
      <c r="T7" s="38">
        <v>-1.5050000000000001</v>
      </c>
      <c r="U7" s="33"/>
      <c r="V7" s="33"/>
      <c r="W7" s="28"/>
      <c r="BA7" s="23" t="s">
        <v>38</v>
      </c>
      <c r="BB7" s="24" t="s">
        <v>26</v>
      </c>
      <c r="BC7" s="25" t="s">
        <v>39</v>
      </c>
    </row>
    <row r="8" spans="2:55">
      <c r="B8" s="33">
        <f>+IF(Tableau1[[#This Row],[N° cmde]]=F7,B7,B7+1)</f>
        <v>6</v>
      </c>
      <c r="C8" s="28">
        <f t="shared" si="2"/>
        <v>6</v>
      </c>
      <c r="D8" s="28" t="str">
        <f t="shared" si="0"/>
        <v>2020-03-006</v>
      </c>
      <c r="E8" s="29">
        <v>43892</v>
      </c>
      <c r="F8" s="28">
        <v>1303</v>
      </c>
      <c r="G8" s="33"/>
      <c r="H8" s="33"/>
      <c r="I8" s="33"/>
      <c r="J8" s="33"/>
      <c r="K8" s="36"/>
      <c r="L8" s="33"/>
      <c r="M8" t="s">
        <v>28</v>
      </c>
      <c r="N8" s="30" t="str">
        <f t="shared" si="1"/>
        <v>FR 20%</v>
      </c>
      <c r="O8" t="s">
        <v>29</v>
      </c>
      <c r="P8" s="28">
        <v>8887</v>
      </c>
      <c r="Q8" s="37">
        <v>2</v>
      </c>
      <c r="R8" s="38">
        <v>25.98</v>
      </c>
      <c r="S8" s="38">
        <v>5.5</v>
      </c>
      <c r="T8" s="38">
        <v>-1.2990000000000002</v>
      </c>
      <c r="U8" s="33"/>
      <c r="V8" s="33"/>
      <c r="W8" s="28"/>
      <c r="BA8" s="23" t="s">
        <v>40</v>
      </c>
      <c r="BB8" s="24" t="s">
        <v>26</v>
      </c>
      <c r="BC8" s="25" t="s">
        <v>41</v>
      </c>
    </row>
    <row r="9" spans="2:55">
      <c r="B9" s="33">
        <f>+IF(Tableau1[[#This Row],[N° cmde]]=F8,B8,B8+1)</f>
        <v>7</v>
      </c>
      <c r="C9" s="28">
        <f t="shared" si="2"/>
        <v>7</v>
      </c>
      <c r="D9" s="28" t="str">
        <f t="shared" si="0"/>
        <v>2020-03-007</v>
      </c>
      <c r="E9" s="29">
        <v>43893</v>
      </c>
      <c r="F9" s="28">
        <v>1325</v>
      </c>
      <c r="G9" s="33"/>
      <c r="H9" s="33"/>
      <c r="I9" s="33"/>
      <c r="J9" s="33"/>
      <c r="K9" s="36"/>
      <c r="L9" s="33"/>
      <c r="M9" t="s">
        <v>28</v>
      </c>
      <c r="N9" s="30" t="str">
        <f t="shared" si="1"/>
        <v>FR 20%</v>
      </c>
      <c r="O9" t="s">
        <v>29</v>
      </c>
      <c r="P9" s="28">
        <v>9202</v>
      </c>
      <c r="Q9" s="37">
        <v>1</v>
      </c>
      <c r="R9" s="38">
        <v>20.95</v>
      </c>
      <c r="S9" s="38">
        <v>4.8</v>
      </c>
      <c r="T9" s="38">
        <v>0</v>
      </c>
      <c r="U9" s="33"/>
      <c r="V9" s="33"/>
      <c r="W9" s="28"/>
      <c r="BA9" s="23" t="s">
        <v>42</v>
      </c>
      <c r="BB9" s="24" t="s">
        <v>26</v>
      </c>
      <c r="BC9" s="25" t="s">
        <v>43</v>
      </c>
    </row>
    <row r="10" spans="2:55">
      <c r="BA10" s="23" t="s">
        <v>44</v>
      </c>
      <c r="BB10" s="24" t="s">
        <v>26</v>
      </c>
      <c r="BC10" s="25" t="s">
        <v>45</v>
      </c>
    </row>
    <row r="11" spans="2:55">
      <c r="BA11" s="23" t="s">
        <v>28</v>
      </c>
      <c r="BB11" s="24" t="s">
        <v>26</v>
      </c>
      <c r="BC11" s="25" t="s">
        <v>46</v>
      </c>
    </row>
    <row r="12" spans="2:55">
      <c r="BA12" s="23" t="s">
        <v>47</v>
      </c>
      <c r="BB12" s="24" t="s">
        <v>26</v>
      </c>
      <c r="BC12" s="25" t="s">
        <v>48</v>
      </c>
    </row>
    <row r="13" spans="2:55">
      <c r="BA13" s="23" t="s">
        <v>49</v>
      </c>
      <c r="BB13" s="24" t="s">
        <v>26</v>
      </c>
      <c r="BC13" s="25" t="s">
        <v>50</v>
      </c>
    </row>
    <row r="14" spans="2:55">
      <c r="BA14" s="23" t="s">
        <v>51</v>
      </c>
      <c r="BB14" s="24" t="s">
        <v>26</v>
      </c>
      <c r="BC14" s="25" t="s">
        <v>52</v>
      </c>
    </row>
    <row r="15" spans="2:55">
      <c r="BA15" s="23" t="s">
        <v>53</v>
      </c>
      <c r="BB15" s="24" t="s">
        <v>26</v>
      </c>
      <c r="BC15" s="25" t="s">
        <v>54</v>
      </c>
    </row>
    <row r="16" spans="2:55">
      <c r="BA16" s="23" t="s">
        <v>55</v>
      </c>
      <c r="BB16" s="24" t="s">
        <v>26</v>
      </c>
      <c r="BC16" s="25" t="s">
        <v>56</v>
      </c>
    </row>
    <row r="17" spans="53:55">
      <c r="BA17" s="23" t="s">
        <v>57</v>
      </c>
      <c r="BB17" s="24" t="s">
        <v>26</v>
      </c>
      <c r="BC17" s="25" t="s">
        <v>58</v>
      </c>
    </row>
    <row r="18" spans="53:55">
      <c r="BA18" s="23" t="s">
        <v>59</v>
      </c>
      <c r="BB18" s="24" t="s">
        <v>26</v>
      </c>
      <c r="BC18" s="25" t="s">
        <v>60</v>
      </c>
    </row>
    <row r="19" spans="53:55">
      <c r="BA19" s="23" t="s">
        <v>61</v>
      </c>
      <c r="BB19" s="24" t="s">
        <v>26</v>
      </c>
      <c r="BC19" s="25" t="s">
        <v>62</v>
      </c>
    </row>
    <row r="20" spans="53:55">
      <c r="BA20" s="23" t="s">
        <v>63</v>
      </c>
      <c r="BB20" s="24" t="s">
        <v>26</v>
      </c>
      <c r="BC20" s="25" t="s">
        <v>64</v>
      </c>
    </row>
    <row r="21" spans="53:55">
      <c r="BA21" s="23" t="s">
        <v>65</v>
      </c>
      <c r="BB21" s="24" t="s">
        <v>26</v>
      </c>
      <c r="BC21" s="25" t="s">
        <v>66</v>
      </c>
    </row>
    <row r="22" spans="53:55">
      <c r="BA22" s="23" t="s">
        <v>67</v>
      </c>
      <c r="BB22" s="24" t="s">
        <v>26</v>
      </c>
      <c r="BC22" s="25" t="s">
        <v>68</v>
      </c>
    </row>
    <row r="23" spans="53:55">
      <c r="BA23" s="23" t="s">
        <v>69</v>
      </c>
      <c r="BB23" s="24" t="s">
        <v>26</v>
      </c>
      <c r="BC23" s="25" t="s">
        <v>70</v>
      </c>
    </row>
    <row r="24" spans="53:55">
      <c r="BA24" s="23" t="s">
        <v>71</v>
      </c>
      <c r="BB24" s="24" t="s">
        <v>26</v>
      </c>
      <c r="BC24" s="25" t="s">
        <v>72</v>
      </c>
    </row>
    <row r="25" spans="53:55">
      <c r="BA25" s="23" t="s">
        <v>73</v>
      </c>
      <c r="BB25" s="24" t="s">
        <v>26</v>
      </c>
      <c r="BC25" s="25" t="s">
        <v>74</v>
      </c>
    </row>
    <row r="26" spans="53:55">
      <c r="BA26" s="23" t="s">
        <v>75</v>
      </c>
      <c r="BB26" s="24" t="s">
        <v>26</v>
      </c>
      <c r="BC26" s="25" t="s">
        <v>76</v>
      </c>
    </row>
    <row r="27" spans="53:55">
      <c r="BA27" s="23" t="s">
        <v>77</v>
      </c>
      <c r="BB27" s="24" t="s">
        <v>26</v>
      </c>
      <c r="BC27" s="25" t="s">
        <v>78</v>
      </c>
    </row>
    <row r="28" spans="53:55">
      <c r="BA28" s="39" t="s">
        <v>79</v>
      </c>
      <c r="BB28" s="41" t="s">
        <v>26</v>
      </c>
      <c r="BC28" s="42" t="s">
        <v>80</v>
      </c>
    </row>
  </sheetData>
  <dataValidations count="1">
    <dataValidation type="list" allowBlank="1" showInputMessage="1" showErrorMessage="1" sqref="U1:U1048576">
      <formula1>#REF!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2:G17"/>
  <sheetViews>
    <sheetView tabSelected="1" workbookViewId="0">
      <selection activeCell="G7" sqref="G7"/>
    </sheetView>
  </sheetViews>
  <sheetFormatPr baseColWidth="10" defaultRowHeight="14.4"/>
  <cols>
    <col min="1" max="1" width="11.6640625" bestFit="1" customWidth="1"/>
    <col min="2" max="2" width="12.88671875" bestFit="1" customWidth="1"/>
    <col min="3" max="3" width="12.33203125" bestFit="1" customWidth="1"/>
    <col min="4" max="4" width="10.33203125" bestFit="1" customWidth="1"/>
    <col min="5" max="5" width="13.21875" bestFit="1" customWidth="1"/>
    <col min="6" max="6" width="7.6640625" bestFit="1" customWidth="1"/>
    <col min="7" max="7" width="12.33203125" bestFit="1" customWidth="1"/>
    <col min="8" max="8" width="9" bestFit="1" customWidth="1"/>
    <col min="9" max="9" width="7.5546875" bestFit="1" customWidth="1"/>
    <col min="10" max="10" width="7.6640625" bestFit="1" customWidth="1"/>
    <col min="11" max="11" width="7.5546875" bestFit="1" customWidth="1"/>
    <col min="12" max="12" width="4.77734375" bestFit="1" customWidth="1"/>
    <col min="13" max="13" width="7.6640625" bestFit="1" customWidth="1"/>
    <col min="14" max="14" width="9" bestFit="1" customWidth="1"/>
    <col min="15" max="15" width="6.5546875" bestFit="1" customWidth="1"/>
    <col min="16" max="16" width="7.6640625" bestFit="1" customWidth="1"/>
  </cols>
  <sheetData>
    <row r="2" spans="1:7">
      <c r="B2" s="54" t="s">
        <v>81</v>
      </c>
      <c r="C2" s="54"/>
      <c r="D2" s="54"/>
      <c r="E2" s="54"/>
      <c r="F2" s="55" t="s">
        <v>82</v>
      </c>
      <c r="G2" s="44"/>
    </row>
    <row r="3" spans="1:7">
      <c r="A3" t="s">
        <v>83</v>
      </c>
      <c r="B3" s="13" t="s">
        <v>84</v>
      </c>
      <c r="C3" s="14" t="s">
        <v>85</v>
      </c>
      <c r="D3" s="14" t="s">
        <v>21</v>
      </c>
      <c r="E3" s="15" t="s">
        <v>86</v>
      </c>
      <c r="F3" s="55"/>
      <c r="G3" s="24"/>
    </row>
    <row r="4" spans="1:7">
      <c r="A4" s="45">
        <f>+EOMONTH(A5,-1)</f>
        <v>43830</v>
      </c>
      <c r="B4" s="23"/>
      <c r="C4" s="24"/>
      <c r="D4" s="24"/>
      <c r="E4" s="25"/>
      <c r="F4" s="24"/>
      <c r="G4" s="24"/>
    </row>
    <row r="5" spans="1:7">
      <c r="A5" s="46">
        <v>43861</v>
      </c>
      <c r="B5" s="47">
        <f>+SUMIFS(Tableau1[Px cmdé],Tableau1[date cmde],"&gt;"&amp;$A4,Tableau1[date cmde],"&lt;="&amp;$A5)</f>
        <v>0</v>
      </c>
      <c r="C5" s="48">
        <f>+SUMIFS(Tableau1[Fs port],Tableau1[date cmde],"&gt;"&amp;$A4,Tableau1[date cmde],"&lt;="&amp;$A5)</f>
        <v>0</v>
      </c>
      <c r="D5" s="48">
        <f>+SUMIFS(Tableau1[Remise],Tableau1[date cmde],"&gt;"&amp;$A4,Tableau1[date cmde],"&lt;="&amp;$A5)</f>
        <v>0</v>
      </c>
      <c r="E5" s="49">
        <f t="shared" ref="E5:E16" si="0">+B5+C5+D5</f>
        <v>0</v>
      </c>
      <c r="F5" s="48">
        <f>+SUMIFS(Tableau1[N° Fact],Tableau1[date cmde],"&gt;"&amp;$A4,Tableau1[date cmde],"&lt;="&amp;$A5)</f>
        <v>0</v>
      </c>
      <c r="G5" s="48"/>
    </row>
    <row r="6" spans="1:7">
      <c r="A6" s="46">
        <f t="shared" ref="A6:A16" si="1">+EOMONTH(A5,1)</f>
        <v>43890</v>
      </c>
      <c r="B6" s="47">
        <f>+SUMIFS(Tableau1[Px cmdé],Tableau1[date cmde],"&gt;"&amp;$A5,Tableau1[date cmde],"&lt;="&amp;$A6)</f>
        <v>0</v>
      </c>
      <c r="C6" s="48">
        <f>+SUMIFS(Tableau1[Fs port],Tableau1[date cmde],"&gt;"&amp;$A5,Tableau1[date cmde],"&lt;="&amp;$A6)</f>
        <v>0</v>
      </c>
      <c r="D6" s="48">
        <f>+SUMIFS(Tableau1[Remise],Tableau1[date cmde],"&gt;"&amp;$A5,Tableau1[date cmde],"&lt;="&amp;$A6)</f>
        <v>0</v>
      </c>
      <c r="E6" s="49">
        <f t="shared" si="0"/>
        <v>0</v>
      </c>
      <c r="F6" s="48">
        <f>+SUMIFS(Tableau1[N° Fact],Tableau1[date cmde],"&gt;"&amp;$A5,Tableau1[date cmde],"&lt;="&amp;$A6)</f>
        <v>0</v>
      </c>
      <c r="G6" s="48"/>
    </row>
    <row r="7" spans="1:7">
      <c r="A7" s="46">
        <f t="shared" si="1"/>
        <v>43921</v>
      </c>
      <c r="B7" s="47">
        <f>+SUMIFS(Tableau1[Px cmdé],Tableau1[date cmde],"&gt;"&amp;$A6,Tableau1[date cmde],"&lt;="&amp;$A7)</f>
        <v>181.83999999999997</v>
      </c>
      <c r="C7" s="48">
        <f>+SUMIFS(Tableau1[Fs port],Tableau1[date cmde],"&gt;"&amp;$A6,Tableau1[date cmde],"&lt;="&amp;$A7)</f>
        <v>33.6</v>
      </c>
      <c r="D7" s="48">
        <f>+SUMIFS(Tableau1[Remise],Tableau1[date cmde],"&gt;"&amp;$A6,Tableau1[date cmde],"&lt;="&amp;$A7)</f>
        <v>-5.6020000000000003</v>
      </c>
      <c r="E7" s="49">
        <f t="shared" si="0"/>
        <v>209.83799999999997</v>
      </c>
      <c r="F7" s="48">
        <f>+SUMIFS(Tableau1[N° Fact],Tableau1[date cmde],"&gt;"&amp;$A6,Tableau1[date cmde],"&lt;="&amp;$A7)</f>
        <v>0</v>
      </c>
      <c r="G7" s="48"/>
    </row>
    <row r="8" spans="1:7">
      <c r="A8" s="46">
        <f t="shared" si="1"/>
        <v>43951</v>
      </c>
      <c r="B8" s="47">
        <f>+SUMIFS(Tableau1[Px cmdé],Tableau1[date cmde],"&gt;"&amp;$A7,Tableau1[date cmde],"&lt;="&amp;$A8)</f>
        <v>0</v>
      </c>
      <c r="C8" s="48">
        <f>+SUMIFS(Tableau1[Fs port],Tableau1[date cmde],"&gt;"&amp;$A7,Tableau1[date cmde],"&lt;="&amp;$A8)</f>
        <v>0</v>
      </c>
      <c r="D8" s="48">
        <f>+SUMIFS(Tableau1[Remise],Tableau1[date cmde],"&gt;"&amp;$A7,Tableau1[date cmde],"&lt;="&amp;$A8)</f>
        <v>0</v>
      </c>
      <c r="E8" s="49">
        <f t="shared" si="0"/>
        <v>0</v>
      </c>
      <c r="F8" s="48">
        <f>+SUMIFS(Tableau1[N° Fact],Tableau1[date cmde],"&gt;"&amp;$A7,Tableau1[date cmde],"&lt;="&amp;$A8)</f>
        <v>0</v>
      </c>
      <c r="G8" s="48"/>
    </row>
    <row r="9" spans="1:7">
      <c r="A9" s="46">
        <f t="shared" si="1"/>
        <v>43982</v>
      </c>
      <c r="B9" s="47">
        <f>+SUMIFS(Tableau1[Px cmdé],Tableau1[date cmde],"&gt;"&amp;$A8,Tableau1[date cmde],"&lt;="&amp;$A9)</f>
        <v>0</v>
      </c>
      <c r="C9" s="48">
        <f>+SUMIFS(Tableau1[Fs port],Tableau1[date cmde],"&gt;"&amp;$A8,Tableau1[date cmde],"&lt;="&amp;$A9)</f>
        <v>0</v>
      </c>
      <c r="D9" s="48">
        <f>+SUMIFS(Tableau1[Remise],Tableau1[date cmde],"&gt;"&amp;$A8,Tableau1[date cmde],"&lt;="&amp;$A9)</f>
        <v>0</v>
      </c>
      <c r="E9" s="49">
        <f t="shared" si="0"/>
        <v>0</v>
      </c>
      <c r="F9" s="48">
        <f>+SUMIFS(Tableau1[N° Fact],Tableau1[date cmde],"&gt;"&amp;$A8,Tableau1[date cmde],"&lt;="&amp;$A9)</f>
        <v>0</v>
      </c>
      <c r="G9" s="48"/>
    </row>
    <row r="10" spans="1:7">
      <c r="A10" s="46">
        <f t="shared" si="1"/>
        <v>44012</v>
      </c>
      <c r="B10" s="47">
        <f>+SUMIFS(Tableau1[Px cmdé],Tableau1[date cmde],"&gt;"&amp;$A9,Tableau1[date cmde],"&lt;="&amp;$A10)</f>
        <v>0</v>
      </c>
      <c r="C10" s="48">
        <f>+SUMIFS(Tableau1[Fs port],Tableau1[date cmde],"&gt;"&amp;$A9,Tableau1[date cmde],"&lt;="&amp;$A10)</f>
        <v>0</v>
      </c>
      <c r="D10" s="48">
        <f>+SUMIFS(Tableau1[Remise],Tableau1[date cmde],"&gt;"&amp;$A9,Tableau1[date cmde],"&lt;="&amp;$A10)</f>
        <v>0</v>
      </c>
      <c r="E10" s="49">
        <f t="shared" si="0"/>
        <v>0</v>
      </c>
      <c r="F10" s="48">
        <f>+SUMIFS(Tableau1[N° Fact],Tableau1[date cmde],"&gt;"&amp;$A9,Tableau1[date cmde],"&lt;="&amp;$A10)</f>
        <v>0</v>
      </c>
      <c r="G10" s="48"/>
    </row>
    <row r="11" spans="1:7">
      <c r="A11" s="46">
        <f t="shared" si="1"/>
        <v>44043</v>
      </c>
      <c r="B11" s="47">
        <f>+SUMIFS(Tableau1[Px cmdé],Tableau1[date cmde],"&gt;"&amp;$A10,Tableau1[date cmde],"&lt;="&amp;$A11)</f>
        <v>0</v>
      </c>
      <c r="C11" s="48">
        <f>+SUMIFS(Tableau1[Fs port],Tableau1[date cmde],"&gt;"&amp;$A10,Tableau1[date cmde],"&lt;="&amp;$A11)</f>
        <v>0</v>
      </c>
      <c r="D11" s="48">
        <f>+SUMIFS(Tableau1[Remise],Tableau1[date cmde],"&gt;"&amp;$A10,Tableau1[date cmde],"&lt;="&amp;$A11)</f>
        <v>0</v>
      </c>
      <c r="E11" s="49">
        <f t="shared" si="0"/>
        <v>0</v>
      </c>
      <c r="F11" s="48">
        <f>+SUMIFS(Tableau1[N° Fact],Tableau1[date cmde],"&gt;"&amp;$A10,Tableau1[date cmde],"&lt;="&amp;$A11)</f>
        <v>0</v>
      </c>
      <c r="G11" s="48"/>
    </row>
    <row r="12" spans="1:7">
      <c r="A12" s="46">
        <f t="shared" si="1"/>
        <v>44074</v>
      </c>
      <c r="B12" s="47">
        <f>+SUMIFS(Tableau1[Px cmdé],Tableau1[date cmde],"&gt;"&amp;$A11,Tableau1[date cmde],"&lt;="&amp;$A12)</f>
        <v>0</v>
      </c>
      <c r="C12" s="48">
        <f>+SUMIFS(Tableau1[Fs port],Tableau1[date cmde],"&gt;"&amp;$A11,Tableau1[date cmde],"&lt;="&amp;$A12)</f>
        <v>0</v>
      </c>
      <c r="D12" s="48">
        <f>+SUMIFS(Tableau1[Remise],Tableau1[date cmde],"&gt;"&amp;$A11,Tableau1[date cmde],"&lt;="&amp;$A12)</f>
        <v>0</v>
      </c>
      <c r="E12" s="49">
        <f t="shared" si="0"/>
        <v>0</v>
      </c>
      <c r="F12" s="48">
        <f>+SUMIFS(Tableau1[N° Fact],Tableau1[date cmde],"&gt;"&amp;$A11,Tableau1[date cmde],"&lt;="&amp;$A12)</f>
        <v>0</v>
      </c>
      <c r="G12" s="48"/>
    </row>
    <row r="13" spans="1:7">
      <c r="A13" s="46">
        <f t="shared" si="1"/>
        <v>44104</v>
      </c>
      <c r="B13" s="47">
        <f>+SUMIFS(Tableau1[Px cmdé],Tableau1[date cmde],"&gt;"&amp;$A12,Tableau1[date cmde],"&lt;="&amp;$A13)</f>
        <v>0</v>
      </c>
      <c r="C13" s="48">
        <f>+SUMIFS(Tableau1[Fs port],Tableau1[date cmde],"&gt;"&amp;$A12,Tableau1[date cmde],"&lt;="&amp;$A13)</f>
        <v>0</v>
      </c>
      <c r="D13" s="48">
        <f>+SUMIFS(Tableau1[Remise],Tableau1[date cmde],"&gt;"&amp;$A12,Tableau1[date cmde],"&lt;="&amp;$A13)</f>
        <v>0</v>
      </c>
      <c r="E13" s="49">
        <f t="shared" si="0"/>
        <v>0</v>
      </c>
      <c r="F13" s="48">
        <f>+SUMIFS(Tableau1[N° Fact],Tableau1[date cmde],"&gt;"&amp;$A12,Tableau1[date cmde],"&lt;="&amp;$A13)</f>
        <v>0</v>
      </c>
      <c r="G13" s="48"/>
    </row>
    <row r="14" spans="1:7">
      <c r="A14" s="46">
        <f t="shared" si="1"/>
        <v>44135</v>
      </c>
      <c r="B14" s="47">
        <f>+SUMIFS(Tableau1[Px cmdé],Tableau1[date cmde],"&gt;"&amp;$A13,Tableau1[date cmde],"&lt;="&amp;$A14)</f>
        <v>0</v>
      </c>
      <c r="C14" s="48">
        <f>+SUMIFS(Tableau1[Fs port],Tableau1[date cmde],"&gt;"&amp;$A13,Tableau1[date cmde],"&lt;="&amp;$A14)</f>
        <v>0</v>
      </c>
      <c r="D14" s="48">
        <f>+SUMIFS(Tableau1[Remise],Tableau1[date cmde],"&gt;"&amp;$A13,Tableau1[date cmde],"&lt;="&amp;$A14)</f>
        <v>0</v>
      </c>
      <c r="E14" s="49">
        <f t="shared" si="0"/>
        <v>0</v>
      </c>
      <c r="F14" s="48">
        <f>+SUMIFS(Tableau1[N° Fact],Tableau1[date cmde],"&gt;"&amp;$A13,Tableau1[date cmde],"&lt;="&amp;$A14)</f>
        <v>0</v>
      </c>
      <c r="G14" s="48"/>
    </row>
    <row r="15" spans="1:7">
      <c r="A15" s="46">
        <f t="shared" si="1"/>
        <v>44165</v>
      </c>
      <c r="B15" s="47">
        <f>+SUMIFS(Tableau1[Px cmdé],Tableau1[date cmde],"&gt;"&amp;$A14,Tableau1[date cmde],"&lt;="&amp;$A15)</f>
        <v>0</v>
      </c>
      <c r="C15" s="48">
        <f>+SUMIFS(Tableau1[Fs port],Tableau1[date cmde],"&gt;"&amp;$A14,Tableau1[date cmde],"&lt;="&amp;$A15)</f>
        <v>0</v>
      </c>
      <c r="D15" s="48">
        <f>+SUMIFS(Tableau1[Remise],Tableau1[date cmde],"&gt;"&amp;$A14,Tableau1[date cmde],"&lt;="&amp;$A15)</f>
        <v>0</v>
      </c>
      <c r="E15" s="49">
        <f t="shared" si="0"/>
        <v>0</v>
      </c>
      <c r="F15" s="48">
        <f>+SUMIFS(Tableau1[N° Fact],Tableau1[date cmde],"&gt;"&amp;$A14,Tableau1[date cmde],"&lt;="&amp;$A15)</f>
        <v>0</v>
      </c>
      <c r="G15" s="48"/>
    </row>
    <row r="16" spans="1:7">
      <c r="A16" s="46">
        <f t="shared" si="1"/>
        <v>44196</v>
      </c>
      <c r="B16" s="50">
        <f>+SUMIFS(Tableau1[Px cmdé],Tableau1[date cmde],"&gt;"&amp;$A15,Tableau1[date cmde],"&lt;="&amp;$A16)</f>
        <v>0</v>
      </c>
      <c r="C16" s="51">
        <f>+SUMIFS(Tableau1[Fs port],Tableau1[date cmde],"&gt;"&amp;$A15,Tableau1[date cmde],"&lt;="&amp;$A16)</f>
        <v>0</v>
      </c>
      <c r="D16" s="51">
        <f>+SUMIFS(Tableau1[Remise],Tableau1[date cmde],"&gt;"&amp;$A15,Tableau1[date cmde],"&lt;="&amp;$A16)</f>
        <v>0</v>
      </c>
      <c r="E16" s="52">
        <f t="shared" si="0"/>
        <v>0</v>
      </c>
      <c r="F16" s="48">
        <f>+SUMIFS(Tableau1[N° Fact],Tableau1[date cmde],"&gt;"&amp;$A15,Tableau1[date cmde],"&lt;="&amp;$A16)</f>
        <v>0</v>
      </c>
      <c r="G16" s="48"/>
    </row>
    <row r="17" spans="2:7">
      <c r="B17" s="53">
        <f t="shared" ref="B17:E17" si="2">+SUM(B5:B16)</f>
        <v>181.83999999999997</v>
      </c>
      <c r="C17" s="53">
        <f t="shared" si="2"/>
        <v>33.6</v>
      </c>
      <c r="D17" s="53">
        <f t="shared" si="2"/>
        <v>-5.6020000000000003</v>
      </c>
      <c r="E17" s="53">
        <f t="shared" si="2"/>
        <v>209.83799999999997</v>
      </c>
      <c r="F17" s="53"/>
      <c r="G17" s="53"/>
    </row>
  </sheetData>
  <mergeCells count="2">
    <mergeCell ref="B2:E2"/>
    <mergeCell ref="F2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BC</vt:lpstr>
      <vt:lpstr>synt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2020-04-10T07:48:56Z</dcterms:created>
  <dcterms:modified xsi:type="dcterms:W3CDTF">2020-04-10T09:37:29Z</dcterms:modified>
</cp:coreProperties>
</file>