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.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.jp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ctrlProps/ctrlProp1.xml" ContentType="application/vnd.ms-excel.controlproperties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5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fc908a8b4a5946a6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lek\Desktop\FDV\"/>
    </mc:Choice>
  </mc:AlternateContent>
  <xr:revisionPtr revIDLastSave="0" documentId="13_ncr:1_{FF0971DD-3FE4-4B25-9DAA-B7DED3342C48}" xr6:coauthVersionLast="36" xr6:coauthVersionMax="46" xr10:uidLastSave="{00000000-0000-0000-0000-000000000000}"/>
  <bookViews>
    <workbookView xWindow="-120" yWindow="-120" windowWidth="20736" windowHeight="11160" activeTab="1" xr2:uid="{00000000-000D-0000-FFFF-FFFF00000000}"/>
  </bookViews>
  <sheets>
    <sheet name="BDD" sheetId="1" r:id="rId1"/>
    <sheet name="FDV" sheetId="2" r:id="rId2"/>
    <sheet name="Ticket" sheetId="6" r:id="rId3"/>
    <sheet name="S" sheetId="4" r:id="rId4"/>
    <sheet name="A" sheetId="5" r:id="rId5"/>
    <sheet name="J" sheetId="3" r:id="rId6"/>
    <sheet name="CA" sheetId="7" r:id="rId7"/>
  </sheets>
  <definedNames>
    <definedName name="transporteur">BDD!$K$2:$K$5</definedName>
    <definedName name="TVA">BDD!$D$2:$D$5</definedName>
    <definedName name="_xlnm.Print_Area" localSheetId="2">Ticket!$B$1:$E$40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/>
  <c r="B6" i="2" l="1"/>
  <c r="B29" i="6" l="1"/>
  <c r="Q14" i="4" l="1"/>
  <c r="Q15" i="4"/>
  <c r="Q16" i="4"/>
  <c r="Q17" i="4"/>
  <c r="Q18" i="4"/>
  <c r="J2" i="2" l="1"/>
  <c r="E30" i="6" l="1"/>
  <c r="E33" i="6" l="1"/>
  <c r="E34" i="6" s="1"/>
  <c r="M13" i="2"/>
  <c r="M14" i="2"/>
  <c r="M15" i="2"/>
  <c r="M16" i="2"/>
  <c r="M17" i="2"/>
  <c r="M18" i="2"/>
  <c r="M19" i="2"/>
  <c r="M20" i="2"/>
  <c r="M21" i="2"/>
  <c r="L13" i="2"/>
  <c r="L14" i="2"/>
  <c r="L15" i="2"/>
  <c r="L16" i="2"/>
  <c r="L17" i="2"/>
  <c r="L18" i="2"/>
  <c r="L19" i="2"/>
  <c r="L20" i="2"/>
  <c r="L21" i="2"/>
  <c r="B16" i="2"/>
  <c r="B17" i="2"/>
  <c r="B18" i="2"/>
  <c r="B19" i="2"/>
  <c r="B20" i="2"/>
  <c r="B21" i="2"/>
  <c r="E16" i="2"/>
  <c r="E17" i="2"/>
  <c r="E18" i="2"/>
  <c r="E19" i="2"/>
  <c r="E20" i="2"/>
  <c r="E21" i="2"/>
  <c r="E13" i="2" l="1"/>
  <c r="E14" i="2"/>
  <c r="E15" i="2"/>
  <c r="B14" i="2"/>
  <c r="B15" i="2"/>
  <c r="B13" i="2"/>
  <c r="J22" i="7" l="1"/>
  <c r="K22" i="7"/>
  <c r="I22" i="7"/>
  <c r="F6" i="7"/>
  <c r="E6" i="7"/>
  <c r="D6" i="7"/>
  <c r="C6" i="7"/>
  <c r="B6" i="7"/>
  <c r="R6" i="7" l="1"/>
  <c r="O6" i="7"/>
  <c r="P6" i="7"/>
  <c r="Q6" i="7"/>
  <c r="M22" i="7" l="1"/>
  <c r="L22" i="7"/>
  <c r="F18" i="4" l="1"/>
  <c r="H18" i="4"/>
  <c r="I18" i="4"/>
  <c r="J18" i="4"/>
  <c r="L18" i="4"/>
  <c r="K18" i="4" l="1"/>
  <c r="N18" i="4" s="1"/>
  <c r="I6" i="7"/>
  <c r="J6" i="7"/>
  <c r="K6" i="7"/>
  <c r="L6" i="7"/>
  <c r="M18" i="4" l="1"/>
  <c r="O18" i="4"/>
  <c r="M5" i="2"/>
  <c r="L6" i="2"/>
  <c r="M6" i="2"/>
  <c r="L7" i="2"/>
  <c r="M7" i="2"/>
  <c r="L8" i="2"/>
  <c r="M8" i="2"/>
  <c r="L9" i="2"/>
  <c r="M9" i="2"/>
  <c r="L10" i="2"/>
  <c r="M10" i="2"/>
  <c r="L11" i="2"/>
  <c r="M11" i="2"/>
  <c r="L12" i="2"/>
  <c r="M12" i="2"/>
  <c r="J13" i="2" l="1"/>
  <c r="K13" i="2" s="1"/>
  <c r="S6" i="7"/>
  <c r="M6" i="7"/>
  <c r="N4" i="7" l="1"/>
  <c r="H4" i="7"/>
  <c r="A7" i="7"/>
  <c r="J23" i="7" l="1"/>
  <c r="K23" i="7"/>
  <c r="I23" i="7"/>
  <c r="F7" i="7"/>
  <c r="B7" i="7"/>
  <c r="E7" i="7"/>
  <c r="D7" i="7"/>
  <c r="C7" i="7"/>
  <c r="O7" i="7"/>
  <c r="P7" i="7"/>
  <c r="Q7" i="7"/>
  <c r="R7" i="7"/>
  <c r="A8" i="7"/>
  <c r="K8" i="7"/>
  <c r="L8" i="7"/>
  <c r="I7" i="7"/>
  <c r="J7" i="7"/>
  <c r="K7" i="7"/>
  <c r="L7" i="7"/>
  <c r="G6" i="7"/>
  <c r="A9" i="7"/>
  <c r="S7" i="7" l="1"/>
  <c r="J25" i="7"/>
  <c r="K25" i="7"/>
  <c r="I25" i="7"/>
  <c r="F9" i="7"/>
  <c r="E9" i="7"/>
  <c r="D9" i="7"/>
  <c r="C9" i="7"/>
  <c r="B9" i="7"/>
  <c r="R9" i="7"/>
  <c r="O9" i="7"/>
  <c r="P9" i="7"/>
  <c r="Q9" i="7"/>
  <c r="I8" i="7"/>
  <c r="K24" i="7"/>
  <c r="I24" i="7"/>
  <c r="F8" i="7"/>
  <c r="E8" i="7"/>
  <c r="D8" i="7"/>
  <c r="C8" i="7"/>
  <c r="B8" i="7"/>
  <c r="J24" i="7"/>
  <c r="R8" i="7"/>
  <c r="O8" i="7"/>
  <c r="P8" i="7"/>
  <c r="Q8" i="7"/>
  <c r="J8" i="7"/>
  <c r="M23" i="7"/>
  <c r="L23" i="7"/>
  <c r="M7" i="7"/>
  <c r="A10" i="7"/>
  <c r="I9" i="7"/>
  <c r="J9" i="7"/>
  <c r="K9" i="7"/>
  <c r="L9" i="7"/>
  <c r="G7" i="7"/>
  <c r="B40" i="6"/>
  <c r="B5" i="6"/>
  <c r="B4" i="6"/>
  <c r="B3" i="6"/>
  <c r="B2" i="6"/>
  <c r="B1" i="6"/>
  <c r="S8" i="7" l="1"/>
  <c r="M8" i="7"/>
  <c r="G8" i="7"/>
  <c r="K26" i="7"/>
  <c r="J26" i="7"/>
  <c r="I26" i="7"/>
  <c r="F10" i="7"/>
  <c r="E10" i="7"/>
  <c r="D10" i="7"/>
  <c r="C10" i="7"/>
  <c r="B10" i="7"/>
  <c r="P10" i="7"/>
  <c r="R10" i="7"/>
  <c r="O10" i="7"/>
  <c r="Q10" i="7"/>
  <c r="S9" i="7"/>
  <c r="M24" i="7"/>
  <c r="L24" i="7"/>
  <c r="L25" i="7"/>
  <c r="M25" i="7"/>
  <c r="G9" i="7"/>
  <c r="M9" i="7"/>
  <c r="A11" i="7"/>
  <c r="J10" i="7"/>
  <c r="K10" i="7"/>
  <c r="L10" i="7"/>
  <c r="I10" i="7"/>
  <c r="B7" i="2"/>
  <c r="B8" i="2"/>
  <c r="B9" i="2"/>
  <c r="B10" i="2"/>
  <c r="B11" i="2"/>
  <c r="B12" i="2"/>
  <c r="I27" i="7" l="1"/>
  <c r="F11" i="7"/>
  <c r="E11" i="7"/>
  <c r="D11" i="7"/>
  <c r="J27" i="7"/>
  <c r="B11" i="7"/>
  <c r="K27" i="7"/>
  <c r="C11" i="7"/>
  <c r="O11" i="7"/>
  <c r="P11" i="7"/>
  <c r="Q11" i="7"/>
  <c r="R11" i="7"/>
  <c r="M26" i="7"/>
  <c r="L26" i="7"/>
  <c r="M10" i="7"/>
  <c r="A12" i="7"/>
  <c r="I11" i="7"/>
  <c r="J11" i="7"/>
  <c r="K11" i="7"/>
  <c r="L11" i="7"/>
  <c r="S10" i="7"/>
  <c r="G10" i="7"/>
  <c r="K28" i="7" l="1"/>
  <c r="I28" i="7"/>
  <c r="F12" i="7"/>
  <c r="E12" i="7"/>
  <c r="D12" i="7"/>
  <c r="C12" i="7"/>
  <c r="B12" i="7"/>
  <c r="J28" i="7"/>
  <c r="R12" i="7"/>
  <c r="O12" i="7"/>
  <c r="P12" i="7"/>
  <c r="Q12" i="7"/>
  <c r="M27" i="7"/>
  <c r="L27" i="7"/>
  <c r="M11" i="7"/>
  <c r="G11" i="7"/>
  <c r="A13" i="7"/>
  <c r="I12" i="7"/>
  <c r="J12" i="7"/>
  <c r="K12" i="7"/>
  <c r="L12" i="7"/>
  <c r="S11" i="7"/>
  <c r="B13" i="7" l="1"/>
  <c r="J29" i="7"/>
  <c r="K29" i="7"/>
  <c r="I29" i="7"/>
  <c r="F13" i="7"/>
  <c r="E13" i="7"/>
  <c r="D13" i="7"/>
  <c r="C13" i="7"/>
  <c r="R13" i="7"/>
  <c r="O13" i="7"/>
  <c r="P13" i="7"/>
  <c r="Q13" i="7"/>
  <c r="M28" i="7"/>
  <c r="L28" i="7"/>
  <c r="G12" i="7"/>
  <c r="A14" i="7"/>
  <c r="I13" i="7"/>
  <c r="J13" i="7"/>
  <c r="K13" i="7"/>
  <c r="L13" i="7"/>
  <c r="S12" i="7"/>
  <c r="M12" i="7"/>
  <c r="L8" i="4"/>
  <c r="L6" i="4"/>
  <c r="J6" i="4"/>
  <c r="C4" i="4"/>
  <c r="L14" i="4"/>
  <c r="L15" i="4"/>
  <c r="L16" i="4"/>
  <c r="L17" i="4"/>
  <c r="J14" i="4"/>
  <c r="J15" i="4"/>
  <c r="J16" i="4"/>
  <c r="J17" i="4"/>
  <c r="I14" i="4"/>
  <c r="I15" i="4"/>
  <c r="I16" i="4"/>
  <c r="I17" i="4"/>
  <c r="H14" i="4"/>
  <c r="H15" i="4"/>
  <c r="H16" i="4"/>
  <c r="H17" i="4"/>
  <c r="F14" i="4"/>
  <c r="F15" i="4"/>
  <c r="F16" i="4"/>
  <c r="L5" i="2" s="1"/>
  <c r="F17" i="4"/>
  <c r="G2" i="4"/>
  <c r="F2" i="4"/>
  <c r="D2" i="4"/>
  <c r="C2" i="4"/>
  <c r="A3" i="4"/>
  <c r="A2" i="4" s="1"/>
  <c r="E14" i="7" l="1"/>
  <c r="D14" i="7"/>
  <c r="K30" i="7"/>
  <c r="B14" i="7"/>
  <c r="J30" i="7"/>
  <c r="I30" i="7"/>
  <c r="F14" i="7"/>
  <c r="C14" i="7"/>
  <c r="P14" i="7"/>
  <c r="Q14" i="7"/>
  <c r="R14" i="7"/>
  <c r="O14" i="7"/>
  <c r="M29" i="7"/>
  <c r="L29" i="7"/>
  <c r="S13" i="7"/>
  <c r="A15" i="7"/>
  <c r="J14" i="7"/>
  <c r="K14" i="7"/>
  <c r="L14" i="7"/>
  <c r="I14" i="7"/>
  <c r="G13" i="7"/>
  <c r="M13" i="7"/>
  <c r="K14" i="4"/>
  <c r="K16" i="4"/>
  <c r="N16" i="4" s="1"/>
  <c r="K15" i="4"/>
  <c r="K17" i="4"/>
  <c r="O17" i="4" l="1"/>
  <c r="F18" i="2"/>
  <c r="G18" i="2" s="1"/>
  <c r="F16" i="2"/>
  <c r="G16" i="2" s="1"/>
  <c r="F17" i="2"/>
  <c r="G17" i="2" s="1"/>
  <c r="F12" i="2"/>
  <c r="G12" i="2" s="1"/>
  <c r="F9" i="2"/>
  <c r="G9" i="2" s="1"/>
  <c r="F10" i="2"/>
  <c r="G10" i="2" s="1"/>
  <c r="F11" i="2"/>
  <c r="G11" i="2" s="1"/>
  <c r="F7" i="2"/>
  <c r="G7" i="2" s="1"/>
  <c r="F15" i="2"/>
  <c r="G15" i="2" s="1"/>
  <c r="F13" i="2"/>
  <c r="G13" i="2" s="1"/>
  <c r="F14" i="2"/>
  <c r="G14" i="2" s="1"/>
  <c r="F19" i="2"/>
  <c r="G19" i="2" s="1"/>
  <c r="F20" i="2"/>
  <c r="G20" i="2" s="1"/>
  <c r="F21" i="2"/>
  <c r="G21" i="2" s="1"/>
  <c r="F8" i="2"/>
  <c r="G8" i="2" s="1"/>
  <c r="N15" i="4"/>
  <c r="F6" i="2"/>
  <c r="G6" i="2" s="1"/>
  <c r="E15" i="7"/>
  <c r="C15" i="7"/>
  <c r="F15" i="7"/>
  <c r="D15" i="7"/>
  <c r="J31" i="7"/>
  <c r="B15" i="7"/>
  <c r="K31" i="7"/>
  <c r="I31" i="7"/>
  <c r="O15" i="7"/>
  <c r="P15" i="7"/>
  <c r="Q15" i="7"/>
  <c r="R15" i="7"/>
  <c r="N14" i="4"/>
  <c r="F5" i="2"/>
  <c r="G5" i="2" s="1"/>
  <c r="M30" i="7"/>
  <c r="L30" i="7"/>
  <c r="S14" i="7"/>
  <c r="M14" i="7"/>
  <c r="G14" i="7"/>
  <c r="A16" i="7"/>
  <c r="J15" i="7"/>
  <c r="K15" i="7"/>
  <c r="L15" i="7"/>
  <c r="I15" i="7"/>
  <c r="O16" i="4"/>
  <c r="O14" i="4"/>
  <c r="M14" i="4"/>
  <c r="M16" i="4"/>
  <c r="E5" i="2"/>
  <c r="E6" i="2"/>
  <c r="E12" i="2"/>
  <c r="E11" i="2"/>
  <c r="E7" i="2"/>
  <c r="E8" i="2"/>
  <c r="E10" i="2"/>
  <c r="E9" i="2"/>
  <c r="J8" i="4"/>
  <c r="M15" i="4"/>
  <c r="O15" i="4"/>
  <c r="M17" i="4"/>
  <c r="N17" i="4"/>
  <c r="N8" i="4" s="1"/>
  <c r="J5" i="2" l="1"/>
  <c r="J14" i="2" s="1"/>
  <c r="J15" i="2" s="1"/>
  <c r="K32" i="7"/>
  <c r="I32" i="7"/>
  <c r="F16" i="7"/>
  <c r="E16" i="7"/>
  <c r="D16" i="7"/>
  <c r="C16" i="7"/>
  <c r="B16" i="7"/>
  <c r="J32" i="7"/>
  <c r="R16" i="7"/>
  <c r="O16" i="7"/>
  <c r="P16" i="7"/>
  <c r="Q16" i="7"/>
  <c r="M31" i="7"/>
  <c r="L31" i="7"/>
  <c r="G15" i="7"/>
  <c r="A17" i="7"/>
  <c r="I16" i="7"/>
  <c r="J16" i="7"/>
  <c r="K16" i="7"/>
  <c r="L16" i="7"/>
  <c r="M15" i="7"/>
  <c r="S15" i="7"/>
  <c r="N6" i="4"/>
  <c r="B17" i="7" l="1"/>
  <c r="J33" i="7"/>
  <c r="J20" i="7" s="1"/>
  <c r="K33" i="7"/>
  <c r="K20" i="7" s="1"/>
  <c r="I33" i="7"/>
  <c r="I20" i="7" s="1"/>
  <c r="F17" i="7"/>
  <c r="F4" i="7" s="1"/>
  <c r="E17" i="7"/>
  <c r="E4" i="7" s="1"/>
  <c r="D17" i="7"/>
  <c r="D4" i="7" s="1"/>
  <c r="C17" i="7"/>
  <c r="C4" i="7" s="1"/>
  <c r="R17" i="7"/>
  <c r="R4" i="7" s="1"/>
  <c r="O17" i="7"/>
  <c r="P17" i="7"/>
  <c r="P4" i="7" s="1"/>
  <c r="Q17" i="7"/>
  <c r="Q4" i="7" s="1"/>
  <c r="M32" i="7"/>
  <c r="L32" i="7"/>
  <c r="S16" i="7"/>
  <c r="G16" i="7"/>
  <c r="M16" i="7"/>
  <c r="I17" i="7"/>
  <c r="J17" i="7"/>
  <c r="J4" i="7" s="1"/>
  <c r="K17" i="7"/>
  <c r="K4" i="7" s="1"/>
  <c r="L17" i="7"/>
  <c r="L4" i="7" s="1"/>
  <c r="J16" i="2"/>
  <c r="M33" i="7" l="1"/>
  <c r="M20" i="7" s="1"/>
  <c r="L33" i="7"/>
  <c r="L20" i="7" s="1"/>
  <c r="G17" i="7"/>
  <c r="G4" i="7" s="1"/>
  <c r="B4" i="7"/>
  <c r="M17" i="7"/>
  <c r="M4" i="7" s="1"/>
  <c r="I4" i="7"/>
  <c r="S17" i="7"/>
  <c r="S4" i="7" s="1"/>
  <c r="O4" i="7"/>
  <c r="O20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C13" authorId="0" shapeId="0" xr:uid="{00000000-0006-0000-0300-000001000000}">
      <text>
        <r>
          <rPr>
            <b/>
            <i/>
            <sz val="10"/>
            <color indexed="10"/>
            <rFont val="Baskerville Old Face"/>
            <family val="1"/>
          </rPr>
          <t>Prix A HT</t>
        </r>
        <r>
          <rPr>
            <i/>
            <sz val="10"/>
            <color indexed="8"/>
            <rFont val="Baskerville Old Face"/>
            <family val="1"/>
          </rPr>
          <t xml:space="preserve">
Pris d'Achat Hors Taxe</t>
        </r>
      </text>
    </comment>
    <comment ref="D13" authorId="0" shapeId="0" xr:uid="{00000000-0006-0000-0300-000002000000}">
      <text>
        <r>
          <rPr>
            <b/>
            <i/>
            <sz val="10"/>
            <color indexed="10"/>
            <rFont val="Baskerville Old Face"/>
            <family val="1"/>
          </rPr>
          <t>Prix U HT</t>
        </r>
        <r>
          <rPr>
            <i/>
            <sz val="10"/>
            <color indexed="8"/>
            <rFont val="Baskerville Old Face"/>
            <family val="1"/>
          </rPr>
          <t xml:space="preserve">
Prix Unitaire Hors Taxe</t>
        </r>
      </text>
    </comment>
    <comment ref="F13" authorId="0" shapeId="0" xr:uid="{00000000-0006-0000-0300-000003000000}">
      <text>
        <r>
          <rPr>
            <b/>
            <i/>
            <sz val="10"/>
            <color indexed="10"/>
            <rFont val="Baskerville Old Face"/>
            <family val="1"/>
          </rPr>
          <t>Prix U TTC</t>
        </r>
        <r>
          <rPr>
            <i/>
            <sz val="10"/>
            <color indexed="8"/>
            <rFont val="Baskerville Old Face"/>
            <family val="1"/>
          </rPr>
          <t xml:space="preserve">
Prix Unitaire Toutes Taxes Comprise</t>
        </r>
      </text>
    </comment>
    <comment ref="L13" authorId="0" shapeId="0" xr:uid="{00000000-0006-0000-0300-000004000000}">
      <text>
        <r>
          <rPr>
            <b/>
            <i/>
            <sz val="10"/>
            <color indexed="10"/>
            <rFont val="Baskerville Old Face"/>
            <family val="1"/>
          </rPr>
          <t>V S I HT</t>
        </r>
        <r>
          <rPr>
            <i/>
            <sz val="10"/>
            <color indexed="8"/>
            <rFont val="Baskerville Old Face"/>
            <family val="1"/>
          </rPr>
          <t xml:space="preserve">
Valeur Stock Initial Hors taxe</t>
        </r>
      </text>
    </comment>
    <comment ref="M13" authorId="0" shapeId="0" xr:uid="{00000000-0006-0000-0300-000005000000}">
      <text>
        <r>
          <rPr>
            <b/>
            <i/>
            <sz val="10"/>
            <color indexed="10"/>
            <rFont val="Baskerville Old Face"/>
            <family val="1"/>
          </rPr>
          <t>V S F HT</t>
        </r>
        <r>
          <rPr>
            <i/>
            <sz val="10"/>
            <color indexed="8"/>
            <rFont val="Baskerville Old Face"/>
            <family val="1"/>
          </rPr>
          <t xml:space="preserve">
Valeur Stock Final Hors Taxe</t>
        </r>
      </text>
    </comment>
    <comment ref="N13" authorId="0" shapeId="0" xr:uid="{00000000-0006-0000-0300-000006000000}">
      <text>
        <r>
          <rPr>
            <b/>
            <i/>
            <sz val="10"/>
            <color indexed="10"/>
            <rFont val="Baskerville Old Face"/>
            <family val="1"/>
          </rPr>
          <t>Total V HT</t>
        </r>
        <r>
          <rPr>
            <i/>
            <sz val="10"/>
            <color indexed="8"/>
            <rFont val="Baskerville Old Face"/>
            <family val="1"/>
          </rPr>
          <t xml:space="preserve">
Total Vente Hors Taxe</t>
        </r>
      </text>
    </comment>
    <comment ref="O13" authorId="0" shapeId="0" xr:uid="{00000000-0006-0000-0300-000007000000}">
      <text>
        <r>
          <rPr>
            <b/>
            <i/>
            <sz val="10"/>
            <color indexed="10"/>
            <rFont val="Baskerville Old Face"/>
            <family val="1"/>
          </rPr>
          <t>Total V TTC</t>
        </r>
        <r>
          <rPr>
            <i/>
            <sz val="10"/>
            <color indexed="8"/>
            <rFont val="Baskerville Old Face"/>
            <family val="1"/>
          </rPr>
          <t xml:space="preserve">
Total Vente Toutes Taxes Comprise</t>
        </r>
      </text>
    </comment>
  </commentList>
</comments>
</file>

<file path=xl/sharedStrings.xml><?xml version="1.0" encoding="utf-8"?>
<sst xmlns="http://schemas.openxmlformats.org/spreadsheetml/2006/main" count="295" uniqueCount="124">
  <si>
    <t>Siret :</t>
  </si>
  <si>
    <t>Tel</t>
  </si>
  <si>
    <t>Amazon</t>
  </si>
  <si>
    <t>Ville</t>
  </si>
  <si>
    <t>Mondial Relay</t>
  </si>
  <si>
    <t>Rakuten</t>
  </si>
  <si>
    <t>En compte</t>
  </si>
  <si>
    <t>Société UE</t>
  </si>
  <si>
    <t>CP</t>
  </si>
  <si>
    <t>La poste</t>
  </si>
  <si>
    <t>Cdiscount</t>
  </si>
  <si>
    <t>Carte Bancaire</t>
  </si>
  <si>
    <t>Adresse 2</t>
  </si>
  <si>
    <t>GLS</t>
  </si>
  <si>
    <t>eBay</t>
  </si>
  <si>
    <t>Virement</t>
  </si>
  <si>
    <t>UE</t>
  </si>
  <si>
    <t>Adresse 1</t>
  </si>
  <si>
    <t>Comptoir</t>
  </si>
  <si>
    <t>Site</t>
  </si>
  <si>
    <t>Chèque</t>
  </si>
  <si>
    <t>FR</t>
  </si>
  <si>
    <t>Société :</t>
  </si>
  <si>
    <t>Date</t>
  </si>
  <si>
    <t>FdV</t>
  </si>
  <si>
    <t>Ref</t>
  </si>
  <si>
    <t>Entrée</t>
  </si>
  <si>
    <t>Sortie</t>
  </si>
  <si>
    <t>Destockage</t>
  </si>
  <si>
    <t>Description</t>
  </si>
  <si>
    <t>Entrée Stock</t>
  </si>
  <si>
    <t>REASSORT / DESTOCKAGE</t>
  </si>
  <si>
    <t>Motif</t>
  </si>
  <si>
    <t>Déstockage</t>
  </si>
  <si>
    <t>Nom</t>
  </si>
  <si>
    <t>Prix A HT</t>
  </si>
  <si>
    <t>Prix U HT</t>
  </si>
  <si>
    <t>TVA</t>
  </si>
  <si>
    <t>Prix U TTC</t>
  </si>
  <si>
    <t>Stock I</t>
  </si>
  <si>
    <t>Stock F</t>
  </si>
  <si>
    <t>V S I HT</t>
  </si>
  <si>
    <t>V S F HT</t>
  </si>
  <si>
    <t>Total V HT</t>
  </si>
  <si>
    <t>Total V TTC</t>
  </si>
  <si>
    <t>test</t>
  </si>
  <si>
    <t>DOUDOU MAILEG LAPIN ROSE ANGEL DANS UNE CHAUSSETTE MINI PANTIN</t>
  </si>
  <si>
    <t>Doudou et Compagnie Lapin Celeste Boule DC2399</t>
  </si>
  <si>
    <t>news</t>
  </si>
  <si>
    <t>Doudou et compagnie ours plat arc en ciel nuage de couleur DC1031</t>
  </si>
  <si>
    <t>M47</t>
  </si>
  <si>
    <t>Doudou Kaloo  Perle ours Ourson marionnette bleu</t>
  </si>
  <si>
    <t>VALEUR STOCK</t>
  </si>
  <si>
    <t>Par Ref</t>
  </si>
  <si>
    <t>Stock H.T</t>
  </si>
  <si>
    <t>Stock V H.T</t>
  </si>
  <si>
    <t>Plateforme</t>
  </si>
  <si>
    <t>N° de commande</t>
  </si>
  <si>
    <t>Nom Pdt</t>
  </si>
  <si>
    <t>Quantité</t>
  </si>
  <si>
    <t>Prix total</t>
  </si>
  <si>
    <t>Sock initial</t>
  </si>
  <si>
    <t>Stock restant</t>
  </si>
  <si>
    <t>Total commande</t>
  </si>
  <si>
    <t>TVA Applicable</t>
  </si>
  <si>
    <t>Réduction</t>
  </si>
  <si>
    <t>Frais de Port</t>
  </si>
  <si>
    <t>Transporteur</t>
  </si>
  <si>
    <t>TOTAL TTC PAYE</t>
  </si>
  <si>
    <t>HT</t>
  </si>
  <si>
    <t>Type de règlement</t>
  </si>
  <si>
    <t>LIBELLE</t>
  </si>
  <si>
    <t>QTE</t>
  </si>
  <si>
    <t>PU</t>
  </si>
  <si>
    <t>TOTAL</t>
  </si>
  <si>
    <t>Fdv</t>
  </si>
  <si>
    <t>Règlement</t>
  </si>
  <si>
    <t>TOTAL PAYE</t>
  </si>
  <si>
    <t>Hors UE</t>
  </si>
  <si>
    <t>Pv</t>
  </si>
  <si>
    <t>PA</t>
  </si>
  <si>
    <t>CDiscount</t>
  </si>
  <si>
    <t>31/12/2020</t>
  </si>
  <si>
    <t>CHIFFRES D'AFFAIRES</t>
  </si>
  <si>
    <t>REGLEMENT</t>
  </si>
  <si>
    <t>TRANSPORTEURS</t>
  </si>
  <si>
    <t>TOTAL CA</t>
  </si>
  <si>
    <t>TOTAL Rgt</t>
  </si>
  <si>
    <t>TOTAL Tps</t>
  </si>
  <si>
    <t>Marge réelle</t>
  </si>
  <si>
    <t>IDENTITE SOCIETE</t>
  </si>
  <si>
    <t>TVA APPLICABLE</t>
  </si>
  <si>
    <t>Moyen de Paiement</t>
  </si>
  <si>
    <t>Site de vente</t>
  </si>
  <si>
    <t>zz</t>
  </si>
  <si>
    <t>abc</t>
  </si>
  <si>
    <t>Taux</t>
  </si>
  <si>
    <t>Pays</t>
  </si>
  <si>
    <t>TVA MONTANT</t>
  </si>
  <si>
    <t>Qté</t>
  </si>
  <si>
    <t>France</t>
  </si>
  <si>
    <t>CALINDOUDOU</t>
  </si>
  <si>
    <t>20 Hameau de Peyret</t>
  </si>
  <si>
    <t xml:space="preserve"> </t>
  </si>
  <si>
    <t>CALMONT</t>
  </si>
  <si>
    <t>88261147800018</t>
  </si>
  <si>
    <t>TOTAL EUR</t>
  </si>
  <si>
    <t>Total Commandé</t>
  </si>
  <si>
    <t xml:space="preserve">N'hésitez pas à nous laisser une évaluation </t>
  </si>
  <si>
    <t>sur google avis, ou notre site</t>
  </si>
  <si>
    <t>Merci pour votre achat :)</t>
  </si>
  <si>
    <t>TEST</t>
  </si>
  <si>
    <t>essai3</t>
  </si>
  <si>
    <t>Fiche de Vente (Duplicata)</t>
  </si>
  <si>
    <t>2021-1</t>
  </si>
  <si>
    <t>EAN</t>
  </si>
  <si>
    <t>Nom(2)</t>
  </si>
  <si>
    <t>site</t>
  </si>
  <si>
    <t>Plateforme : site</t>
  </si>
  <si>
    <t>comptoir</t>
  </si>
  <si>
    <t>N° de commande : comptoir</t>
  </si>
  <si>
    <t>Dont TVA</t>
  </si>
  <si>
    <t>jam</t>
  </si>
  <si>
    <t>Pays : jam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</si>
</sst>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4" formatCode="_-* #,##0.00\ &quot;€&quot;_-;\-* #,##0.00\ &quot;€&quot;_-;_-* &quot;-&quot;??\ &quot;€&quot;_-;_-@_-"/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_-* #,##0.00\ [$€-40C]_-;\-* #,##0.00\ [$€-40C]_-;_-* &quot;-&quot;??\ [$€-40C]_-;_-@_-"/>
    <numFmt numFmtId="168" formatCode="#,###;\-#,###;;@"/>
    <numFmt numFmtId="169" formatCode="_-* #,##0\ _€_-;\-* #,##0\ _€_-;_-* &quot;-&quot;??\ _€_-;_-@_-"/>
    <numFmt numFmtId="170" formatCode="0;\-0;;@"/>
    <numFmt numFmtId="171" formatCode="0.00&quot; Eur&quot;;\-0.00&quot; Eur&quot;;;@"/>
    <numFmt numFmtId="172" formatCode="0&quot; articles&quot;"/>
    <numFmt numFmtId="173" formatCode="_-* #,##0.00,&quot;Eur&quot;;\-* #,##0.00&quot; Eur&quot;_-;;_-@_-"/>
    <numFmt numFmtId="174" formatCode="_-* #,##0.000\ _€_-;\-* #,##0.000\ _€_-;_-* &quot;-&quot;??\ _€_-;_-@_-"/>
    <numFmt numFmtId="175" formatCode="0#&quot; &quot;##&quot; &quot;##&quot; &quot;##&quot; &quot;##"/>
    <numFmt numFmtId="176" formatCode="mmmm\-yy"/>
    <numFmt numFmtId="177" formatCode="_-* #,##0.00;\-* #,##0.00;;_-@_-"/>
    <numFmt numFmtId="178" formatCode="##,##0.00\ &quot;€&quot;;\-##,##0.00&quot; €&quot;;;@"/>
    <numFmt numFmtId="179" formatCode="m/d/yyyy"/>
    <numFmt numFmtId="180" formatCode="_-* #,##0\ _€_-;\(\-* #,##0\)\ _€_-;_-* &quot;-&quot;??\ _€_-;_-@_-"/>
    <numFmt numFmtId="181" formatCode="dd/mm/yyyy\ hh:mm:ss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color indexed="10"/>
      <name val="Baskerville Old Face"/>
      <family val="1"/>
    </font>
    <font>
      <i/>
      <sz val="10"/>
      <color indexed="8"/>
      <name val="Baskerville Old Face"/>
      <family val="1"/>
    </font>
    <font>
      <sz val="10"/>
      <name val="Arial"/>
      <family val="2"/>
    </font>
    <font>
      <sz val="9"/>
      <color theme="0"/>
      <name val="Calibri"/>
      <family val="2"/>
      <scheme val="minor"/>
    </font>
    <font>
      <b/>
      <sz val="11"/>
      <color theme="0"/>
      <name val="Baskerville Old Face"/>
      <family val="1"/>
    </font>
    <font>
      <sz val="12"/>
      <color theme="1"/>
      <name val="Calibri"/>
      <family val="2"/>
      <scheme val="minor"/>
    </font>
    <font>
      <sz val="11"/>
      <color theme="0"/>
      <name val="Baskerville Old Face"/>
      <family val="1"/>
    </font>
    <font>
      <b/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Baskerville Old Face"/>
      <family val="1"/>
    </font>
    <font>
      <b/>
      <sz val="11"/>
      <color theme="1"/>
      <name val="Calibri Light"/>
      <family val="2"/>
      <scheme val="maj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7"/>
      <color theme="1"/>
      <name val="Arial"/>
      <family val="2"/>
    </font>
    <font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5"/>
      <color rgb="FF003366"/>
      <name val="Calibri"/>
      <family val="2"/>
    </font>
    <font>
      <sz val="12"/>
      <color theme="0"/>
      <name val="Baskerville Old Face"/>
      <family val="1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Baskerville Old Face"/>
      <family val="1"/>
    </font>
    <font>
      <sz val="11"/>
      <color theme="3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auto="1"/>
      </right>
      <top/>
      <bottom style="dotted">
        <color indexed="64"/>
      </bottom>
      <diagonal/>
    </border>
    <border>
      <left style="thin">
        <color auto="1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auto="1"/>
      </right>
      <top style="dotted">
        <color indexed="64"/>
      </top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thick">
        <color auto="1"/>
      </top>
      <bottom style="dotted">
        <color indexed="64"/>
      </bottom>
      <diagonal/>
    </border>
    <border>
      <left/>
      <right/>
      <top style="thick">
        <color auto="1"/>
      </top>
      <bottom style="dotted">
        <color indexed="64"/>
      </bottom>
      <diagonal/>
    </border>
    <border>
      <left/>
      <right style="thin">
        <color indexed="64"/>
      </right>
      <top style="thick">
        <color auto="1"/>
      </top>
      <bottom style="dotted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9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3">
    <xf numFmtId="0" fontId="0" fillId="0" borderId="0" xfId="0"/>
    <xf numFmtId="0" fontId="0" fillId="0" borderId="36" xfId="0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2" borderId="0" xfId="0" applyFill="1"/>
    <xf numFmtId="0" fontId="3" fillId="2" borderId="0" xfId="0" applyFont="1" applyFill="1"/>
    <xf numFmtId="0" fontId="2" fillId="2" borderId="0" xfId="0" applyFont="1" applyFill="1"/>
    <xf numFmtId="14" fontId="5" fillId="2" borderId="0" xfId="0" applyNumberFormat="1" applyFont="1" applyFill="1" applyAlignment="1">
      <alignment vertical="center"/>
    </xf>
    <xf numFmtId="14" fontId="0" fillId="0" borderId="0" xfId="0" applyNumberFormat="1"/>
    <xf numFmtId="165" fontId="0" fillId="0" borderId="0" xfId="3" applyFont="1"/>
    <xf numFmtId="14" fontId="2" fillId="2" borderId="10" xfId="0" applyNumberFormat="1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10" fillId="2" borderId="0" xfId="0" applyFont="1" applyFill="1"/>
    <xf numFmtId="0" fontId="11" fillId="2" borderId="0" xfId="0" applyFont="1" applyFill="1" applyBorder="1" applyAlignment="1" applyProtection="1">
      <alignment horizontal="left" vertical="center"/>
      <protection hidden="1"/>
    </xf>
    <xf numFmtId="0" fontId="13" fillId="2" borderId="0" xfId="0" applyFont="1" applyFill="1" applyBorder="1" applyAlignment="1" applyProtection="1">
      <alignment horizontal="left" vertical="center"/>
      <protection hidden="1"/>
    </xf>
    <xf numFmtId="167" fontId="3" fillId="2" borderId="0" xfId="0" applyNumberFormat="1" applyFont="1" applyFill="1" applyAlignment="1">
      <alignment horizontal="left"/>
    </xf>
    <xf numFmtId="0" fontId="12" fillId="2" borderId="0" xfId="0" applyFont="1" applyFill="1"/>
    <xf numFmtId="167" fontId="0" fillId="2" borderId="0" xfId="0" applyNumberFormat="1" applyFont="1" applyFill="1" applyAlignment="1">
      <alignment horizontal="left"/>
    </xf>
    <xf numFmtId="167" fontId="0" fillId="2" borderId="0" xfId="2" applyNumberFormat="1" applyFont="1" applyFill="1" applyAlignment="1">
      <alignment horizontal="left"/>
    </xf>
    <xf numFmtId="0" fontId="0" fillId="2" borderId="0" xfId="0" applyFont="1" applyFill="1" applyAlignment="1">
      <alignment horizontal="left"/>
    </xf>
    <xf numFmtId="167" fontId="2" fillId="2" borderId="0" xfId="0" applyNumberFormat="1" applyFont="1" applyFill="1"/>
    <xf numFmtId="166" fontId="15" fillId="2" borderId="0" xfId="2" applyFont="1" applyFill="1"/>
    <xf numFmtId="166" fontId="3" fillId="2" borderId="0" xfId="0" applyNumberFormat="1" applyFont="1" applyFill="1"/>
    <xf numFmtId="0" fontId="16" fillId="4" borderId="14" xfId="0" applyFont="1" applyFill="1" applyBorder="1" applyAlignment="1" applyProtection="1">
      <protection hidden="1"/>
    </xf>
    <xf numFmtId="0" fontId="16" fillId="4" borderId="0" xfId="0" applyFont="1" applyFill="1" applyBorder="1" applyAlignment="1" applyProtection="1">
      <protection hidden="1"/>
    </xf>
    <xf numFmtId="0" fontId="16" fillId="4" borderId="15" xfId="0" applyFont="1" applyFill="1" applyBorder="1" applyAlignment="1" applyProtection="1">
      <protection hidden="1"/>
    </xf>
    <xf numFmtId="0" fontId="16" fillId="4" borderId="16" xfId="0" applyFont="1" applyFill="1" applyBorder="1" applyAlignment="1" applyProtection="1">
      <protection hidden="1"/>
    </xf>
    <xf numFmtId="0" fontId="16" fillId="4" borderId="17" xfId="0" applyFont="1" applyFill="1" applyBorder="1" applyAlignment="1" applyProtection="1">
      <protection hidden="1"/>
    </xf>
    <xf numFmtId="0" fontId="16" fillId="4" borderId="18" xfId="0" applyFont="1" applyFill="1" applyBorder="1" applyAlignment="1" applyProtection="1">
      <protection hidden="1"/>
    </xf>
    <xf numFmtId="0" fontId="18" fillId="0" borderId="22" xfId="0" applyFont="1" applyBorder="1" applyAlignment="1" applyProtection="1">
      <protection hidden="1"/>
    </xf>
    <xf numFmtId="0" fontId="18" fillId="0" borderId="23" xfId="0" applyFont="1" applyBorder="1" applyAlignment="1" applyProtection="1">
      <protection hidden="1"/>
    </xf>
    <xf numFmtId="0" fontId="18" fillId="0" borderId="24" xfId="0" applyFont="1" applyBorder="1" applyAlignment="1" applyProtection="1">
      <protection hidden="1"/>
    </xf>
    <xf numFmtId="0" fontId="18" fillId="0" borderId="14" xfId="0" applyFont="1" applyBorder="1" applyAlignment="1" applyProtection="1">
      <alignment horizontal="left"/>
      <protection hidden="1"/>
    </xf>
    <xf numFmtId="170" fontId="18" fillId="0" borderId="0" xfId="2" applyNumberFormat="1" applyFont="1" applyBorder="1" applyAlignment="1" applyProtection="1">
      <alignment horizontal="center"/>
      <protection hidden="1"/>
    </xf>
    <xf numFmtId="171" fontId="0" fillId="0" borderId="15" xfId="0" applyNumberFormat="1" applyBorder="1"/>
    <xf numFmtId="0" fontId="18" fillId="0" borderId="14" xfId="0" applyFont="1" applyBorder="1" applyAlignment="1" applyProtection="1">
      <protection hidden="1"/>
    </xf>
    <xf numFmtId="172" fontId="19" fillId="0" borderId="16" xfId="0" applyNumberFormat="1" applyFont="1" applyBorder="1" applyAlignment="1"/>
    <xf numFmtId="172" fontId="19" fillId="0" borderId="17" xfId="0" applyNumberFormat="1" applyFont="1" applyBorder="1" applyAlignment="1"/>
    <xf numFmtId="172" fontId="19" fillId="0" borderId="17" xfId="0" applyNumberFormat="1" applyFont="1" applyBorder="1" applyAlignment="1">
      <alignment horizontal="left"/>
    </xf>
    <xf numFmtId="0" fontId="0" fillId="0" borderId="14" xfId="0" applyBorder="1"/>
    <xf numFmtId="0" fontId="0" fillId="0" borderId="0" xfId="0" applyBorder="1"/>
    <xf numFmtId="0" fontId="0" fillId="0" borderId="26" xfId="0" applyBorder="1"/>
    <xf numFmtId="0" fontId="18" fillId="5" borderId="28" xfId="0" applyFont="1" applyFill="1" applyBorder="1" applyAlignment="1" applyProtection="1">
      <protection hidden="1"/>
    </xf>
    <xf numFmtId="0" fontId="0" fillId="5" borderId="29" xfId="0" applyFill="1" applyBorder="1"/>
    <xf numFmtId="171" fontId="18" fillId="5" borderId="30" xfId="2" applyNumberFormat="1" applyFont="1" applyFill="1" applyBorder="1" applyAlignment="1" applyProtection="1">
      <alignment horizontal="right"/>
      <protection hidden="1"/>
    </xf>
    <xf numFmtId="173" fontId="20" fillId="0" borderId="14" xfId="2" applyNumberFormat="1" applyFont="1" applyBorder="1" applyAlignment="1" applyProtection="1">
      <protection hidden="1"/>
    </xf>
    <xf numFmtId="173" fontId="20" fillId="0" borderId="0" xfId="2" applyNumberFormat="1" applyFont="1" applyBorder="1" applyAlignment="1" applyProtection="1">
      <protection hidden="1"/>
    </xf>
    <xf numFmtId="173" fontId="20" fillId="0" borderId="0" xfId="2" applyNumberFormat="1" applyFont="1" applyBorder="1" applyAlignment="1" applyProtection="1">
      <alignment horizontal="center"/>
      <protection hidden="1"/>
    </xf>
    <xf numFmtId="171" fontId="20" fillId="0" borderId="15" xfId="2" applyNumberFormat="1" applyFont="1" applyBorder="1" applyAlignment="1" applyProtection="1">
      <alignment horizontal="right"/>
      <protection hidden="1"/>
    </xf>
    <xf numFmtId="173" fontId="20" fillId="0" borderId="14" xfId="2" applyNumberFormat="1" applyFont="1" applyBorder="1" applyAlignment="1" applyProtection="1">
      <alignment horizontal="left"/>
      <protection hidden="1"/>
    </xf>
    <xf numFmtId="171" fontId="20" fillId="0" borderId="0" xfId="2" applyNumberFormat="1" applyFont="1" applyBorder="1" applyAlignment="1" applyProtection="1">
      <alignment horizontal="right"/>
      <protection hidden="1"/>
    </xf>
    <xf numFmtId="0" fontId="21" fillId="0" borderId="0" xfId="0" applyFont="1" applyBorder="1"/>
    <xf numFmtId="173" fontId="20" fillId="0" borderId="15" xfId="2" applyNumberFormat="1" applyFont="1" applyBorder="1" applyAlignment="1" applyProtection="1">
      <alignment horizontal="left"/>
      <protection hidden="1"/>
    </xf>
    <xf numFmtId="0" fontId="22" fillId="0" borderId="0" xfId="0" applyFont="1"/>
    <xf numFmtId="0" fontId="6" fillId="0" borderId="7" xfId="0" applyFont="1" applyFill="1" applyBorder="1" applyProtection="1">
      <protection locked="0"/>
    </xf>
    <xf numFmtId="0" fontId="2" fillId="2" borderId="33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167" fontId="2" fillId="2" borderId="10" xfId="0" applyNumberFormat="1" applyFont="1" applyFill="1" applyBorder="1" applyAlignment="1" applyProtection="1">
      <alignment horizontal="center" vertical="center"/>
      <protection locked="0"/>
    </xf>
    <xf numFmtId="167" fontId="2" fillId="2" borderId="31" xfId="0" applyNumberFormat="1" applyFont="1" applyFill="1" applyBorder="1" applyAlignment="1" applyProtection="1">
      <alignment horizontal="center" vertical="center"/>
      <protection locked="0"/>
    </xf>
    <xf numFmtId="0" fontId="0" fillId="0" borderId="0" xfId="1" applyNumberFormat="1" applyFont="1" applyFill="1" applyBorder="1" applyAlignment="1" applyProtection="1">
      <alignment horizontal="left" vertical="center"/>
      <protection locked="0"/>
    </xf>
    <xf numFmtId="9" fontId="0" fillId="0" borderId="0" xfId="0" applyNumberFormat="1" applyBorder="1" applyProtection="1">
      <protection locked="0"/>
    </xf>
    <xf numFmtId="165" fontId="0" fillId="0" borderId="0" xfId="3" applyFont="1" applyBorder="1" applyProtection="1">
      <protection locked="0"/>
    </xf>
    <xf numFmtId="167" fontId="0" fillId="0" borderId="0" xfId="2" applyNumberFormat="1" applyFont="1" applyBorder="1" applyProtection="1">
      <protection locked="0"/>
    </xf>
    <xf numFmtId="0" fontId="23" fillId="0" borderId="7" xfId="0" applyFont="1" applyFill="1" applyBorder="1" applyProtection="1">
      <protection locked="0"/>
    </xf>
    <xf numFmtId="14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4" fontId="3" fillId="0" borderId="0" xfId="0" applyNumberFormat="1" applyFont="1"/>
    <xf numFmtId="0" fontId="3" fillId="0" borderId="0" xfId="0" applyFont="1"/>
    <xf numFmtId="169" fontId="0" fillId="0" borderId="0" xfId="2" applyNumberFormat="1" applyFont="1" applyBorder="1" applyProtection="1">
      <protection locked="0"/>
    </xf>
    <xf numFmtId="174" fontId="0" fillId="0" borderId="0" xfId="2" applyNumberFormat="1" applyFont="1" applyFill="1" applyBorder="1" applyAlignment="1" applyProtection="1">
      <alignment horizontal="right" vertical="center"/>
      <protection locked="0"/>
    </xf>
    <xf numFmtId="0" fontId="2" fillId="2" borderId="10" xfId="0" applyFont="1" applyFill="1" applyBorder="1" applyAlignment="1">
      <alignment horizontal="center" vertical="center"/>
    </xf>
    <xf numFmtId="167" fontId="2" fillId="2" borderId="10" xfId="0" applyNumberFormat="1" applyFont="1" applyFill="1" applyBorder="1" applyAlignment="1">
      <alignment horizontal="center" vertical="center"/>
    </xf>
    <xf numFmtId="167" fontId="3" fillId="2" borderId="0" xfId="0" applyNumberFormat="1" applyFont="1" applyFill="1" applyAlignment="1">
      <alignment horizontal="left" vertical="center"/>
    </xf>
    <xf numFmtId="0" fontId="12" fillId="2" borderId="0" xfId="0" applyFont="1" applyFill="1" applyAlignment="1">
      <alignment vertical="center"/>
    </xf>
    <xf numFmtId="167" fontId="0" fillId="2" borderId="0" xfId="0" applyNumberFormat="1" applyFont="1" applyFill="1" applyAlignment="1">
      <alignment vertical="center"/>
    </xf>
    <xf numFmtId="167" fontId="0" fillId="2" borderId="0" xfId="2" applyNumberFormat="1" applyFont="1" applyFill="1" applyAlignment="1">
      <alignment vertical="center"/>
    </xf>
    <xf numFmtId="0" fontId="14" fillId="2" borderId="0" xfId="0" applyFont="1" applyFill="1" applyAlignment="1">
      <alignment vertical="center"/>
    </xf>
    <xf numFmtId="167" fontId="2" fillId="2" borderId="0" xfId="0" applyNumberFormat="1" applyFont="1" applyFill="1" applyAlignment="1">
      <alignment vertical="center"/>
    </xf>
    <xf numFmtId="0" fontId="15" fillId="2" borderId="0" xfId="0" applyFont="1" applyFill="1" applyAlignment="1">
      <alignment vertical="center"/>
    </xf>
    <xf numFmtId="166" fontId="15" fillId="2" borderId="0" xfId="2" applyFont="1" applyFill="1" applyAlignment="1">
      <alignment vertical="center"/>
    </xf>
    <xf numFmtId="166" fontId="3" fillId="2" borderId="0" xfId="0" applyNumberFormat="1" applyFont="1" applyFill="1" applyAlignment="1">
      <alignment vertical="center"/>
    </xf>
    <xf numFmtId="14" fontId="16" fillId="0" borderId="0" xfId="0" applyNumberFormat="1" applyFont="1" applyBorder="1" applyAlignment="1" applyProtection="1">
      <protection hidden="1"/>
    </xf>
    <xf numFmtId="14" fontId="16" fillId="0" borderId="15" xfId="0" applyNumberFormat="1" applyFont="1" applyBorder="1" applyAlignment="1" applyProtection="1">
      <protection hidden="1"/>
    </xf>
    <xf numFmtId="165" fontId="6" fillId="0" borderId="0" xfId="3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7" fontId="6" fillId="0" borderId="0" xfId="0" applyNumberFormat="1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2" fontId="0" fillId="0" borderId="0" xfId="0" applyNumberFormat="1"/>
    <xf numFmtId="9" fontId="0" fillId="0" borderId="0" xfId="0" applyNumberFormat="1"/>
    <xf numFmtId="164" fontId="18" fillId="0" borderId="0" xfId="2" applyNumberFormat="1" applyFont="1" applyBorder="1" applyAlignment="1" applyProtection="1">
      <alignment horizontal="left"/>
      <protection hidden="1"/>
    </xf>
    <xf numFmtId="169" fontId="2" fillId="2" borderId="10" xfId="2" applyNumberFormat="1" applyFont="1" applyFill="1" applyBorder="1" applyAlignment="1">
      <alignment horizontal="center" vertical="center"/>
    </xf>
    <xf numFmtId="169" fontId="6" fillId="0" borderId="0" xfId="2" applyNumberFormat="1" applyFont="1" applyFill="1" applyBorder="1" applyAlignment="1">
      <alignment horizontal="center" vertical="center"/>
    </xf>
    <xf numFmtId="169" fontId="0" fillId="0" borderId="0" xfId="2" applyNumberFormat="1" applyFont="1"/>
    <xf numFmtId="169" fontId="2" fillId="2" borderId="10" xfId="0" applyNumberFormat="1" applyFont="1" applyFill="1" applyBorder="1" applyAlignment="1">
      <alignment horizontal="center" vertical="center"/>
    </xf>
    <xf numFmtId="169" fontId="6" fillId="0" borderId="0" xfId="0" applyNumberFormat="1" applyFont="1" applyFill="1" applyBorder="1" applyAlignment="1">
      <alignment horizontal="center" vertical="center"/>
    </xf>
    <xf numFmtId="169" fontId="0" fillId="0" borderId="0" xfId="0" applyNumberFormat="1"/>
    <xf numFmtId="175" fontId="0" fillId="0" borderId="3" xfId="0" quotePrefix="1" applyNumberFormat="1" applyBorder="1"/>
    <xf numFmtId="49" fontId="0" fillId="0" borderId="1" xfId="0" applyNumberFormat="1" applyBorder="1" applyAlignment="1">
      <alignment wrapText="1"/>
    </xf>
    <xf numFmtId="0" fontId="25" fillId="2" borderId="0" xfId="0" applyFont="1" applyFill="1" applyBorder="1" applyAlignment="1" applyProtection="1">
      <alignment horizontal="center" vertical="center"/>
      <protection hidden="1"/>
    </xf>
    <xf numFmtId="0" fontId="12" fillId="0" borderId="0" xfId="0" applyFont="1" applyProtection="1">
      <protection locked="0"/>
    </xf>
    <xf numFmtId="0" fontId="12" fillId="4" borderId="0" xfId="0" applyFont="1" applyFill="1" applyAlignment="1" applyProtection="1">
      <alignment horizontal="center" vertical="center"/>
      <protection locked="0"/>
    </xf>
    <xf numFmtId="167" fontId="0" fillId="4" borderId="0" xfId="0" applyNumberFormat="1" applyFont="1" applyFill="1" applyAlignment="1" applyProtection="1">
      <alignment vertical="center"/>
      <protection locked="0"/>
    </xf>
    <xf numFmtId="167" fontId="0" fillId="4" borderId="0" xfId="2" applyNumberFormat="1" applyFont="1" applyFill="1" applyAlignment="1" applyProtection="1">
      <alignment vertical="center"/>
      <protection locked="0"/>
    </xf>
    <xf numFmtId="0" fontId="0" fillId="4" borderId="0" xfId="0" applyFont="1" applyFill="1" applyAlignment="1" applyProtection="1">
      <alignment horizontal="center" vertical="center"/>
      <protection locked="0"/>
    </xf>
    <xf numFmtId="169" fontId="2" fillId="2" borderId="10" xfId="2" applyNumberFormat="1" applyFont="1" applyFill="1" applyBorder="1" applyAlignment="1">
      <alignment horizontal="center"/>
    </xf>
    <xf numFmtId="169" fontId="6" fillId="0" borderId="0" xfId="2" applyNumberFormat="1" applyFont="1" applyFill="1" applyBorder="1" applyAlignment="1">
      <alignment horizontal="center"/>
    </xf>
    <xf numFmtId="0" fontId="19" fillId="2" borderId="0" xfId="0" applyFont="1" applyFill="1"/>
    <xf numFmtId="166" fontId="26" fillId="2" borderId="0" xfId="2" applyFont="1" applyFill="1" applyAlignment="1">
      <alignment horizontal="left"/>
    </xf>
    <xf numFmtId="166" fontId="19" fillId="2" borderId="0" xfId="2" applyFont="1" applyFill="1" applyAlignment="1">
      <alignment horizontal="left"/>
    </xf>
    <xf numFmtId="168" fontId="28" fillId="2" borderId="0" xfId="2" applyNumberFormat="1" applyFont="1" applyFill="1" applyBorder="1" applyProtection="1">
      <protection hidden="1"/>
    </xf>
    <xf numFmtId="167" fontId="28" fillId="2" borderId="0" xfId="0" applyNumberFormat="1" applyFont="1" applyFill="1" applyBorder="1" applyProtection="1">
      <protection hidden="1"/>
    </xf>
    <xf numFmtId="9" fontId="28" fillId="2" borderId="0" xfId="4" applyFont="1" applyFill="1" applyBorder="1" applyProtection="1">
      <protection hidden="1"/>
    </xf>
    <xf numFmtId="165" fontId="27" fillId="0" borderId="0" xfId="3" applyFont="1"/>
    <xf numFmtId="177" fontId="0" fillId="3" borderId="34" xfId="3" applyNumberFormat="1" applyFont="1" applyFill="1" applyBorder="1"/>
    <xf numFmtId="177" fontId="0" fillId="0" borderId="34" xfId="3" applyNumberFormat="1" applyFont="1" applyBorder="1"/>
    <xf numFmtId="177" fontId="0" fillId="0" borderId="0" xfId="0" applyNumberFormat="1"/>
    <xf numFmtId="0" fontId="30" fillId="2" borderId="0" xfId="0" applyFont="1" applyFill="1" applyAlignment="1">
      <alignment horizontal="center" vertical="center"/>
    </xf>
    <xf numFmtId="0" fontId="30" fillId="2" borderId="0" xfId="0" applyFont="1" applyFill="1" applyAlignment="1">
      <alignment horizont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/>
    </xf>
    <xf numFmtId="177" fontId="0" fillId="0" borderId="0" xfId="3" applyNumberFormat="1" applyFont="1" applyBorder="1"/>
    <xf numFmtId="14" fontId="29" fillId="2" borderId="0" xfId="0" applyNumberFormat="1" applyFont="1" applyFill="1" applyBorder="1"/>
    <xf numFmtId="0" fontId="0" fillId="2" borderId="0" xfId="0" applyFill="1" applyBorder="1"/>
    <xf numFmtId="0" fontId="2" fillId="2" borderId="0" xfId="0" applyFont="1" applyFill="1" applyBorder="1"/>
    <xf numFmtId="177" fontId="0" fillId="0" borderId="35" xfId="3" applyNumberFormat="1" applyFont="1" applyBorder="1"/>
    <xf numFmtId="176" fontId="19" fillId="0" borderId="0" xfId="0" applyNumberFormat="1" applyFont="1" applyBorder="1"/>
    <xf numFmtId="0" fontId="25" fillId="2" borderId="4" xfId="0" applyFont="1" applyFill="1" applyBorder="1" applyAlignment="1" applyProtection="1">
      <alignment horizontal="center" vertical="center"/>
      <protection hidden="1"/>
    </xf>
    <xf numFmtId="0" fontId="19" fillId="3" borderId="0" xfId="1" applyNumberFormat="1" applyFont="1" applyFill="1" applyBorder="1" applyAlignment="1">
      <alignment horizontal="left" vertical="center"/>
    </xf>
    <xf numFmtId="0" fontId="12" fillId="3" borderId="0" xfId="1" applyNumberFormat="1" applyFont="1" applyFill="1" applyBorder="1" applyAlignment="1">
      <alignment horizontal="center" vertical="center"/>
    </xf>
    <xf numFmtId="0" fontId="19" fillId="0" borderId="0" xfId="1" applyNumberFormat="1" applyFont="1" applyBorder="1" applyAlignment="1">
      <alignment horizontal="left" vertical="center"/>
    </xf>
    <xf numFmtId="0" fontId="12" fillId="0" borderId="0" xfId="1" applyNumberFormat="1" applyFont="1" applyBorder="1" applyAlignment="1">
      <alignment horizontal="center" vertical="center"/>
    </xf>
    <xf numFmtId="0" fontId="12" fillId="3" borderId="0" xfId="1" applyNumberFormat="1" applyFont="1" applyFill="1" applyBorder="1" applyAlignment="1" applyProtection="1">
      <alignment vertical="center"/>
      <protection locked="0"/>
    </xf>
    <xf numFmtId="0" fontId="12" fillId="0" borderId="0" xfId="1" applyNumberFormat="1" applyFont="1" applyBorder="1" applyAlignment="1" applyProtection="1">
      <alignment vertical="center"/>
      <protection locked="0"/>
    </xf>
    <xf numFmtId="169" fontId="6" fillId="0" borderId="0" xfId="2" applyNumberFormat="1" applyFont="1" applyFill="1"/>
    <xf numFmtId="0" fontId="6" fillId="0" borderId="0" xfId="0" applyFont="1" applyFill="1"/>
    <xf numFmtId="0" fontId="0" fillId="0" borderId="0" xfId="0" applyBorder="1" applyAlignment="1"/>
    <xf numFmtId="9" fontId="0" fillId="0" borderId="0" xfId="4" applyFont="1" applyBorder="1"/>
    <xf numFmtId="0" fontId="0" fillId="0" borderId="0" xfId="0" applyFill="1" applyBorder="1"/>
    <xf numFmtId="0" fontId="3" fillId="2" borderId="0" xfId="0" applyFont="1" applyFill="1" applyBorder="1" applyAlignment="1">
      <alignment horizontal="center"/>
    </xf>
    <xf numFmtId="167" fontId="3" fillId="2" borderId="0" xfId="3" applyNumberFormat="1" applyFont="1" applyFill="1" applyBorder="1"/>
    <xf numFmtId="0" fontId="2" fillId="2" borderId="0" xfId="0" applyFont="1" applyFill="1" applyAlignment="1">
      <alignment horizontal="right"/>
    </xf>
    <xf numFmtId="0" fontId="0" fillId="0" borderId="7" xfId="0" applyFill="1" applyBorder="1" applyAlignment="1" applyProtection="1">
      <alignment horizontal="center"/>
      <protection locked="0"/>
    </xf>
    <xf numFmtId="178" fontId="12" fillId="3" borderId="0" xfId="3" applyNumberFormat="1" applyFont="1" applyFill="1" applyBorder="1" applyAlignment="1">
      <alignment horizontal="left" vertical="center"/>
    </xf>
    <xf numFmtId="178" fontId="12" fillId="0" borderId="0" xfId="3" applyNumberFormat="1" applyFont="1" applyBorder="1" applyAlignment="1">
      <alignment horizontal="left" vertical="center"/>
    </xf>
    <xf numFmtId="14" fontId="2" fillId="2" borderId="10" xfId="0" applyNumberFormat="1" applyFont="1" applyFill="1" applyBorder="1" applyAlignment="1">
      <alignment horizontal="center" vertical="center"/>
    </xf>
    <xf numFmtId="177" fontId="27" fillId="0" borderId="0" xfId="0" applyNumberFormat="1" applyFont="1"/>
    <xf numFmtId="0" fontId="0" fillId="0" borderId="0" xfId="0" applyProtection="1">
      <protection locked="0"/>
    </xf>
    <xf numFmtId="0" fontId="11" fillId="2" borderId="0" xfId="0" applyFont="1" applyFill="1" applyBorder="1" applyAlignment="1" applyProtection="1">
      <alignment horizontal="left" vertical="center"/>
      <protection hidden="1"/>
    </xf>
    <xf numFmtId="167" fontId="0" fillId="0" borderId="0" xfId="3" applyNumberFormat="1" applyFont="1" applyBorder="1" applyProtection="1">
      <protection locked="0"/>
    </xf>
    <xf numFmtId="179" fontId="6" fillId="0" borderId="0" xfId="0" applyNumberFormat="1" applyFont="1" applyFill="1"/>
    <xf numFmtId="180" fontId="0" fillId="0" borderId="0" xfId="2" applyNumberFormat="1" applyFont="1" applyBorder="1" applyProtection="1">
      <protection locked="0"/>
    </xf>
    <xf numFmtId="0" fontId="13" fillId="2" borderId="0" xfId="0" applyFont="1" applyFill="1" applyBorder="1" applyAlignment="1" applyProtection="1">
      <alignment horizontal="left" vertical="center"/>
      <protection locked="0"/>
    </xf>
    <xf numFmtId="166" fontId="12" fillId="3" borderId="0" xfId="2" applyFont="1" applyFill="1" applyBorder="1" applyAlignment="1" applyProtection="1">
      <alignment horizontal="center" vertical="center"/>
      <protection locked="0"/>
    </xf>
    <xf numFmtId="166" fontId="12" fillId="0" borderId="0" xfId="2" applyFont="1" applyBorder="1" applyAlignment="1" applyProtection="1">
      <alignment horizontal="center" vertical="center"/>
      <protection locked="0"/>
    </xf>
    <xf numFmtId="44" fontId="0" fillId="0" borderId="0" xfId="0" applyNumberFormat="1"/>
    <xf numFmtId="0" fontId="0" fillId="0" borderId="18" xfId="0" applyBorder="1"/>
    <xf numFmtId="173" fontId="18" fillId="0" borderId="14" xfId="2" applyNumberFormat="1" applyFont="1" applyBorder="1" applyAlignment="1" applyProtection="1">
      <protection hidden="1"/>
    </xf>
    <xf numFmtId="22" fontId="19" fillId="2" borderId="0" xfId="0" applyNumberFormat="1" applyFont="1" applyFill="1"/>
    <xf numFmtId="173" fontId="31" fillId="0" borderId="14" xfId="2" applyNumberFormat="1" applyFont="1" applyBorder="1" applyAlignment="1" applyProtection="1">
      <protection hidden="1"/>
    </xf>
    <xf numFmtId="171" fontId="32" fillId="0" borderId="15" xfId="2" applyNumberFormat="1" applyFont="1" applyBorder="1" applyAlignment="1" applyProtection="1">
      <alignment horizontal="right"/>
      <protection hidden="1"/>
    </xf>
    <xf numFmtId="171" fontId="33" fillId="0" borderId="27" xfId="2" applyNumberFormat="1" applyFont="1" applyBorder="1" applyAlignment="1" applyProtection="1">
      <alignment horizontal="right"/>
      <protection hidden="1"/>
    </xf>
    <xf numFmtId="0" fontId="33" fillId="0" borderId="25" xfId="0" applyFont="1" applyBorder="1" applyAlignment="1" applyProtection="1">
      <protection hidden="1"/>
    </xf>
    <xf numFmtId="1" fontId="0" fillId="3" borderId="0" xfId="1" applyNumberFormat="1" applyFont="1" applyFill="1" applyBorder="1" applyAlignment="1" applyProtection="1">
      <alignment horizontal="right" vertical="center"/>
      <protection locked="0"/>
    </xf>
    <xf numFmtId="1" fontId="0" fillId="0" borderId="0" xfId="1" applyNumberFormat="1" applyFont="1" applyBorder="1" applyAlignment="1" applyProtection="1">
      <alignment horizontal="right" vertical="center"/>
      <protection locked="0"/>
    </xf>
    <xf numFmtId="1" fontId="0" fillId="0" borderId="0" xfId="3" applyNumberFormat="1" applyFont="1" applyBorder="1" applyProtection="1">
      <protection locked="0"/>
    </xf>
    <xf numFmtId="1" fontId="0" fillId="0" borderId="0" xfId="0" applyNumberFormat="1"/>
    <xf numFmtId="1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/>
      <protection locked="0"/>
    </xf>
    <xf numFmtId="0" fontId="0" fillId="0" borderId="0" xfId="0" applyFont="1" applyAlignment="1" applyProtection="1">
      <alignment horizontal="left"/>
      <protection locked="0"/>
    </xf>
    <xf numFmtId="0" fontId="19" fillId="0" borderId="31" xfId="0" applyFont="1" applyBorder="1" applyAlignment="1">
      <alignment horizontal="center"/>
    </xf>
    <xf numFmtId="0" fontId="19" fillId="0" borderId="32" xfId="0" applyFont="1" applyBorder="1" applyAlignment="1">
      <alignment horizontal="center"/>
    </xf>
    <xf numFmtId="0" fontId="19" fillId="0" borderId="33" xfId="0" applyFont="1" applyBorder="1" applyAlignment="1">
      <alignment horizontal="center"/>
    </xf>
    <xf numFmtId="0" fontId="17" fillId="0" borderId="19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0" fontId="17" fillId="0" borderId="21" xfId="0" applyFont="1" applyBorder="1" applyAlignment="1">
      <alignment horizontal="center"/>
    </xf>
    <xf numFmtId="0" fontId="16" fillId="4" borderId="14" xfId="0" applyFont="1" applyFill="1" applyBorder="1" applyAlignment="1" applyProtection="1">
      <alignment horizontal="center"/>
      <protection hidden="1"/>
    </xf>
    <xf numFmtId="0" fontId="16" fillId="4" borderId="0" xfId="0" applyFont="1" applyFill="1" applyBorder="1" applyAlignment="1" applyProtection="1">
      <alignment horizontal="center"/>
      <protection hidden="1"/>
    </xf>
    <xf numFmtId="0" fontId="16" fillId="4" borderId="15" xfId="0" applyFont="1" applyFill="1" applyBorder="1" applyAlignment="1" applyProtection="1">
      <alignment horizontal="center"/>
      <protection hidden="1"/>
    </xf>
    <xf numFmtId="0" fontId="16" fillId="5" borderId="14" xfId="0" applyFont="1" applyFill="1" applyBorder="1" applyAlignment="1" applyProtection="1">
      <alignment horizontal="center"/>
      <protection hidden="1"/>
    </xf>
    <xf numFmtId="0" fontId="16" fillId="5" borderId="0" xfId="0" applyFont="1" applyFill="1" applyBorder="1" applyAlignment="1" applyProtection="1">
      <alignment horizontal="center"/>
      <protection hidden="1"/>
    </xf>
    <xf numFmtId="0" fontId="16" fillId="5" borderId="15" xfId="0" applyFont="1" applyFill="1" applyBorder="1" applyAlignment="1" applyProtection="1">
      <alignment horizontal="center"/>
      <protection hidden="1"/>
    </xf>
    <xf numFmtId="181" fontId="16" fillId="0" borderId="14" xfId="0" applyNumberFormat="1" applyFont="1" applyBorder="1" applyAlignment="1" applyProtection="1">
      <alignment horizontal="left"/>
      <protection hidden="1"/>
    </xf>
    <xf numFmtId="181" fontId="16" fillId="0" borderId="0" xfId="0" applyNumberFormat="1" applyFont="1" applyBorder="1" applyAlignment="1" applyProtection="1">
      <alignment horizontal="left"/>
      <protection hidden="1"/>
    </xf>
    <xf numFmtId="0" fontId="16" fillId="5" borderId="12" xfId="0" applyFont="1" applyFill="1" applyBorder="1" applyAlignment="1" applyProtection="1">
      <alignment horizontal="center" vertical="center"/>
      <protection hidden="1"/>
    </xf>
    <xf numFmtId="0" fontId="16" fillId="5" borderId="11" xfId="0" applyFont="1" applyFill="1" applyBorder="1" applyAlignment="1" applyProtection="1">
      <alignment horizontal="center" vertical="center"/>
      <protection hidden="1"/>
    </xf>
    <xf numFmtId="0" fontId="16" fillId="5" borderId="13" xfId="0" applyFont="1" applyFill="1" applyBorder="1" applyAlignment="1" applyProtection="1">
      <alignment horizontal="center" vertical="center"/>
      <protection hidden="1"/>
    </xf>
    <xf numFmtId="0" fontId="16" fillId="5" borderId="14" xfId="0" applyFont="1" applyFill="1" applyBorder="1" applyAlignment="1" applyProtection="1">
      <alignment horizontal="center" vertical="center"/>
      <protection hidden="1"/>
    </xf>
    <xf numFmtId="0" fontId="16" fillId="5" borderId="0" xfId="0" applyFont="1" applyFill="1" applyBorder="1" applyAlignment="1" applyProtection="1">
      <alignment horizontal="center" vertical="center"/>
      <protection hidden="1"/>
    </xf>
    <xf numFmtId="0" fontId="16" fillId="5" borderId="15" xfId="0" applyFont="1" applyFill="1" applyBorder="1" applyAlignment="1" applyProtection="1">
      <alignment horizontal="center" vertical="center"/>
      <protection hidden="1"/>
    </xf>
    <xf numFmtId="175" fontId="16" fillId="5" borderId="16" xfId="0" applyNumberFormat="1" applyFont="1" applyFill="1" applyBorder="1" applyAlignment="1" applyProtection="1">
      <alignment horizontal="center" vertical="center"/>
      <protection hidden="1"/>
    </xf>
    <xf numFmtId="175" fontId="16" fillId="5" borderId="17" xfId="0" applyNumberFormat="1" applyFont="1" applyFill="1" applyBorder="1" applyAlignment="1" applyProtection="1">
      <alignment horizontal="center" vertical="center"/>
      <protection hidden="1"/>
    </xf>
    <xf numFmtId="175" fontId="16" fillId="5" borderId="18" xfId="0" applyNumberFormat="1" applyFont="1" applyFill="1" applyBorder="1" applyAlignment="1" applyProtection="1">
      <alignment horizontal="center" vertical="center"/>
      <protection hidden="1"/>
    </xf>
    <xf numFmtId="0" fontId="6" fillId="0" borderId="8" xfId="0" applyFont="1" applyFill="1" applyBorder="1" applyAlignment="1" applyProtection="1">
      <alignment horizontal="left"/>
      <protection locked="0"/>
    </xf>
    <xf numFmtId="0" fontId="6" fillId="0" borderId="9" xfId="0" applyFont="1" applyFill="1" applyBorder="1" applyAlignment="1" applyProtection="1">
      <alignment horizontal="left"/>
      <protection locked="0"/>
    </xf>
    <xf numFmtId="0" fontId="4" fillId="2" borderId="0" xfId="0" applyFont="1" applyFill="1" applyAlignment="1">
      <alignment horizontal="center" vertical="center"/>
    </xf>
    <xf numFmtId="0" fontId="30" fillId="2" borderId="0" xfId="0" applyFont="1" applyFill="1" applyAlignment="1">
      <alignment horizontal="center" vertical="center"/>
    </xf>
  </cellXfs>
  <cellStyles count="5">
    <cellStyle name="Milliers" xfId="2" builtinId="3"/>
    <cellStyle name="Monétaire" xfId="3" builtinId="4"/>
    <cellStyle name="NiveauLigne_4" xfId="1" builtinId="1" iLevel="3"/>
    <cellStyle name="Normal" xfId="0" builtinId="0"/>
    <cellStyle name="Pourcentage" xfId="4" builtinId="5"/>
  </cellStyles>
  <dxfs count="95">
    <dxf>
      <numFmt numFmtId="177" formatCode="_-* #,##0.00;\-* #,##0.00;;_-@_-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_-* #,##0.00;\-* #,##0.00;;_-@_-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77" formatCode="_-* #,##0.00;\-* #,##0.00;;_-@_-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77" formatCode="_-* #,##0.00;\-* #,##0.00;;_-@_-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77" formatCode="_-* #,##0.00;\-* #,##0.00;;_-@_-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_-* #,##0.00;\-* #,##0.00;;_-@_-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_-* #,##0.00;\-* #,##0.00;;_-@_-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_-* #,##0.00;\-* #,##0.00;;_-@_-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_-* #,##0.00;\-* #,##0.00;;_-@_-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_-* #,##0.00;\-* #,##0.00;;_-@_-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_-* #,##0.00;\-* #,##0.00;;_-@_-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_-* #,##0.00;\-* #,##0.00;;_-@_-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_-* #,##0.00;\-* #,##0.00;;_-@_-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_-* #,##0.00;\-* #,##0.00;;_-@_-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_-* #,##0.00;\-* #,##0.00;;_-@_-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_-* #,##0.00;\-* #,##0.00;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_-* #,##0.00;\-* #,##0.00;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_-* #,##0.00;\-* #,##0.00;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_-* #,##0.00;\-* #,##0.00;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_-* #,##0.00;\-* #,##0.00;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_-* #,##0.00;\-* #,##0.00;;_-@_-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76" formatCode="mmmm\-yy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 patternType="solid">
          <fgColor indexed="64"/>
          <bgColor theme="3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9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9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9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9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9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9" formatCode="m/d/yyyy"/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_(&quot;€&quot;* #,##0.00_);_(&quot;€&quot;* \(#,##0.00\);_(&quot;€&quot;* &quot;-&quot;??_);_(@_)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9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9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5" formatCode="_(&quot;€&quot;* #,##0.00_);_(&quot;€&quot;* \(#,##0.00\);_(&quot;€&quot;* &quot;-&quot;??_);_(@_)"/>
      <protection locked="0" hidden="0"/>
    </dxf>
    <dxf>
      <numFmt numFmtId="1" formatCode="0"/>
      <protection locked="0" hidden="0"/>
    </dxf>
    <dxf>
      <protection locked="0" hidden="0"/>
    </dxf>
    <dxf>
      <protection locked="0" hidden="0"/>
    </dxf>
    <dxf>
      <protection locked="0" hidden="0"/>
    </dxf>
    <dxf>
      <numFmt numFmtId="167" formatCode="_-* #,##0.00\ [$€-40C]_-;\-* #,##0.00\ [$€-40C]_-;_-* &quot;-&quot;??\ [$€-40C]_-;_-@_-"/>
      <protection locked="0" hidden="0"/>
    </dxf>
    <dxf>
      <numFmt numFmtId="180" formatCode="_-* #,##0\ _€_-;\(\-* #,##0\)\ _€_-;_-* &quot;-&quot;??\ _€_-;_-@_-"/>
      <protection locked="0" hidden="0"/>
    </dxf>
    <dxf>
      <numFmt numFmtId="169" formatCode="_-* #,##0\ _€_-;\-* #,##0\ _€_-;_-* &quot;-&quot;??\ _€_-;_-@_-"/>
      <protection locked="0" hidden="0"/>
    </dxf>
    <dxf>
      <numFmt numFmtId="169" formatCode="_-* #,##0\ _€_-;\-* #,##0\ _€_-;_-* &quot;-&quot;??\ _€_-;_-@_-"/>
      <protection locked="0" hidden="0"/>
    </dxf>
    <dxf>
      <numFmt numFmtId="169" formatCode="_-* #,##0\ _€_-;\-* #,##0\ _€_-;_-* &quot;-&quot;??\ _€_-;_-@_-"/>
      <protection locked="0" hidden="0"/>
    </dxf>
    <dxf>
      <numFmt numFmtId="169" formatCode="_-* #,##0\ _€_-;\-* #,##0\ _€_-;_-* &quot;-&quot;??\ _€_-;_-@_-"/>
      <protection locked="0" hidden="0"/>
    </dxf>
    <dxf>
      <numFmt numFmtId="167" formatCode="_-* #,##0.00\ [$€-40C]_-;\-* #,##0.00\ [$€-40C]_-;_-* &quot;-&quot;??\ [$€-40C]_-;_-@_-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4" formatCode="_-* #,##0.000\ _€_-;\-* #,##0.000\ _€_-;_-* &quot;-&quot;??\ _€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4" formatCode="_-* #,##0.000\ _€_-;\-* #,##0.000\ _€_-;_-* &quot;-&quot;??\ _€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protection locked="0" hidden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0" hidden="0"/>
    </dxf>
    <dxf>
      <font>
        <b/>
        <i val="0"/>
        <color rgb="FFFF0000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CA!$G$6:$G$17</c:f>
              <c:numCache>
                <c:formatCode>_-* #\ ##0.00;\-* #\ ##0.00;;_-@_-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39.9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339.14999999999992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E2-4ABE-AB7B-A7AB95EA4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05502936"/>
        <c:axId val="505497688"/>
      </c:barChart>
      <c:catAx>
        <c:axId val="5055029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497688"/>
        <c:crosses val="autoZero"/>
        <c:auto val="1"/>
        <c:lblAlgn val="ctr"/>
        <c:lblOffset val="100"/>
        <c:noMultiLvlLbl val="0"/>
      </c:catAx>
      <c:valAx>
        <c:axId val="505497688"/>
        <c:scaling>
          <c:orientation val="minMax"/>
        </c:scaling>
        <c:delete val="0"/>
        <c:axPos val="l"/>
        <c:numFmt formatCode="_-* #\ ##0.00;\-* #\ ##0.00;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502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306409279485222E-2"/>
          <c:y val="6.0185185185185182E-2"/>
          <c:w val="0.90207571118004193"/>
          <c:h val="0.8416746864975212"/>
        </c:manualLayout>
      </c:layout>
      <c:barChart>
        <c:barDir val="col"/>
        <c:grouping val="stacked"/>
        <c:varyColors val="0"/>
        <c:ser>
          <c:idx val="0"/>
          <c:order val="0"/>
          <c:tx>
            <c:v>Site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CA!$B$6:$B$17</c:f>
              <c:numCache>
                <c:formatCode>_-* #\ ##0.00;\-* #\ ##0.00;;_-@_-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339.14999999999992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E3-4769-A1A0-F67A5050981A}"/>
            </c:ext>
          </c:extLst>
        </c:ser>
        <c:ser>
          <c:idx val="1"/>
          <c:order val="1"/>
          <c:tx>
            <c:v>Amazon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CA!$C$6:$C$17</c:f>
              <c:numCache>
                <c:formatCode>_-* #\ ##0.00;\-* #\ ##0.00;;_-@_-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3E3-4769-A1A0-F67A5050981A}"/>
            </c:ext>
          </c:extLst>
        </c:ser>
        <c:ser>
          <c:idx val="2"/>
          <c:order val="2"/>
          <c:tx>
            <c:v>CDiscount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CA!$D$6:$D$17</c:f>
              <c:numCache>
                <c:formatCode>_-* #\ ##0.00;\-* #\ ##0.00;;_-@_-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3E3-4769-A1A0-F67A5050981A}"/>
            </c:ext>
          </c:extLst>
        </c:ser>
        <c:ser>
          <c:idx val="3"/>
          <c:order val="3"/>
          <c:tx>
            <c:v>Rakuten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CA!$E$6:$E$17</c:f>
              <c:numCache>
                <c:formatCode>_-* #\ ##0.00;\-* #\ ##0.00;;_-@_-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3E3-4769-A1A0-F67A5050981A}"/>
            </c:ext>
          </c:extLst>
        </c:ser>
        <c:ser>
          <c:idx val="4"/>
          <c:order val="4"/>
          <c:tx>
            <c:v>eBay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CA!$F$6:$F$17</c:f>
              <c:numCache>
                <c:formatCode>_-* #\ ##0.00;\-* #\ ##0.00;;_-@_-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39.9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3E3-4769-A1A0-F67A505098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95373264"/>
        <c:axId val="295370968"/>
      </c:barChart>
      <c:catAx>
        <c:axId val="295373264"/>
        <c:scaling>
          <c:orientation val="minMax"/>
        </c:scaling>
        <c:delete val="1"/>
        <c:axPos val="b"/>
        <c:majorTickMark val="none"/>
        <c:minorTickMark val="none"/>
        <c:tickLblPos val="nextTo"/>
        <c:crossAx val="295370968"/>
        <c:crosses val="autoZero"/>
        <c:auto val="1"/>
        <c:lblAlgn val="ctr"/>
        <c:lblOffset val="100"/>
        <c:noMultiLvlLbl val="0"/>
      </c:catAx>
      <c:valAx>
        <c:axId val="295370968"/>
        <c:scaling>
          <c:orientation val="minMax"/>
        </c:scaling>
        <c:delete val="1"/>
        <c:axPos val="l"/>
        <c:numFmt formatCode="_-* #\ ##0.00;\-* #\ ##0.00;;_-@_-" sourceLinked="1"/>
        <c:majorTickMark val="none"/>
        <c:minorTickMark val="none"/>
        <c:tickLblPos val="nextTo"/>
        <c:crossAx val="295373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121920</xdr:colOff>
      <xdr:row>0</xdr:row>
      <xdr:rowOff>45720</xdr:rowOff>
    </xdr:from>
    <xdr:to>
      <xdr:col>18</xdr:col>
      <xdr:colOff>320040</xdr:colOff>
      <xdr:row>28</xdr:row>
      <xdr:rowOff>68580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597140" y="45720"/>
          <a:ext cx="5745480" cy="51587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r>
            <a:rPr lang="fr-FR" sz="1100"/>
            <a:t>- </a:t>
          </a:r>
          <a:r>
            <a:rPr lang="fr-FR" sz="1100" b="1"/>
            <a:t>Facturation</a:t>
          </a:r>
          <a:r>
            <a:rPr lang="fr-FR" sz="1100"/>
            <a:t> : </a:t>
          </a:r>
          <a:br>
            <a:rPr lang="fr-FR" sz="1100"/>
          </a:br>
          <a:r>
            <a:rPr lang="fr-FR" sz="1100"/>
            <a:t>vous saisissez</a:t>
          </a:r>
          <a:r>
            <a:rPr lang="fr-FR" sz="1100" baseline="0"/>
            <a:t> les informations nécessaires</a:t>
          </a:r>
          <a:r>
            <a:rPr lang="fr-FR" sz="1100"/>
            <a:t> (references</a:t>
          </a:r>
          <a:r>
            <a:rPr lang="fr-FR" sz="1100" baseline="0"/>
            <a:t> / quantités / PU TTC / Remises et Cout transports</a:t>
          </a:r>
          <a:br>
            <a:rPr lang="fr-FR" sz="1100" baseline="0"/>
          </a:br>
          <a:r>
            <a:rPr lang="fr-FR" sz="1100" baseline="0"/>
            <a:t>Le reste étant des éléments étant liés à la BDD</a:t>
          </a:r>
        </a:p>
        <a:p>
          <a:pPr algn="l"/>
          <a:r>
            <a:rPr lang="fr-FR" sz="1100" baseline="0"/>
            <a:t>Le maximum est de  10 lignes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- </a:t>
          </a:r>
          <a:r>
            <a:rPr lang="fr-FR" sz="1100" b="1" baseline="0"/>
            <a:t>Ticket</a:t>
          </a:r>
          <a:r>
            <a:rPr lang="fr-FR" sz="1100" baseline="0"/>
            <a:t> :</a:t>
          </a:r>
          <a:br>
            <a:rPr lang="fr-FR" sz="1100" baseline="0"/>
          </a:br>
          <a:r>
            <a:rPr lang="fr-FR" sz="1100" baseline="0"/>
            <a:t>permettra l'édition pour le client (et vous cas échéant) ainsi que son archivage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- </a:t>
          </a:r>
          <a:r>
            <a:rPr lang="fr-FR" sz="1100" b="1" baseline="0"/>
            <a:t>Factures archivées </a:t>
          </a:r>
          <a:r>
            <a:rPr lang="fr-FR" sz="1100" baseline="0"/>
            <a:t>:</a:t>
          </a:r>
        </a:p>
        <a:p>
          <a:pPr algn="l"/>
          <a:r>
            <a:rPr lang="fr-FR" sz="1100" baseline="0"/>
            <a:t>Reprendra vos factures/tickets archivées </a:t>
          </a:r>
        </a:p>
        <a:p>
          <a:pPr algn="l"/>
          <a:r>
            <a:rPr lang="fr-FR" sz="1100" baseline="0"/>
            <a:t>Il sera possible d'éditer un duplicata en double cliquant sur le N° de FDV</a:t>
          </a:r>
        </a:p>
        <a:p>
          <a:pPr algn="l"/>
          <a:endParaRPr lang="fr-FR" sz="1100" baseline="0"/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fr-FR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Etat des stocks 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</a:t>
          </a:r>
          <a:b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Remplissez le tableau de stock juste avec vos références / libellés / PA / PU HT TVA / Stock initial</a:t>
          </a:r>
          <a:endParaRPr lang="fr-FR">
            <a:effectLst/>
          </a:endParaRPr>
        </a:p>
        <a:p>
          <a:pPr algn="l"/>
          <a:r>
            <a:rPr lang="fr-FR" sz="1100"/>
            <a:t>Cette partie s'actualisera automatiquement en fonction de vos entrées déstockages</a:t>
          </a:r>
          <a:r>
            <a:rPr lang="fr-FR" sz="1100" baseline="0"/>
            <a:t> ou ventes (via Facturation)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- </a:t>
          </a:r>
          <a:r>
            <a:rPr lang="fr-FR" sz="1100" b="1" baseline="0"/>
            <a:t>Journal </a:t>
          </a:r>
          <a:r>
            <a:rPr lang="fr-FR" sz="1100" baseline="0"/>
            <a:t>:</a:t>
          </a:r>
        </a:p>
        <a:p>
          <a:pPr algn="l"/>
          <a:r>
            <a:rPr lang="fr-FR" sz="1100" baseline="0"/>
            <a:t>Tout l'historique de ce petit logiciel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- </a:t>
          </a:r>
          <a:r>
            <a:rPr lang="fr-FR" sz="1100" b="1" baseline="0"/>
            <a:t>Analyse et CA </a:t>
          </a:r>
          <a:r>
            <a:rPr lang="fr-FR" sz="1100" baseline="0"/>
            <a:t>:</a:t>
          </a:r>
          <a:br>
            <a:rPr lang="fr-FR" sz="1100" baseline="0"/>
          </a:br>
          <a:r>
            <a:rPr lang="fr-FR" sz="1100" baseline="0"/>
            <a:t>A personnaliser selon vos besoins. Pour l'instant c'est établit en fonction de l'onglet "Reglages" et bien évidemment "Factures archivées"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82296</xdr:colOff>
      <xdr:row>19</xdr:row>
      <xdr:rowOff>126492</xdr:rowOff>
    </xdr:from>
    <xdr:to>
      <xdr:col>8</xdr:col>
      <xdr:colOff>1045464</xdr:colOff>
      <xdr:row>20</xdr:row>
      <xdr:rowOff>195072</xdr:rowOff>
    </xdr:to>
    <xdr:sp macro="[0]!vers_ticke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251448" y="3845052"/>
          <a:ext cx="1054608" cy="2697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Ticket</a:t>
          </a:r>
        </a:p>
      </xdr:txBody>
    </xdr:sp>
    <xdr:clientData/>
  </xdr:twoCellAnchor>
  <xdr:twoCellAnchor editAs="absolute">
    <xdr:from>
      <xdr:col>8</xdr:col>
      <xdr:colOff>1004316</xdr:colOff>
      <xdr:row>19</xdr:row>
      <xdr:rowOff>106680</xdr:rowOff>
    </xdr:from>
    <xdr:to>
      <xdr:col>9</xdr:col>
      <xdr:colOff>806196</xdr:colOff>
      <xdr:row>21</xdr:row>
      <xdr:rowOff>12192</xdr:rowOff>
    </xdr:to>
    <xdr:sp macro="[0]!Reset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7478268" y="3825240"/>
          <a:ext cx="929640" cy="307848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Reset</a:t>
          </a:r>
        </a:p>
      </xdr:txBody>
    </xdr:sp>
    <xdr:clientData/>
  </xdr:twoCellAnchor>
  <xdr:twoCellAnchor>
    <xdr:from>
      <xdr:col>1</xdr:col>
      <xdr:colOff>63500</xdr:colOff>
      <xdr:row>4</xdr:row>
      <xdr:rowOff>50800</xdr:rowOff>
    </xdr:from>
    <xdr:to>
      <xdr:col>1</xdr:col>
      <xdr:colOff>139700</xdr:colOff>
      <xdr:row>4</xdr:row>
      <xdr:rowOff>152400</xdr:rowOff>
    </xdr:to>
    <xdr:sp macro="" textlink="">
      <xdr:nvSpPr>
        <xdr:cNvPr id="4" name="Curseur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 rot="5400000">
          <a:off x="1056640" y="756920"/>
          <a:ext cx="101600" cy="76200"/>
        </a:xfrm>
        <a:prstGeom prst="triangle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2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3</xdr:row>
      <xdr:rowOff>0</xdr:rowOff>
    </xdr:from>
    <xdr:to>
      <xdr:col>8</xdr:col>
      <xdr:colOff>262128</xdr:colOff>
      <xdr:row>4</xdr:row>
      <xdr:rowOff>124968</xdr:rowOff>
    </xdr:to>
    <xdr:sp macro="[0]!Archiv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547360" y="548640"/>
          <a:ext cx="1054608" cy="3078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Archiver</a:t>
          </a:r>
        </a:p>
      </xdr:txBody>
    </xdr:sp>
    <xdr:clientData/>
  </xdr:twoCellAnchor>
  <xdr:twoCellAnchor editAs="absolute">
    <xdr:from>
      <xdr:col>7</xdr:col>
      <xdr:colOff>15240</xdr:colOff>
      <xdr:row>10</xdr:row>
      <xdr:rowOff>76200</xdr:rowOff>
    </xdr:from>
    <xdr:to>
      <xdr:col>8</xdr:col>
      <xdr:colOff>277560</xdr:colOff>
      <xdr:row>12</xdr:row>
      <xdr:rowOff>22860</xdr:rowOff>
    </xdr:to>
    <xdr:sp macro="[0]!Rese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5562600" y="1905000"/>
          <a:ext cx="1054800" cy="31242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Reset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</xdr:colOff>
          <xdr:row>5</xdr:row>
          <xdr:rowOff>38100</xdr:rowOff>
        </xdr:from>
        <xdr:to>
          <xdr:col>8</xdr:col>
          <xdr:colOff>144780</xdr:colOff>
          <xdr:row>9</xdr:row>
          <xdr:rowOff>99060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106680</xdr:colOff>
          <xdr:row>4</xdr:row>
          <xdr:rowOff>68580</xdr:rowOff>
        </xdr:from>
        <xdr:to>
          <xdr:col>7</xdr:col>
          <xdr:colOff>693420</xdr:colOff>
          <xdr:row>7</xdr:row>
          <xdr:rowOff>160020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500" b="1" i="0" u="none" strike="noStrike" baseline="0">
                  <a:solidFill>
                    <a:srgbClr val="003366"/>
                  </a:solidFill>
                  <a:latin typeface="Calibri"/>
                  <a:cs typeface="Calibri"/>
                </a:rPr>
                <a:t>Reassort </a:t>
              </a:r>
            </a:p>
            <a:p>
              <a:pPr algn="ctr" rtl="0">
                <a:defRPr sz="1000"/>
              </a:pPr>
              <a:r>
                <a:rPr lang="fr-FR" sz="1500" b="1" i="0" u="none" strike="noStrike" baseline="0">
                  <a:solidFill>
                    <a:srgbClr val="003366"/>
                  </a:solidFill>
                  <a:latin typeface="Calibri"/>
                  <a:cs typeface="Calibri"/>
                </a:rPr>
                <a:t>Destockage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63500</xdr:colOff>
      <xdr:row>13</xdr:row>
      <xdr:rowOff>50800</xdr:rowOff>
    </xdr:from>
    <xdr:to>
      <xdr:col>14</xdr:col>
      <xdr:colOff>139700</xdr:colOff>
      <xdr:row>13</xdr:row>
      <xdr:rowOff>152400</xdr:rowOff>
    </xdr:to>
    <xdr:sp macro="" textlink="">
      <xdr:nvSpPr>
        <xdr:cNvPr id="3" name="Curseur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 rot="5400000">
          <a:off x="11572240" y="2235200"/>
          <a:ext cx="101600" cy="76200"/>
        </a:xfrm>
        <a:prstGeom prst="triangle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2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17</xdr:row>
      <xdr:rowOff>53340</xdr:rowOff>
    </xdr:from>
    <xdr:to>
      <xdr:col>7</xdr:col>
      <xdr:colOff>30480</xdr:colOff>
      <xdr:row>32</xdr:row>
      <xdr:rowOff>60960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289560</xdr:colOff>
      <xdr:row>17</xdr:row>
      <xdr:rowOff>38106</xdr:rowOff>
    </xdr:from>
    <xdr:to>
      <xdr:col>7</xdr:col>
      <xdr:colOff>60960</xdr:colOff>
      <xdr:row>32</xdr:row>
      <xdr:rowOff>38106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36243FA-BBEE-4E12-ADCB-C3FD21769442}" name="TB_8" displayName="TB_8" ref="D1:E5" totalsRowShown="0" headerRowDxfId="94">
  <autoFilter ref="D1:E5" xr:uid="{637B4355-7352-47D3-AE58-0B1353546366}"/>
  <tableColumns count="2">
    <tableColumn id="1" xr3:uid="{620CD895-0C01-4E67-81E4-08330AE46363}" name="TVA APPLICABLE"/>
    <tableColumn id="2" xr3:uid="{52F7C53C-3729-4DE3-91BF-A7DA693E332D}" name="Taux" dataDxfId="93" dataCellStyle="Pourcent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FB884AA-655C-4249-8431-092D3AA9EB9C}" name="TB_9" displayName="TB_9" ref="G1:G5" totalsRowShown="0">
  <autoFilter ref="G1:G5" xr:uid="{44D752D2-1FBB-42F7-8F6B-77AE1C8CB988}"/>
  <tableColumns count="1">
    <tableColumn id="1" xr3:uid="{CD62722A-6216-45F5-B914-53F5C4F5673A}" name="Moyen de Paieme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0395B24-690F-4D16-B750-3509E0C8C887}" name="TB_10" displayName="TB_10" ref="I1:I6" totalsRowShown="0">
  <autoFilter ref="I1:I6" xr:uid="{127CF1D8-ECF1-4F23-B749-387B8A7D48D9}"/>
  <tableColumns count="1">
    <tableColumn id="1" xr3:uid="{D7058C28-ACE2-4B5B-9431-F4177D970121}" name="Site de vent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0CF66E3-038F-43BC-B170-8D3A42693666}" name="TB_11" displayName="TB_11" ref="K1:K5" totalsRowShown="0">
  <autoFilter ref="K1:K5" xr:uid="{854A9A35-D3F6-4FBE-A356-060273E04335}"/>
  <tableColumns count="1">
    <tableColumn id="1" xr3:uid="{02EF2E6B-14BE-49C2-B4A6-B37EBFA6284C}" name="Transporteur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Stock" displayName="Stock" ref="A13:Q18" totalsRowShown="0" headerRowDxfId="82" dataDxfId="80" headerRowBorderDxfId="81" tableBorderDxfId="79">
  <autoFilter ref="A13:Q18" xr:uid="{00000000-0009-0000-0100-000002000000}"/>
  <tableColumns count="17">
    <tableColumn id="1" xr3:uid="{00000000-0010-0000-0100-000001000000}" name="Ref" dataDxfId="78" dataCellStyle="NiveauLigne_4"/>
    <tableColumn id="2" xr3:uid="{00000000-0010-0000-0100-000002000000}" name="Nom" dataDxfId="77" dataCellStyle="NiveauLigne_4"/>
    <tableColumn id="3" xr3:uid="{00000000-0010-0000-0100-000003000000}" name="Prix A HT" dataDxfId="76" dataCellStyle="Milliers"/>
    <tableColumn id="4" xr3:uid="{00000000-0010-0000-0100-000004000000}" name="Prix U HT" dataDxfId="75" dataCellStyle="Milliers"/>
    <tableColumn id="5" xr3:uid="{00000000-0010-0000-0100-000005000000}" name="TVA" dataDxfId="74"/>
    <tableColumn id="6" xr3:uid="{00000000-0010-0000-0100-000006000000}" name="Prix U TTC" dataDxfId="73" dataCellStyle="Monétaire">
      <calculatedColumnFormula>+Stock[[#This Row],[TVA]]*Stock[[#This Row],[Prix U HT]]+Stock[[#This Row],[Prix U HT]]</calculatedColumnFormula>
    </tableColumn>
    <tableColumn id="7" xr3:uid="{00000000-0010-0000-0100-000007000000}" name="Stock I" dataDxfId="72" dataCellStyle="Milliers"/>
    <tableColumn id="8" xr3:uid="{00000000-0010-0000-0100-000008000000}" name="Entrée" dataDxfId="71" dataCellStyle="Milliers">
      <calculatedColumnFormula>+SUMIFS(journal[[#All],[Entrée]],journal[[#All],[Ref]],A14)</calculatedColumnFormula>
    </tableColumn>
    <tableColumn id="9" xr3:uid="{00000000-0010-0000-0100-000009000000}" name="Sortie" dataDxfId="70" dataCellStyle="Milliers">
      <calculatedColumnFormula>+SUMIFS(journal[[#All],[Sortie]],journal[[#All],[Ref]],A14)</calculatedColumnFormula>
    </tableColumn>
    <tableColumn id="10" xr3:uid="{00000000-0010-0000-0100-00000A000000}" name="Destockage" dataDxfId="69" dataCellStyle="Milliers">
      <calculatedColumnFormula>+SUMIFS(journal[[#All],[Destockage]],journal[[#All],[Ref]],A14)</calculatedColumnFormula>
    </tableColumn>
    <tableColumn id="11" xr3:uid="{00000000-0010-0000-0100-00000B000000}" name="Stock F" dataDxfId="68" dataCellStyle="Milliers">
      <calculatedColumnFormula>+Stock[[#This Row],[Stock I]]+Stock[[#This Row],[Entrée]]-Stock[[#This Row],[Sortie]]-Stock[[#This Row],[Destockage]]</calculatedColumnFormula>
    </tableColumn>
    <tableColumn id="12" xr3:uid="{00000000-0010-0000-0100-00000C000000}" name="V S I HT" dataDxfId="67" dataCellStyle="Milliers">
      <calculatedColumnFormula>+Stock[[#This Row],[Stock I]]*Stock[[#This Row],[Prix A HT]]</calculatedColumnFormula>
    </tableColumn>
    <tableColumn id="13" xr3:uid="{00000000-0010-0000-0100-00000D000000}" name="V S F HT" dataDxfId="66" dataCellStyle="Monétaire">
      <calculatedColumnFormula>+Stock[[#This Row],[Stock F]]*Stock[[#This Row],[Prix A HT]]</calculatedColumnFormula>
    </tableColumn>
    <tableColumn id="14" xr3:uid="{00000000-0010-0000-0100-00000E000000}" name="Total V HT" dataDxfId="65" dataCellStyle="Monétaire">
      <calculatedColumnFormula>+Stock[[#This Row],[Stock F]]*Stock[[#This Row],[Prix U HT]]</calculatedColumnFormula>
    </tableColumn>
    <tableColumn id="15" xr3:uid="{00000000-0010-0000-0100-00000F000000}" name="Total V TTC" dataDxfId="64" dataCellStyle="Monétaire">
      <calculatedColumnFormula>+Stock[[#This Row],[Stock F]]*Stock[[#This Row],[Prix U TTC]]</calculatedColumnFormula>
    </tableColumn>
    <tableColumn id="16" xr3:uid="{DA79B775-5041-403D-AE97-B3BF14478471}" name="EAN" dataDxfId="63" dataCellStyle="Monétaire"/>
    <tableColumn id="17" xr3:uid="{6C47707F-5189-4DB8-A71F-8B9B0A69AA90}" name="Nom(2)" dataDxfId="62" dataCellStyle="Monétaire">
      <calculatedColumnFormula>+Stock[[#This Row],[Nom]]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640A83-0A10-4E71-B6ED-FE202E15FDD1}" name="T_Archives" displayName="T_Archives" ref="A1:O19" totalsRowShown="0" headerRowDxfId="61" dataDxfId="59" headerRowBorderDxfId="60" tableBorderDxfId="58" dataCellStyle="Monétaire">
  <autoFilter ref="A1:O19" xr:uid="{6EFEFC3E-055E-4092-A654-31578A67F90D}"/>
  <tableColumns count="15">
    <tableColumn id="1" xr3:uid="{E0BC80E9-70A3-4375-AC45-A9D827BA27A4}" name="Date" dataDxfId="57"/>
    <tableColumn id="2" xr3:uid="{C3BE64F6-D95D-4406-9C08-C784C6C77307}" name="Fdv" dataDxfId="56"/>
    <tableColumn id="15" xr3:uid="{EA16FF1D-B184-4263-B839-7C97B1213EB9}" name="Plateforme" dataDxfId="55"/>
    <tableColumn id="16" xr3:uid="{E1C59FC2-4AB3-4B32-8EA4-C2AE350657C0}" name="N° de commande" dataDxfId="54"/>
    <tableColumn id="18" xr3:uid="{2692192E-EC38-46D0-AB69-122D30AD376A}" name="Pays" dataDxfId="53"/>
    <tableColumn id="17" xr3:uid="{3F5093E0-388C-4F2D-A1AB-DE87A9E17A98}" name="TVA" dataDxfId="52"/>
    <tableColumn id="3" xr3:uid="{B199CCFD-CC36-4305-B50E-41C821E802B0}" name="Ref" dataDxfId="51" dataCellStyle="Milliers"/>
    <tableColumn id="4" xr3:uid="{F1845CEB-3F4E-418E-AAF8-A0BF9EC58462}" name="Qté" dataDxfId="50"/>
    <tableColumn id="5" xr3:uid="{26BA3CF1-EEE8-476C-B79B-2BDF575808F1}" name="Prix U TTC" dataDxfId="49"/>
    <tableColumn id="9" xr3:uid="{8570092B-21C7-480E-A844-C0872978BB03}" name="Réduction" dataDxfId="48" dataCellStyle="Monétaire"/>
    <tableColumn id="10" xr3:uid="{413FF430-EC3C-4438-8704-5DD8E0809E32}" name="Frais de Port" dataDxfId="47" dataCellStyle="Monétaire"/>
    <tableColumn id="11" xr3:uid="{FC28B99D-8FEB-4EB4-81E9-BDC75E8CE080}" name="Transporteur" dataDxfId="46"/>
    <tableColumn id="12" xr3:uid="{5D1D5FD4-6B49-471A-AF93-34FDEDA9A5D0}" name="Règlement" dataDxfId="45"/>
    <tableColumn id="19" xr3:uid="{319D164A-039D-43C9-80F4-B96BADA5AD59}" name="TVA MONTANT" dataDxfId="44"/>
    <tableColumn id="13" xr3:uid="{7E15A3C8-B1A3-4B21-91F2-8B532C492E00}" name="TOTAL PAYE" dataDxfId="43" dataCellStyle="Monétair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journal" displayName="journal" ref="A1:G47" totalsRowShown="0" headerRowDxfId="42" dataDxfId="40" headerRowBorderDxfId="41" tableBorderDxfId="39">
  <autoFilter ref="A1:G47" xr:uid="{00000000-0009-0000-0100-000003000000}"/>
  <tableColumns count="7">
    <tableColumn id="1" xr3:uid="{00000000-0010-0000-0000-000001000000}" name="Date" dataDxfId="38"/>
    <tableColumn id="2" xr3:uid="{00000000-0010-0000-0000-000002000000}" name="FdV" dataDxfId="37" dataCellStyle="Milliers"/>
    <tableColumn id="3" xr3:uid="{00000000-0010-0000-0000-000003000000}" name="Ref" dataDxfId="36" dataCellStyle="Milliers"/>
    <tableColumn id="4" xr3:uid="{00000000-0010-0000-0000-000004000000}" name="Entrée" dataDxfId="35" dataCellStyle="Milliers"/>
    <tableColumn id="5" xr3:uid="{00000000-0010-0000-0000-000005000000}" name="Sortie" dataDxfId="34" dataCellStyle="Milliers"/>
    <tableColumn id="6" xr3:uid="{00000000-0010-0000-0000-000006000000}" name="Destockage" dataDxfId="33" dataCellStyle="Milliers"/>
    <tableColumn id="7" xr3:uid="{00000000-0010-0000-0000-000007000000}" name="Description" dataDxfId="3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C7A73F8-168B-44AA-B00C-DC378683AEAB}" name="Tableau4" displayName="Tableau4" ref="A5:G17" totalsRowShown="0" headerRowDxfId="31" dataDxfId="30" tableBorderDxfId="29" dataCellStyle="Monétaire">
  <autoFilter ref="A5:G17" xr:uid="{0F4E7C6C-B9AB-403A-B7C6-24383145D9C3}"/>
  <tableColumns count="7">
    <tableColumn id="1" xr3:uid="{36016708-657A-4688-9122-7552479C27BA}" name="31/12/2020" dataDxfId="28">
      <calculatedColumnFormula>+EOMONTH(A5,1)</calculatedColumnFormula>
    </tableColumn>
    <tableColumn id="2" xr3:uid="{78B454BE-1C39-4808-B8F7-EAE878C1942B}" name="Site" dataDxfId="27" dataCellStyle="Monétaire">
      <calculatedColumnFormula>+SUMIFS(T_Archives[TOTAL PAYE],#REF!,B$5,T_Archives[Date],"&lt;="&amp;$A6,T_Archives[Date],"&gt;"&amp;$A5)</calculatedColumnFormula>
    </tableColumn>
    <tableColumn id="3" xr3:uid="{7358830F-9710-45C4-A0EE-9FF799137F1E}" name="Amazon" dataDxfId="26" dataCellStyle="Monétaire">
      <calculatedColumnFormula>+SUMIFS(T_Archives[TOTAL PAYE],T_Archives[Plateforme],C$5,T_Archives[Date],"&lt;="&amp;$A6,T_Archives[Date],"&gt;"&amp;$A5)</calculatedColumnFormula>
    </tableColumn>
    <tableColumn id="4" xr3:uid="{12C319DD-8146-4D80-9B9B-34C190931CFD}" name="CDiscount" dataDxfId="25" dataCellStyle="Monétaire">
      <calculatedColumnFormula>+SUMIFS(T_Archives[TOTAL PAYE],T_Archives[Plateforme],D$5,T_Archives[Date],"&lt;="&amp;$A6,T_Archives[Date],"&gt;"&amp;$A5)</calculatedColumnFormula>
    </tableColumn>
    <tableColumn id="5" xr3:uid="{9A3E59FD-E4C9-4CEA-85F0-1294C10F26EF}" name="Rakuten" dataDxfId="24" dataCellStyle="Monétaire">
      <calculatedColumnFormula>+SUMIFS(T_Archives[TOTAL PAYE],T_Archives[Plateforme],E$5,T_Archives[Date],"&lt;="&amp;$A6,T_Archives[Date],"&gt;"&amp;$A5)</calculatedColumnFormula>
    </tableColumn>
    <tableColumn id="6" xr3:uid="{5F846671-53F3-469C-BA29-CBB4DF1E2568}" name="eBay" dataDxfId="23" dataCellStyle="Monétaire">
      <calculatedColumnFormula>+SUMIFS(T_Archives[TOTAL PAYE],T_Archives[Plateforme],F$5,T_Archives[Date],"&lt;="&amp;$A6,T_Archives[Date],"&gt;"&amp;$A5)</calculatedColumnFormula>
    </tableColumn>
    <tableColumn id="7" xr3:uid="{A5988A2F-210A-46C0-A64D-59392F3C169D}" name="TOTAL CA" dataDxfId="22" dataCellStyle="Monétaire">
      <calculatedColumnFormula>+SUM(Tableau4[[#This Row],[Site]:[eBay]])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096E63E-7E3F-44A0-A87E-3C7582DC2BEC}" name="Tableau5" displayName="Tableau5" ref="I5:M17" totalsRowShown="0" headerRowDxfId="21" dataDxfId="20" tableBorderDxfId="19" dataCellStyle="Monétaire">
  <autoFilter ref="I5:M17" xr:uid="{38D78233-1B9F-4BC1-82AB-9ED589433189}"/>
  <tableColumns count="5">
    <tableColumn id="1" xr3:uid="{63BB0643-A30F-4B34-AE26-1FD2AF58C245}" name="Chèque" dataDxfId="18" dataCellStyle="Monétaire">
      <calculatedColumnFormula>+SUMIFS(T_Archives[TOTAL PAYE],T_Archives[Règlement],I$5,T_Archives[Date],"&lt;="&amp;$A6,T_Archives[Date],"&gt;"&amp;$A5)</calculatedColumnFormula>
    </tableColumn>
    <tableColumn id="2" xr3:uid="{5E669409-008D-47D8-8A4E-26F682EDBC4E}" name="Virement" dataDxfId="17" dataCellStyle="Monétaire">
      <calculatedColumnFormula>+SUMIFS(T_Archives[TOTAL PAYE],T_Archives[Règlement],J$5,T_Archives[Date],"&lt;="&amp;$A6,T_Archives[Date],"&gt;"&amp;$A5)</calculatedColumnFormula>
    </tableColumn>
    <tableColumn id="3" xr3:uid="{7C9AB138-A8C1-46C0-AAE9-8360DC2356E3}" name="Carte Bancaire" dataDxfId="16" dataCellStyle="Monétaire">
      <calculatedColumnFormula>+SUMIFS(T_Archives[TOTAL PAYE],T_Archives[Règlement],K$5,T_Archives[Date],"&lt;="&amp;$A6,T_Archives[Date],"&gt;"&amp;$A5)</calculatedColumnFormula>
    </tableColumn>
    <tableColumn id="4" xr3:uid="{62E3985C-312B-46EE-8B35-369C6148AB1A}" name="En compte" dataDxfId="15" dataCellStyle="Monétaire">
      <calculatedColumnFormula>+SUMIFS(T_Archives[TOTAL PAYE],T_Archives[Règlement],L$5,T_Archives[Date],"&lt;="&amp;$A6,T_Archives[Date],"&gt;"&amp;$A5)</calculatedColumnFormula>
    </tableColumn>
    <tableColumn id="5" xr3:uid="{2BE04E24-B08C-42EE-BF64-62BD2624B537}" name="TOTAL Rgt" dataDxfId="14" dataCellStyle="Monétaire">
      <calculatedColumnFormula>+SUM(Tableau5[[#This Row],[Chèque]:[En compte]])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839DC24-2A71-4172-BB49-161CFF2C4097}" name="Tableau6" displayName="Tableau6" ref="O5:S17" totalsRowShown="0" headerRowDxfId="13" dataDxfId="12" tableBorderDxfId="11" dataCellStyle="Monétaire">
  <autoFilter ref="O5:S17" xr:uid="{0AAE03D7-9636-4C29-A375-F2D41820F7FC}"/>
  <tableColumns count="5">
    <tableColumn id="1" xr3:uid="{D4F0D021-BC4E-49A0-B477-DA493BCED8F7}" name="Comptoir" dataDxfId="10" dataCellStyle="Monétaire">
      <calculatedColumnFormula>+SUMIFS(T_Archives[Frais de Port],T_Archives[Transporteur],O$5,T_Archives[Date],"&lt;="&amp;$A6,T_Archives[Date],"&gt;"&amp;$A5)</calculatedColumnFormula>
    </tableColumn>
    <tableColumn id="2" xr3:uid="{1E9E9B2E-E805-4281-B9FD-715A6BE49D3A}" name="GLS" dataDxfId="9" dataCellStyle="Monétaire">
      <calculatedColumnFormula>+SUMIFS(T_Archives[Frais de Port],T_Archives[Transporteur],P$5,T_Archives[Date],"&lt;="&amp;$A6,T_Archives[Date],"&gt;"&amp;$A5)</calculatedColumnFormula>
    </tableColumn>
    <tableColumn id="3" xr3:uid="{12B1081B-E22F-4B60-9B4B-C183598F8191}" name="La poste" dataDxfId="8" dataCellStyle="Monétaire">
      <calculatedColumnFormula>+SUMIFS(T_Archives[Frais de Port],T_Archives[Transporteur],Q$5,T_Archives[Date],"&lt;="&amp;$A6,T_Archives[Date],"&gt;"&amp;$A5)</calculatedColumnFormula>
    </tableColumn>
    <tableColumn id="4" xr3:uid="{77DC8DB4-A8F4-47F9-8E67-04F43EA07937}" name="Mondial Relay" dataDxfId="7" dataCellStyle="Monétaire">
      <calculatedColumnFormula>+SUMIFS(T_Archives[Frais de Port],T_Archives[Transporteur],R$5,T_Archives[Date],"&lt;="&amp;$A6,T_Archives[Date],"&gt;"&amp;$A5)</calculatedColumnFormula>
    </tableColumn>
    <tableColumn id="5" xr3:uid="{75320B42-4F7C-46B8-A0CB-7D9425C1B935}" name="TOTAL Tps" dataDxfId="6" dataCellStyle="Monétaire">
      <calculatedColumnFormula>+SUM(Tableau6[[#This Row],[Comptoir]:[Mondial Relay]])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6D8877C-CFB7-4710-81CB-EDC7D3DBA289}" name="Tableau7" displayName="Tableau7" ref="I21:M33" totalsRowShown="0" headerRowDxfId="5" dataCellStyle="Monétaire">
  <autoFilter ref="I21:M33" xr:uid="{06225784-2997-42F4-B997-F5CCC4743A57}"/>
  <tableColumns count="5">
    <tableColumn id="2" xr3:uid="{A3725946-F987-4CE1-8856-F01FAE4B929E}" name="FR" dataDxfId="4" dataCellStyle="Monétaire">
      <calculatedColumnFormula>+SUMIFS(T_Archives[TOTAL PAYE],T_Archives[TVA],I$21,T_Archives[Date],"&lt;="&amp;$A6,T_Archives[Date],"&gt;"&amp;$A5)</calculatedColumnFormula>
    </tableColumn>
    <tableColumn id="3" xr3:uid="{4E266E9C-7470-44A3-AC13-EE5EBC8F8017}" name="UE" dataDxfId="3" dataCellStyle="Monétaire">
      <calculatedColumnFormula>+SUMIFS(T_Archives[TOTAL PAYE],T_Archives[TVA],J$21,T_Archives[Date],"&lt;="&amp;$A6,T_Archives[Date],"&gt;"&amp;$A5)</calculatedColumnFormula>
    </tableColumn>
    <tableColumn id="4" xr3:uid="{368C05AD-7863-4483-90F1-AB66471AF192}" name="Hors UE" dataDxfId="2" dataCellStyle="Monétaire">
      <calculatedColumnFormula>+SUMIFS(T_Archives[TOTAL PAYE],T_Archives[TVA],K$21,T_Archives[Date],"&lt;="&amp;$A6,T_Archives[Date],"&gt;"&amp;$A5)</calculatedColumnFormula>
    </tableColumn>
    <tableColumn id="5" xr3:uid="{2C5E41B0-3C6E-4E01-8636-5CCC79C04E3F}" name="HT" dataDxfId="1" dataCellStyle="Monétaire">
      <calculatedColumnFormula>+SUM(Tableau7[[#This Row],[FR]:[UE]])/1.2+Tableau7[[#This Row],[Hors UE]]</calculatedColumnFormula>
    </tableColumn>
    <tableColumn id="6" xr3:uid="{D3D68A96-741E-46A3-8631-0C47C425AF5F}" name="TVA" dataDxfId="0" dataCellStyle="Monétaire">
      <calculatedColumnFormula>+SUM(Tableau7[[#This Row],[FR]]+Tableau7[[#This Row],[UE]])/1.2*0.2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table" Target="../tables/table5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8"/>
  <sheetViews>
    <sheetView showGridLines="0" workbookViewId="0">
      <selection activeCell="G4" sqref="G4"/>
    </sheetView>
  </sheetViews>
  <sheetFormatPr baseColWidth="10" defaultRowHeight="14.4" x14ac:dyDescent="0.3"/>
  <cols>
    <col min="2" max="2" width="18.44140625" bestFit="1" customWidth="1"/>
    <col min="3" max="3" width="1.88671875" customWidth="1"/>
    <col min="4" max="4" width="17" customWidth="1"/>
    <col min="5" max="5" width="6.88671875" customWidth="1"/>
    <col min="6" max="6" width="1.6640625" customWidth="1"/>
    <col min="7" max="7" width="19.88671875" customWidth="1"/>
    <col min="8" max="8" width="2.33203125" customWidth="1"/>
    <col min="10" max="10" width="4" customWidth="1"/>
    <col min="11" max="11" width="13.6640625" customWidth="1"/>
  </cols>
  <sheetData>
    <row r="1" spans="1:11" ht="15" thickBot="1" x14ac:dyDescent="0.35">
      <c r="A1" s="1" t="s">
        <v>90</v>
      </c>
      <c r="B1" s="1"/>
      <c r="D1" s="141" t="s">
        <v>91</v>
      </c>
      <c r="E1" s="141" t="s">
        <v>96</v>
      </c>
      <c r="G1" s="43" t="s">
        <v>92</v>
      </c>
      <c r="I1" s="43" t="s">
        <v>93</v>
      </c>
      <c r="K1" s="43" t="s">
        <v>67</v>
      </c>
    </row>
    <row r="2" spans="1:11" x14ac:dyDescent="0.3">
      <c r="A2" s="6" t="s">
        <v>22</v>
      </c>
      <c r="B2" s="5" t="s">
        <v>101</v>
      </c>
      <c r="D2" s="43" t="s">
        <v>21</v>
      </c>
      <c r="E2" s="142">
        <v>0.2</v>
      </c>
      <c r="G2" s="43" t="s">
        <v>20</v>
      </c>
      <c r="I2" s="43" t="s">
        <v>19</v>
      </c>
      <c r="K2" s="43" t="s">
        <v>18</v>
      </c>
    </row>
    <row r="3" spans="1:11" x14ac:dyDescent="0.3">
      <c r="A3" s="3" t="s">
        <v>17</v>
      </c>
      <c r="B3" s="4" t="s">
        <v>102</v>
      </c>
      <c r="D3" s="43" t="s">
        <v>16</v>
      </c>
      <c r="E3" s="142">
        <v>0.2</v>
      </c>
      <c r="G3" s="43" t="s">
        <v>15</v>
      </c>
      <c r="I3" s="43" t="s">
        <v>14</v>
      </c>
      <c r="K3" s="43" t="s">
        <v>13</v>
      </c>
    </row>
    <row r="4" spans="1:11" x14ac:dyDescent="0.3">
      <c r="A4" s="3" t="s">
        <v>12</v>
      </c>
      <c r="B4" s="4" t="s">
        <v>103</v>
      </c>
      <c r="D4" s="43" t="s">
        <v>78</v>
      </c>
      <c r="E4" s="142">
        <v>0</v>
      </c>
      <c r="G4" s="43" t="s">
        <v>11</v>
      </c>
      <c r="I4" s="43" t="s">
        <v>10</v>
      </c>
      <c r="K4" s="43" t="s">
        <v>9</v>
      </c>
    </row>
    <row r="5" spans="1:11" x14ac:dyDescent="0.3">
      <c r="A5" s="3" t="s">
        <v>8</v>
      </c>
      <c r="B5" s="4">
        <v>31560</v>
      </c>
      <c r="D5" s="43" t="s">
        <v>7</v>
      </c>
      <c r="E5" s="142">
        <v>0</v>
      </c>
      <c r="G5" s="43" t="s">
        <v>6</v>
      </c>
      <c r="I5" s="43" t="s">
        <v>5</v>
      </c>
      <c r="K5" s="43" t="s">
        <v>4</v>
      </c>
    </row>
    <row r="6" spans="1:11" x14ac:dyDescent="0.3">
      <c r="A6" s="3" t="s">
        <v>3</v>
      </c>
      <c r="B6" s="4" t="s">
        <v>104</v>
      </c>
      <c r="D6" s="143"/>
      <c r="E6" s="43"/>
      <c r="G6" s="43"/>
      <c r="I6" s="43" t="s">
        <v>2</v>
      </c>
      <c r="K6" s="43"/>
    </row>
    <row r="7" spans="1:11" x14ac:dyDescent="0.3">
      <c r="A7" s="3" t="s">
        <v>1</v>
      </c>
      <c r="B7" s="102">
        <v>620710016</v>
      </c>
      <c r="K7" s="43"/>
    </row>
    <row r="8" spans="1:11" ht="15" thickBot="1" x14ac:dyDescent="0.35">
      <c r="A8" s="2" t="s">
        <v>0</v>
      </c>
      <c r="B8" s="103" t="s">
        <v>105</v>
      </c>
    </row>
  </sheetData>
  <mergeCells count="1">
    <mergeCell ref="A1:B1"/>
  </mergeCell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24"/>
  <sheetViews>
    <sheetView tabSelected="1" zoomScale="125" zoomScaleNormal="125" workbookViewId="0">
      <selection activeCell="B5" sqref="B5"/>
    </sheetView>
  </sheetViews>
  <sheetFormatPr baseColWidth="10" defaultColWidth="5.6640625" defaultRowHeight="14.4" zeroHeight="1" x14ac:dyDescent="0.3"/>
  <cols>
    <col min="1" max="1" width="14.6640625" customWidth="1"/>
    <col min="2" max="2" width="17.44140625" customWidth="1"/>
    <col min="3" max="3" width="8.88671875" customWidth="1"/>
    <col min="4" max="4" width="13.6640625" bestFit="1" customWidth="1"/>
    <col min="5" max="5" width="12.6640625" customWidth="1"/>
    <col min="6" max="6" width="11.5546875" customWidth="1"/>
    <col min="7" max="7" width="14.109375" bestFit="1" customWidth="1"/>
    <col min="8" max="8" width="1.33203125" customWidth="1"/>
    <col min="9" max="9" width="16.44140625" bestFit="1" customWidth="1"/>
    <col min="10" max="10" width="13.5546875" customWidth="1"/>
    <col min="11" max="11" width="4.44140625" customWidth="1"/>
    <col min="12" max="12" width="8.6640625" customWidth="1"/>
    <col min="13" max="14" width="7.33203125" customWidth="1"/>
    <col min="15" max="144" width="5.6640625" customWidth="1"/>
  </cols>
  <sheetData>
    <row r="1" spans="1:13" ht="15.6" x14ac:dyDescent="0.3">
      <c r="A1" s="16" t="s">
        <v>56</v>
      </c>
      <c r="B1" s="173" t="s">
        <v>57</v>
      </c>
      <c r="C1" s="173"/>
      <c r="D1" s="7"/>
      <c r="E1" s="153" t="s">
        <v>97</v>
      </c>
      <c r="F1" s="7"/>
      <c r="G1" s="17" t="s">
        <v>64</v>
      </c>
      <c r="H1" s="7"/>
      <c r="I1" s="19"/>
      <c r="J1" s="7"/>
      <c r="K1" s="7"/>
      <c r="L1" s="7"/>
      <c r="M1" s="7"/>
    </row>
    <row r="2" spans="1:13" ht="15.6" x14ac:dyDescent="0.3">
      <c r="A2" s="105" t="s">
        <v>117</v>
      </c>
      <c r="B2" s="174" t="s">
        <v>119</v>
      </c>
      <c r="C2" s="174"/>
      <c r="D2" s="7"/>
      <c r="E2" s="105" t="s">
        <v>122</v>
      </c>
      <c r="F2" s="7"/>
      <c r="G2" s="106" t="s">
        <v>21</v>
      </c>
      <c r="H2" s="7"/>
      <c r="I2" s="19"/>
      <c r="J2" s="163">
        <f ca="1">+NOW()</f>
        <v>44429.441649652777</v>
      </c>
      <c r="K2" s="7"/>
      <c r="L2" s="7"/>
      <c r="M2" s="7"/>
    </row>
    <row r="3" spans="1:13" ht="7.8" customHeight="1" x14ac:dyDescent="0.3">
      <c r="A3" s="7"/>
      <c r="B3" s="7"/>
      <c r="C3" s="7"/>
      <c r="D3" s="7"/>
      <c r="E3" s="7"/>
      <c r="F3" s="7"/>
      <c r="G3" s="7"/>
      <c r="H3" s="7"/>
      <c r="I3" s="19"/>
      <c r="J3" s="7"/>
      <c r="K3" s="7"/>
      <c r="L3" s="7"/>
      <c r="M3" s="7"/>
    </row>
    <row r="4" spans="1:13" ht="15.6" x14ac:dyDescent="0.3">
      <c r="A4" s="132" t="s">
        <v>25</v>
      </c>
      <c r="B4" s="104" t="s">
        <v>58</v>
      </c>
      <c r="C4" s="104" t="s">
        <v>59</v>
      </c>
      <c r="D4" s="104" t="s">
        <v>38</v>
      </c>
      <c r="E4" s="104" t="s">
        <v>60</v>
      </c>
      <c r="F4" s="104" t="s">
        <v>61</v>
      </c>
      <c r="G4" s="104" t="s">
        <v>62</v>
      </c>
      <c r="H4" s="7"/>
      <c r="I4" s="19"/>
      <c r="J4" s="7"/>
      <c r="K4" s="18"/>
      <c r="L4" s="112" t="s">
        <v>79</v>
      </c>
      <c r="M4" s="112" t="s">
        <v>80</v>
      </c>
    </row>
    <row r="5" spans="1:13" ht="15.6" x14ac:dyDescent="0.3">
      <c r="A5" s="168">
        <v>3270241140170</v>
      </c>
      <c r="B5" s="133" t="e">
        <f>IF(AND(ISNUMBER(A5),LEN(A5)=13),VLOOKUP(Stock[[#All],[EAN]:[Nom(2)]],2,FALSE),VLOOKUP(Stock[[#All],[Ref]:[Nom]],2,FALSE))</f>
        <v>#VALUE!</v>
      </c>
      <c r="C5" s="137">
        <v>1</v>
      </c>
      <c r="D5" s="158">
        <v>19.95</v>
      </c>
      <c r="E5" s="148">
        <f t="shared" ref="E5:E12" si="0">IFERROR(IF(C5=0,0,D5*C5),"")</f>
        <v>19.95</v>
      </c>
      <c r="F5" s="134">
        <f>IF(A5="","",SUMIFS(Stock[[#All],[Stock F]],Stock[[#All],[Ref]],A5))</f>
        <v>0</v>
      </c>
      <c r="G5" s="134">
        <f t="shared" ref="G5:G11" si="1">+IFERROR(F5-C5,"")</f>
        <v>-1</v>
      </c>
      <c r="H5" s="7"/>
      <c r="I5" s="17" t="s">
        <v>63</v>
      </c>
      <c r="J5" s="75">
        <f>+SUM(E5:E21)</f>
        <v>120.58200000000001</v>
      </c>
      <c r="K5" s="18"/>
      <c r="L5" s="114" t="str">
        <f>+IFERROR(VLOOKUP(A5,Stock[[#All],[Ref]:[Prix U TTC]],6,FALSE),"")</f>
        <v/>
      </c>
      <c r="M5" s="113" t="str">
        <f>+IFERROR(VLOOKUP(A5,Stock[[#All],[Ref]:[Prix A HT]],3,FALSE)*1.2,"")</f>
        <v/>
      </c>
    </row>
    <row r="6" spans="1:13" ht="15.6" x14ac:dyDescent="0.3">
      <c r="A6" s="169" t="s">
        <v>45</v>
      </c>
      <c r="B6" s="135" t="str">
        <f>+IFERROR(VLOOKUP(A6,Stock[[#All],[Ref]:[Nom]],2,FALSE),"")</f>
        <v>DOUDOU MAILEG LAPIN ROSE ANGEL DANS UNE CHAUSSETTE MINI PANTIN</v>
      </c>
      <c r="C6" s="138">
        <v>2</v>
      </c>
      <c r="D6" s="159">
        <v>28.716000000000001</v>
      </c>
      <c r="E6" s="149">
        <f t="shared" si="0"/>
        <v>57.432000000000002</v>
      </c>
      <c r="F6" s="136">
        <f>IF(A6="","",SUMIFS(Stock[[#All],[Stock F]],Stock[[#All],[Ref]],A6))</f>
        <v>-7</v>
      </c>
      <c r="G6" s="136">
        <f>+IFERROR(F6-C6,"")</f>
        <v>-9</v>
      </c>
      <c r="H6" s="7"/>
      <c r="I6" s="17"/>
      <c r="J6" s="157"/>
      <c r="K6" s="19"/>
      <c r="L6" s="114">
        <f>+IFERROR(VLOOKUP(A6,Stock[[#All],[Ref]:[Prix U TTC]],6,FALSE),"")</f>
        <v>28.716000000000001</v>
      </c>
      <c r="M6" s="114">
        <f>+IFERROR(VLOOKUP(A6,Stock[[#All],[Ref]:[Prix A HT]],3,FALSE)*1.2,"")</f>
        <v>4.8</v>
      </c>
    </row>
    <row r="7" spans="1:13" ht="15.6" x14ac:dyDescent="0.3">
      <c r="A7" s="168" t="s">
        <v>94</v>
      </c>
      <c r="B7" s="133" t="str">
        <f>+IFERROR(VLOOKUP(A7,Stock[[#All],[Ref]:[Nom]],2,FALSE),"")</f>
        <v>abc</v>
      </c>
      <c r="C7" s="137">
        <v>3</v>
      </c>
      <c r="D7" s="158">
        <v>14.4</v>
      </c>
      <c r="E7" s="148">
        <f t="shared" si="0"/>
        <v>43.2</v>
      </c>
      <c r="F7" s="134">
        <f>IF(A7="","",SUMIFS(Stock[[#All],[Stock F]],Stock[[#All],[Ref]],A7))</f>
        <v>44</v>
      </c>
      <c r="G7" s="134">
        <f>+IFERROR(F7-C7,"")</f>
        <v>41</v>
      </c>
      <c r="H7" s="7"/>
      <c r="I7" s="17"/>
      <c r="J7" s="76"/>
      <c r="K7" s="19"/>
      <c r="L7" s="114">
        <f>+IFERROR(VLOOKUP(A7,Stock[[#All],[Ref]:[Prix U TTC]],6,FALSE),"")</f>
        <v>14.4</v>
      </c>
      <c r="M7" s="114">
        <f>+IFERROR(VLOOKUP(A7,Stock[[#All],[Ref]:[Prix A HT]],3,FALSE)*1.2,"")</f>
        <v>7.5</v>
      </c>
    </row>
    <row r="8" spans="1:13" ht="15.6" x14ac:dyDescent="0.3">
      <c r="A8" s="169"/>
      <c r="B8" s="135" t="str">
        <f>+IFERROR(VLOOKUP(A8,Stock[[#All],[Ref]:[Nom]],2,FALSE),"")</f>
        <v/>
      </c>
      <c r="C8" s="138"/>
      <c r="D8" s="159"/>
      <c r="E8" s="149">
        <f t="shared" si="0"/>
        <v>0</v>
      </c>
      <c r="F8" s="136" t="str">
        <f>IF(A8="","",SUMIFS(Stock[[#All],[Stock F]],Stock[[#All],[Ref]],A8))</f>
        <v/>
      </c>
      <c r="G8" s="136" t="str">
        <f t="shared" si="1"/>
        <v/>
      </c>
      <c r="H8" s="7"/>
      <c r="I8" s="17" t="s">
        <v>65</v>
      </c>
      <c r="J8" s="107"/>
      <c r="K8" s="20"/>
      <c r="L8" s="114" t="str">
        <f>+IFERROR(VLOOKUP(A8,Stock[[#All],[Ref]:[Prix U TTC]],6,FALSE),"")</f>
        <v/>
      </c>
      <c r="M8" s="114" t="str">
        <f>+IFERROR(VLOOKUP(A8,Stock[[#All],[Ref]:[Prix A HT]],3,FALSE)*1.2,"")</f>
        <v/>
      </c>
    </row>
    <row r="9" spans="1:13" ht="15.6" x14ac:dyDescent="0.3">
      <c r="A9" s="168"/>
      <c r="B9" s="133" t="str">
        <f>+IFERROR(VLOOKUP(A9,Stock[[#All],[Ref]:[Nom]],2,FALSE),"")</f>
        <v/>
      </c>
      <c r="C9" s="137"/>
      <c r="D9" s="158"/>
      <c r="E9" s="148">
        <f t="shared" si="0"/>
        <v>0</v>
      </c>
      <c r="F9" s="134" t="str">
        <f>IF(A9="","",SUMIFS(Stock[[#All],[Stock F]],Stock[[#All],[Ref]],A9))</f>
        <v/>
      </c>
      <c r="G9" s="134" t="str">
        <f t="shared" si="1"/>
        <v/>
      </c>
      <c r="H9" s="7"/>
      <c r="I9" s="17"/>
      <c r="J9" s="77"/>
      <c r="K9" s="20"/>
      <c r="L9" s="114" t="str">
        <f>+IFERROR(VLOOKUP(A9,Stock[[#All],[Ref]:[Prix U TTC]],6,FALSE),"")</f>
        <v/>
      </c>
      <c r="M9" s="114" t="str">
        <f>+IFERROR(VLOOKUP(A9,Stock[[#All],[Ref]:[Prix A HT]],3,FALSE)*1.2,"")</f>
        <v/>
      </c>
    </row>
    <row r="10" spans="1:13" ht="15.6" x14ac:dyDescent="0.3">
      <c r="A10" s="169"/>
      <c r="B10" s="135" t="str">
        <f>+IFERROR(VLOOKUP(A10,Stock[[#All],[Ref]:[Nom]],2,FALSE),"")</f>
        <v/>
      </c>
      <c r="C10" s="138"/>
      <c r="D10" s="159"/>
      <c r="E10" s="149">
        <f t="shared" si="0"/>
        <v>0</v>
      </c>
      <c r="F10" s="136" t="str">
        <f>IF(A10="","",SUMIFS(Stock[[#All],[Stock F]],Stock[[#All],[Ref]],A10))</f>
        <v/>
      </c>
      <c r="G10" s="136" t="str">
        <f t="shared" si="1"/>
        <v/>
      </c>
      <c r="H10" s="7"/>
      <c r="I10" s="17" t="s">
        <v>66</v>
      </c>
      <c r="J10" s="108"/>
      <c r="K10" s="21"/>
      <c r="L10" s="114" t="str">
        <f>+IFERROR(VLOOKUP(A10,Stock[[#All],[Ref]:[Prix U TTC]],6,FALSE),"")</f>
        <v/>
      </c>
      <c r="M10" s="114" t="str">
        <f>+IFERROR(VLOOKUP(A10,Stock[[#All],[Ref]:[Prix A HT]],3,FALSE)*1.2,"")</f>
        <v/>
      </c>
    </row>
    <row r="11" spans="1:13" ht="15.6" x14ac:dyDescent="0.3">
      <c r="A11" s="168"/>
      <c r="B11" s="133" t="str">
        <f>+IFERROR(VLOOKUP(A11,Stock[[#All],[Ref]:[Nom]],2,FALSE),"")</f>
        <v/>
      </c>
      <c r="C11" s="137"/>
      <c r="D11" s="158"/>
      <c r="E11" s="148">
        <f t="shared" si="0"/>
        <v>0</v>
      </c>
      <c r="F11" s="134" t="str">
        <f>IF(A11="","",SUMIFS(Stock[[#All],[Stock F]],Stock[[#All],[Ref]],A11))</f>
        <v/>
      </c>
      <c r="G11" s="134" t="str">
        <f t="shared" si="1"/>
        <v/>
      </c>
      <c r="H11" s="7"/>
      <c r="I11" s="17"/>
      <c r="J11" s="78"/>
      <c r="K11" s="21"/>
      <c r="L11" s="114" t="str">
        <f>+IFERROR(VLOOKUP(A11,Stock[[#All],[Ref]:[Prix U TTC]],6,FALSE),"")</f>
        <v/>
      </c>
      <c r="M11" s="114" t="str">
        <f>+IFERROR(VLOOKUP(A11,Stock[[#All],[Ref]:[Prix A HT]],3,FALSE)*1.2,"")</f>
        <v/>
      </c>
    </row>
    <row r="12" spans="1:13" ht="15.6" x14ac:dyDescent="0.3">
      <c r="A12" s="169"/>
      <c r="B12" s="135" t="str">
        <f>+IFERROR(VLOOKUP(A12,Stock[[#All],[Ref]:[Nom]],2,FALSE),"")</f>
        <v/>
      </c>
      <c r="C12" s="138"/>
      <c r="D12" s="159"/>
      <c r="E12" s="149">
        <f t="shared" si="0"/>
        <v>0</v>
      </c>
      <c r="F12" s="136" t="str">
        <f>IF(A12="","",SUMIFS(Stock[[#All],[Stock F]],Stock[[#All],[Ref]],A12))</f>
        <v/>
      </c>
      <c r="G12" s="136" t="str">
        <f t="shared" ref="G12:G15" si="2">+IFERROR(F12-C12,"")</f>
        <v/>
      </c>
      <c r="H12" s="7"/>
      <c r="I12" s="17" t="s">
        <v>67</v>
      </c>
      <c r="J12" s="109"/>
      <c r="K12" s="22"/>
      <c r="L12" s="114" t="str">
        <f>+IFERROR(VLOOKUP(A12,Stock[[#All],[Ref]:[Prix U TTC]],6,FALSE),"")</f>
        <v/>
      </c>
      <c r="M12" s="114" t="str">
        <f>+IFERROR(VLOOKUP(A12,Stock[[#All],[Ref]:[Prix A HT]],3,FALSE)*1.2,"")</f>
        <v/>
      </c>
    </row>
    <row r="13" spans="1:13" ht="15.6" x14ac:dyDescent="0.3">
      <c r="A13" s="168"/>
      <c r="B13" s="133" t="str">
        <f>+IFERROR(VLOOKUP(A13,Stock[[#All],[Ref]:[Nom]],2,FALSE),"")</f>
        <v/>
      </c>
      <c r="C13" s="137"/>
      <c r="D13" s="158"/>
      <c r="E13" s="148">
        <f t="shared" ref="E13:E15" si="3">IFERROR(IF(C13=0,0,D13*C13),"")</f>
        <v>0</v>
      </c>
      <c r="F13" s="134" t="str">
        <f>IF(A13="","",SUMIFS(Stock[[#All],[Stock F]],Stock[[#All],[Ref]],A13))</f>
        <v/>
      </c>
      <c r="G13" s="134" t="str">
        <f t="shared" si="2"/>
        <v/>
      </c>
      <c r="H13" s="7"/>
      <c r="I13" s="115" t="s">
        <v>89</v>
      </c>
      <c r="J13" s="116">
        <f>IF(SUM(D5:D21)-SUM(M5:M21)=0,"",SUM(D5:D21)-SUM(M5:M21))</f>
        <v>50.765999999999991</v>
      </c>
      <c r="K13" s="117">
        <f>+IFERROR(J13/(SUM(D5:D21)),"")</f>
        <v>0.80496622585862421</v>
      </c>
      <c r="L13" s="114" t="str">
        <f>+IFERROR(VLOOKUP(A13,Stock[[#All],[Ref]:[Prix U TTC]],6,FALSE),"")</f>
        <v/>
      </c>
      <c r="M13" s="114" t="str">
        <f>+IFERROR(VLOOKUP(A13,Stock[[#All],[Ref]:[Prix A HT]],3,FALSE)*1.2,"")</f>
        <v/>
      </c>
    </row>
    <row r="14" spans="1:13" ht="15.6" x14ac:dyDescent="0.3">
      <c r="A14" s="169"/>
      <c r="B14" s="135" t="str">
        <f>+IFERROR(VLOOKUP(A14,Stock[[#All],[Ref]:[Nom]],2,FALSE),"")</f>
        <v/>
      </c>
      <c r="C14" s="138"/>
      <c r="D14" s="159"/>
      <c r="E14" s="149">
        <f t="shared" si="3"/>
        <v>0</v>
      </c>
      <c r="F14" s="136" t="str">
        <f>IF(A14="","",SUMIFS(Stock[[#All],[Stock F]],Stock[[#All],[Ref]],A14))</f>
        <v/>
      </c>
      <c r="G14" s="136" t="str">
        <f t="shared" si="2"/>
        <v/>
      </c>
      <c r="H14" s="7"/>
      <c r="I14" s="79" t="s">
        <v>68</v>
      </c>
      <c r="J14" s="80">
        <f>+J5-J8+J10</f>
        <v>120.58200000000001</v>
      </c>
      <c r="K14" s="23"/>
      <c r="L14" s="114" t="str">
        <f>+IFERROR(VLOOKUP(A14,Stock[[#All],[Ref]:[Prix U TTC]],6,FALSE),"")</f>
        <v/>
      </c>
      <c r="M14" s="114" t="str">
        <f>+IFERROR(VLOOKUP(A14,Stock[[#All],[Ref]:[Prix A HT]],3,FALSE)*1.2,"")</f>
        <v/>
      </c>
    </row>
    <row r="15" spans="1:13" ht="15.6" x14ac:dyDescent="0.3">
      <c r="A15" s="168"/>
      <c r="B15" s="133" t="str">
        <f>+IFERROR(VLOOKUP(A15,Stock[[#All],[Ref]:[Nom]],2,FALSE),"")</f>
        <v/>
      </c>
      <c r="C15" s="137"/>
      <c r="D15" s="158"/>
      <c r="E15" s="148">
        <f t="shared" si="3"/>
        <v>0</v>
      </c>
      <c r="F15" s="134" t="str">
        <f>IF(A15="","",SUMIFS(Stock[[#All],[Stock F]],Stock[[#All],[Ref]],A15))</f>
        <v/>
      </c>
      <c r="G15" s="134" t="str">
        <f t="shared" si="2"/>
        <v/>
      </c>
      <c r="H15" s="7"/>
      <c r="I15" s="81" t="s">
        <v>69</v>
      </c>
      <c r="J15" s="82">
        <f>+IF(G2=BDD!D2,J14/(1+BDD!E2),IF(G2=BDD!D3,J14/(1+BDD!E3),J14))</f>
        <v>100.48500000000001</v>
      </c>
      <c r="K15" s="24"/>
      <c r="L15" s="114" t="str">
        <f>+IFERROR(VLOOKUP(A15,Stock[[#All],[Ref]:[Prix U TTC]],6,FALSE),"")</f>
        <v/>
      </c>
      <c r="M15" s="114" t="str">
        <f>+IFERROR(VLOOKUP(A15,Stock[[#All],[Ref]:[Prix A HT]],3,FALSE)*1.2,"")</f>
        <v/>
      </c>
    </row>
    <row r="16" spans="1:13" ht="15.6" x14ac:dyDescent="0.3">
      <c r="A16" s="169"/>
      <c r="B16" s="135" t="str">
        <f>+IFERROR(VLOOKUP(A16,Stock[[#All],[Ref]:[Nom]],2,FALSE),"")</f>
        <v/>
      </c>
      <c r="C16" s="138"/>
      <c r="D16" s="159"/>
      <c r="E16" s="149">
        <f t="shared" ref="E16:E21" si="4">IFERROR(IF(C16=0,0,D16*C16),"")</f>
        <v>0</v>
      </c>
      <c r="F16" s="136" t="str">
        <f>IF(A16="","",SUMIFS(Stock[[#All],[Stock F]],Stock[[#All],[Ref]],A16))</f>
        <v/>
      </c>
      <c r="G16" s="136" t="str">
        <f t="shared" ref="G16:G21" si="5">+IFERROR(F16-C16,"")</f>
        <v/>
      </c>
      <c r="H16" s="7"/>
      <c r="I16" s="81" t="s">
        <v>37</v>
      </c>
      <c r="J16" s="83">
        <f>J14-J15</f>
        <v>20.096999999999994</v>
      </c>
      <c r="K16" s="25"/>
      <c r="L16" s="114" t="str">
        <f>+IFERROR(VLOOKUP(A16,Stock[[#All],[Ref]:[Prix U TTC]],6,FALSE),"")</f>
        <v/>
      </c>
      <c r="M16" s="114" t="str">
        <f>+IFERROR(VLOOKUP(A16,Stock[[#All],[Ref]:[Prix A HT]],3,FALSE)*1.2,"")</f>
        <v/>
      </c>
    </row>
    <row r="17" spans="1:13" ht="15.6" x14ac:dyDescent="0.3">
      <c r="A17" s="168"/>
      <c r="B17" s="133" t="str">
        <f>+IFERROR(VLOOKUP(A17,Stock[[#All],[Ref]:[Nom]],2,FALSE),"")</f>
        <v/>
      </c>
      <c r="C17" s="137"/>
      <c r="D17" s="158"/>
      <c r="E17" s="148">
        <f t="shared" si="4"/>
        <v>0</v>
      </c>
      <c r="F17" s="134" t="str">
        <f>IF(A17="","",SUMIFS(Stock[[#All],[Stock F]],Stock[[#All],[Ref]],A17))</f>
        <v/>
      </c>
      <c r="G17" s="134" t="str">
        <f t="shared" si="5"/>
        <v/>
      </c>
      <c r="H17" s="7"/>
      <c r="I17" s="19"/>
      <c r="J17" s="7"/>
      <c r="K17" s="7"/>
      <c r="L17" s="114" t="str">
        <f>+IFERROR(VLOOKUP(A17,Stock[[#All],[Ref]:[Prix U TTC]],6,FALSE),"")</f>
        <v/>
      </c>
      <c r="M17" s="114" t="str">
        <f>+IFERROR(VLOOKUP(A17,Stock[[#All],[Ref]:[Prix A HT]],3,FALSE)*1.2,"")</f>
        <v/>
      </c>
    </row>
    <row r="18" spans="1:13" ht="15.6" x14ac:dyDescent="0.3">
      <c r="A18" s="169"/>
      <c r="B18" s="135" t="str">
        <f>+IFERROR(VLOOKUP(A18,Stock[[#All],[Ref]:[Nom]],2,FALSE),"")</f>
        <v/>
      </c>
      <c r="C18" s="138"/>
      <c r="D18" s="159"/>
      <c r="E18" s="149">
        <f t="shared" si="4"/>
        <v>0</v>
      </c>
      <c r="F18" s="136" t="str">
        <f>IF(A18="","",SUMIFS(Stock[[#All],[Stock F]],Stock[[#All],[Ref]],A18))</f>
        <v/>
      </c>
      <c r="G18" s="136" t="str">
        <f t="shared" si="5"/>
        <v/>
      </c>
      <c r="H18" s="7"/>
      <c r="I18" s="173" t="s">
        <v>70</v>
      </c>
      <c r="J18" s="173"/>
      <c r="K18" s="7"/>
      <c r="L18" s="114" t="str">
        <f>+IFERROR(VLOOKUP(A18,Stock[[#All],[Ref]:[Prix U TTC]],6,FALSE),"")</f>
        <v/>
      </c>
      <c r="M18" s="114" t="str">
        <f>+IFERROR(VLOOKUP(A18,Stock[[#All],[Ref]:[Prix A HT]],3,FALSE)*1.2,"")</f>
        <v/>
      </c>
    </row>
    <row r="19" spans="1:13" ht="15.6" x14ac:dyDescent="0.3">
      <c r="A19" s="168"/>
      <c r="B19" s="133" t="str">
        <f>+IFERROR(VLOOKUP(A19,Stock[[#All],[Ref]:[Nom]],2,FALSE),"")</f>
        <v/>
      </c>
      <c r="C19" s="137"/>
      <c r="D19" s="158"/>
      <c r="E19" s="148">
        <f t="shared" si="4"/>
        <v>0</v>
      </c>
      <c r="F19" s="134" t="str">
        <f>IF(A19="","",SUMIFS(Stock[[#All],[Stock F]],Stock[[#All],[Ref]],A19))</f>
        <v/>
      </c>
      <c r="G19" s="134" t="str">
        <f t="shared" si="5"/>
        <v/>
      </c>
      <c r="H19" s="7"/>
      <c r="I19" s="175"/>
      <c r="J19" s="175"/>
      <c r="K19" s="7"/>
      <c r="L19" s="114" t="str">
        <f>+IFERROR(VLOOKUP(A19,Stock[[#All],[Ref]:[Prix U TTC]],6,FALSE),"")</f>
        <v/>
      </c>
      <c r="M19" s="114" t="str">
        <f>+IFERROR(VLOOKUP(A19,Stock[[#All],[Ref]:[Prix A HT]],3,FALSE)*1.2,"")</f>
        <v/>
      </c>
    </row>
    <row r="20" spans="1:13" ht="15.6" x14ac:dyDescent="0.3">
      <c r="A20" s="169"/>
      <c r="B20" s="135" t="str">
        <f>+IFERROR(VLOOKUP(A20,Stock[[#All],[Ref]:[Nom]],2,FALSE),"")</f>
        <v/>
      </c>
      <c r="C20" s="138"/>
      <c r="D20" s="159"/>
      <c r="E20" s="149">
        <f t="shared" si="4"/>
        <v>0</v>
      </c>
      <c r="F20" s="136" t="str">
        <f>IF(A20="","",SUMIFS(Stock[[#All],[Stock F]],Stock[[#All],[Ref]],A20))</f>
        <v/>
      </c>
      <c r="G20" s="136" t="str">
        <f t="shared" si="5"/>
        <v/>
      </c>
      <c r="H20" s="7"/>
      <c r="I20" s="7"/>
      <c r="J20" s="7"/>
      <c r="K20" s="7"/>
      <c r="L20" s="114" t="str">
        <f>+IFERROR(VLOOKUP(A20,Stock[[#All],[Ref]:[Prix U TTC]],6,FALSE),"")</f>
        <v/>
      </c>
      <c r="M20" s="114" t="str">
        <f>+IFERROR(VLOOKUP(A20,Stock[[#All],[Ref]:[Prix A HT]],3,FALSE)*1.2,"")</f>
        <v/>
      </c>
    </row>
    <row r="21" spans="1:13" ht="15.6" x14ac:dyDescent="0.3">
      <c r="A21" s="168"/>
      <c r="B21" s="133" t="str">
        <f>+IFERROR(VLOOKUP(A21,Stock[[#All],[Ref]:[Nom]],2,FALSE),"")</f>
        <v/>
      </c>
      <c r="C21" s="137"/>
      <c r="D21" s="158"/>
      <c r="E21" s="148">
        <f t="shared" si="4"/>
        <v>0</v>
      </c>
      <c r="F21" s="134" t="str">
        <f>IF(A21="","",SUMIFS(Stock[[#All],[Stock F]],Stock[[#All],[Ref]],A21))</f>
        <v/>
      </c>
      <c r="G21" s="134" t="str">
        <f t="shared" si="5"/>
        <v/>
      </c>
      <c r="H21" s="7"/>
      <c r="I21" s="19"/>
      <c r="J21" s="7"/>
      <c r="K21" s="7"/>
      <c r="L21" s="114" t="str">
        <f>+IFERROR(VLOOKUP(A21,Stock[[#All],[Ref]:[Prix U TTC]],6,FALSE),"")</f>
        <v/>
      </c>
      <c r="M21" s="114" t="str">
        <f>+IFERROR(VLOOKUP(A21,Stock[[#All],[Ref]:[Prix A HT]],3,FALSE)*1.2,"")</f>
        <v/>
      </c>
    </row>
    <row r="22" spans="1:13" ht="15.6" x14ac:dyDescent="0.3">
      <c r="A22" s="7"/>
      <c r="B22" s="7"/>
      <c r="C22" s="7"/>
      <c r="D22" s="7"/>
      <c r="E22" s="7"/>
      <c r="F22" s="7"/>
      <c r="G22" s="7"/>
      <c r="H22" s="19"/>
      <c r="I22" s="7"/>
      <c r="J22" s="7"/>
      <c r="K22" s="19"/>
      <c r="L22" s="7"/>
      <c r="M22" s="7"/>
    </row>
    <row r="23" spans="1:13" ht="15.6" x14ac:dyDescent="0.3">
      <c r="A23" s="7"/>
      <c r="B23" s="7"/>
      <c r="C23" s="7"/>
      <c r="D23" s="7"/>
      <c r="E23" s="7"/>
      <c r="F23" s="7"/>
      <c r="G23" s="7"/>
      <c r="H23" s="19"/>
      <c r="I23" s="7"/>
      <c r="J23" s="7"/>
      <c r="K23" s="19"/>
      <c r="L23" s="7"/>
      <c r="M23" s="7"/>
    </row>
    <row r="24" spans="1:13" ht="15.6" x14ac:dyDescent="0.3">
      <c r="A24" s="7"/>
      <c r="B24" s="7"/>
      <c r="C24" s="7"/>
      <c r="D24" s="7"/>
      <c r="E24" s="7"/>
      <c r="F24" s="7"/>
      <c r="G24" s="7"/>
      <c r="H24" s="19"/>
      <c r="I24" s="7"/>
      <c r="J24" s="7"/>
      <c r="K24" s="19"/>
      <c r="L24" s="7"/>
      <c r="M24" s="7"/>
    </row>
  </sheetData>
  <sheetProtection selectLockedCells="1"/>
  <mergeCells count="4">
    <mergeCell ref="B1:C1"/>
    <mergeCell ref="B2:C2"/>
    <mergeCell ref="I18:J18"/>
    <mergeCell ref="I19:J19"/>
  </mergeCells>
  <conditionalFormatting sqref="F5:F13 F15">
    <cfRule type="cellIs" dxfId="92" priority="10" operator="equal">
      <formula>0</formula>
    </cfRule>
  </conditionalFormatting>
  <conditionalFormatting sqref="G5:G13 G15">
    <cfRule type="cellIs" dxfId="91" priority="9" operator="lessThan">
      <formula>0</formula>
    </cfRule>
  </conditionalFormatting>
  <conditionalFormatting sqref="F14">
    <cfRule type="cellIs" dxfId="90" priority="8" operator="equal">
      <formula>0</formula>
    </cfRule>
  </conditionalFormatting>
  <conditionalFormatting sqref="G14">
    <cfRule type="cellIs" dxfId="89" priority="7" operator="lessThan">
      <formula>0</formula>
    </cfRule>
  </conditionalFormatting>
  <conditionalFormatting sqref="F16">
    <cfRule type="cellIs" dxfId="88" priority="6" operator="equal">
      <formula>0</formula>
    </cfRule>
  </conditionalFormatting>
  <conditionalFormatting sqref="G16">
    <cfRule type="cellIs" dxfId="87" priority="5" operator="lessThan">
      <formula>0</formula>
    </cfRule>
  </conditionalFormatting>
  <conditionalFormatting sqref="F17 F19 F21">
    <cfRule type="cellIs" dxfId="86" priority="4" operator="equal">
      <formula>0</formula>
    </cfRule>
  </conditionalFormatting>
  <conditionalFormatting sqref="G17 G19 G21">
    <cfRule type="cellIs" dxfId="85" priority="3" operator="lessThan">
      <formula>0</formula>
    </cfRule>
  </conditionalFormatting>
  <conditionalFormatting sqref="F18 F20">
    <cfRule type="cellIs" dxfId="84" priority="2" operator="equal">
      <formula>0</formula>
    </cfRule>
  </conditionalFormatting>
  <conditionalFormatting sqref="G18 G20">
    <cfRule type="cellIs" dxfId="83" priority="1" operator="lessThan">
      <formula>0</formula>
    </cfRule>
  </conditionalFormatting>
  <dataValidations count="4">
    <dataValidation type="list" allowBlank="1" showInputMessage="1" showErrorMessage="1" sqref="G2" xr:uid="{00000000-0002-0000-0100-000000000000}">
      <formula1>INDIRECT("TB_8[TVA APPLICABLE]")</formula1>
    </dataValidation>
    <dataValidation type="list" allowBlank="1" showInputMessage="1" showErrorMessage="1" sqref="J12" xr:uid="{00000000-0002-0000-0100-000001000000}">
      <formula1>INDIRECT("TB_11[Transporteur]")</formula1>
    </dataValidation>
    <dataValidation type="list" allowBlank="1" showInputMessage="1" showErrorMessage="1" sqref="A2" xr:uid="{2F2982EA-E810-4A53-8561-8E3EBDCABD12}">
      <formula1>INDIRECT("TB_10[Site de vente]")</formula1>
    </dataValidation>
    <dataValidation type="list" allowBlank="1" showInputMessage="1" showErrorMessage="1" sqref="I19:J19" xr:uid="{C967BEF0-8EEF-4B4C-8AA8-BC69B0A57DA1}">
      <formula1>INDIRECT("TB_9[Moyen de Paiement]")</formula1>
    </dataValidation>
  </dataValidations>
  <printOptions headings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9C569-746B-4DD4-9A3F-7ACDEA59272A}">
  <sheetPr codeName="Feuil6"/>
  <dimension ref="A1:I40"/>
  <sheetViews>
    <sheetView showGridLines="0" zoomScaleNormal="100" workbookViewId="0">
      <selection activeCell="B8" sqref="B8:C8"/>
    </sheetView>
  </sheetViews>
  <sheetFormatPr baseColWidth="10" defaultColWidth="0" defaultRowHeight="14.4" x14ac:dyDescent="0.3"/>
  <cols>
    <col min="1" max="9" width="11.5546875" customWidth="1"/>
    <col min="10" max="16384" width="11.5546875" hidden="1"/>
  </cols>
  <sheetData>
    <row r="1" spans="2:5" x14ac:dyDescent="0.3">
      <c r="B1" s="190" t="str">
        <f>+BDD!B2</f>
        <v>CALINDOUDOU</v>
      </c>
      <c r="C1" s="191"/>
      <c r="D1" s="191"/>
      <c r="E1" s="192"/>
    </row>
    <row r="2" spans="2:5" x14ac:dyDescent="0.3">
      <c r="B2" s="193" t="str">
        <f>+BDD!B3</f>
        <v>20 Hameau de Peyret</v>
      </c>
      <c r="C2" s="194"/>
      <c r="D2" s="194"/>
      <c r="E2" s="195"/>
    </row>
    <row r="3" spans="2:5" x14ac:dyDescent="0.3">
      <c r="B3" s="193" t="str">
        <f>+BDD!B4</f>
        <v xml:space="preserve"> </v>
      </c>
      <c r="C3" s="194"/>
      <c r="D3" s="194"/>
      <c r="E3" s="195"/>
    </row>
    <row r="4" spans="2:5" x14ac:dyDescent="0.3">
      <c r="B4" s="193" t="str">
        <f>+BDD!B5&amp;" "&amp;BDD!B6</f>
        <v>31560 CALMONT</v>
      </c>
      <c r="C4" s="194"/>
      <c r="D4" s="194"/>
      <c r="E4" s="195"/>
    </row>
    <row r="5" spans="2:5" x14ac:dyDescent="0.3">
      <c r="B5" s="196">
        <f>+BDD!B7</f>
        <v>620710016</v>
      </c>
      <c r="C5" s="197"/>
      <c r="D5" s="197"/>
      <c r="E5" s="198"/>
    </row>
    <row r="6" spans="2:5" x14ac:dyDescent="0.3">
      <c r="B6" s="179" t="s">
        <v>113</v>
      </c>
      <c r="C6" s="180"/>
      <c r="D6" s="180"/>
      <c r="E6" s="181"/>
    </row>
    <row r="7" spans="2:5" x14ac:dyDescent="0.3">
      <c r="B7" s="182" t="s">
        <v>114</v>
      </c>
      <c r="C7" s="183"/>
      <c r="D7" s="183"/>
      <c r="E7" s="184"/>
    </row>
    <row r="8" spans="2:5" x14ac:dyDescent="0.3">
      <c r="B8" s="188">
        <v>44266.485543981478</v>
      </c>
      <c r="C8" s="189"/>
      <c r="D8" s="84"/>
      <c r="E8" s="85"/>
    </row>
    <row r="9" spans="2:5" x14ac:dyDescent="0.3">
      <c r="B9" s="26" t="s">
        <v>118</v>
      </c>
      <c r="C9" s="27"/>
      <c r="D9" s="27" t="s">
        <v>123</v>
      </c>
      <c r="E9" s="28"/>
    </row>
    <row r="10" spans="2:5" x14ac:dyDescent="0.3">
      <c r="B10" s="29" t="s">
        <v>120</v>
      </c>
      <c r="C10" s="30"/>
      <c r="D10" s="30"/>
      <c r="E10" s="31"/>
    </row>
    <row r="11" spans="2:5" x14ac:dyDescent="0.3">
      <c r="B11" s="32" t="s">
        <v>71</v>
      </c>
      <c r="C11" s="33" t="s">
        <v>72</v>
      </c>
      <c r="D11" s="33" t="s">
        <v>73</v>
      </c>
      <c r="E11" s="34" t="s">
        <v>74</v>
      </c>
    </row>
    <row r="12" spans="2:5" x14ac:dyDescent="0.3">
      <c r="B12" s="35" t="s">
        <v>47</v>
      </c>
      <c r="C12" s="36">
        <v>1</v>
      </c>
      <c r="D12" s="95">
        <v>19.95</v>
      </c>
      <c r="E12" s="37">
        <v>19.95</v>
      </c>
    </row>
    <row r="13" spans="2:5" x14ac:dyDescent="0.3">
      <c r="B13" s="38" t="s">
        <v>46</v>
      </c>
      <c r="C13" s="36">
        <v>2</v>
      </c>
      <c r="D13" s="95">
        <v>28.716000000000001</v>
      </c>
      <c r="E13" s="37">
        <v>57.43</v>
      </c>
    </row>
    <row r="14" spans="2:5" x14ac:dyDescent="0.3">
      <c r="B14" s="38" t="s">
        <v>95</v>
      </c>
      <c r="C14" s="36">
        <v>3</v>
      </c>
      <c r="D14" s="95">
        <v>14.4</v>
      </c>
      <c r="E14" s="37">
        <v>43.2</v>
      </c>
    </row>
    <row r="15" spans="2:5" hidden="1" x14ac:dyDescent="0.3">
      <c r="B15" s="38"/>
      <c r="C15" s="36"/>
      <c r="D15" s="95"/>
      <c r="E15" s="37"/>
    </row>
    <row r="16" spans="2:5" hidden="1" x14ac:dyDescent="0.3">
      <c r="B16" s="38"/>
      <c r="C16" s="36"/>
      <c r="D16" s="95"/>
      <c r="E16" s="37"/>
    </row>
    <row r="17" spans="2:9" hidden="1" x14ac:dyDescent="0.3">
      <c r="B17" s="38"/>
      <c r="C17" s="36"/>
      <c r="D17" s="95"/>
      <c r="E17" s="37"/>
    </row>
    <row r="18" spans="2:9" hidden="1" x14ac:dyDescent="0.3">
      <c r="B18" s="38"/>
      <c r="C18" s="36"/>
      <c r="D18" s="95"/>
      <c r="E18" s="37"/>
    </row>
    <row r="19" spans="2:9" hidden="1" x14ac:dyDescent="0.3">
      <c r="B19" s="38"/>
      <c r="C19" s="36"/>
      <c r="D19" s="95"/>
      <c r="E19" s="37"/>
    </row>
    <row r="20" spans="2:9" hidden="1" x14ac:dyDescent="0.3">
      <c r="B20" s="38"/>
      <c r="C20" s="36"/>
      <c r="D20" s="95"/>
      <c r="E20" s="37"/>
    </row>
    <row r="21" spans="2:9" hidden="1" x14ac:dyDescent="0.3">
      <c r="B21" s="38"/>
      <c r="C21" s="36"/>
      <c r="D21" s="95"/>
      <c r="E21" s="37"/>
    </row>
    <row r="22" spans="2:9" hidden="1" x14ac:dyDescent="0.3">
      <c r="B22" s="38"/>
      <c r="C22" s="36"/>
      <c r="D22" s="95"/>
      <c r="E22" s="37"/>
      <c r="I22" s="93"/>
    </row>
    <row r="23" spans="2:9" hidden="1" x14ac:dyDescent="0.3">
      <c r="B23" s="38"/>
      <c r="C23" s="36"/>
      <c r="D23" s="95"/>
      <c r="E23" s="37"/>
    </row>
    <row r="24" spans="2:9" hidden="1" x14ac:dyDescent="0.3">
      <c r="B24" s="38"/>
      <c r="C24" s="36"/>
      <c r="D24" s="95"/>
      <c r="E24" s="37">
        <v>19.95</v>
      </c>
    </row>
    <row r="25" spans="2:9" hidden="1" x14ac:dyDescent="0.3">
      <c r="B25" s="38"/>
      <c r="C25" s="36"/>
      <c r="D25" s="95"/>
      <c r="E25" s="37"/>
    </row>
    <row r="26" spans="2:9" hidden="1" x14ac:dyDescent="0.3">
      <c r="B26" s="38"/>
      <c r="C26" s="36"/>
      <c r="D26" s="95"/>
      <c r="E26" s="37"/>
    </row>
    <row r="27" spans="2:9" hidden="1" x14ac:dyDescent="0.3">
      <c r="B27" s="38"/>
      <c r="C27" s="36"/>
      <c r="D27" s="95"/>
      <c r="E27" s="37"/>
    </row>
    <row r="28" spans="2:9" hidden="1" x14ac:dyDescent="0.3">
      <c r="B28" s="38"/>
      <c r="C28" s="36"/>
      <c r="D28" s="95"/>
      <c r="E28" s="37"/>
    </row>
    <row r="29" spans="2:9" x14ac:dyDescent="0.3">
      <c r="B29" s="39">
        <f>+SUM(C12:C28)</f>
        <v>6</v>
      </c>
      <c r="C29" s="40"/>
      <c r="D29" s="41"/>
      <c r="E29" s="161"/>
    </row>
    <row r="30" spans="2:9" x14ac:dyDescent="0.3">
      <c r="B30" s="42" t="s">
        <v>107</v>
      </c>
      <c r="C30" s="43"/>
      <c r="D30" s="43"/>
      <c r="E30" s="37">
        <f>+SUM(E12:E28)</f>
        <v>140.53</v>
      </c>
    </row>
    <row r="31" spans="2:9" x14ac:dyDescent="0.3">
      <c r="B31" s="162"/>
      <c r="C31" s="49"/>
      <c r="D31" s="50"/>
      <c r="E31" s="51"/>
    </row>
    <row r="32" spans="2:9" ht="15" thickBot="1" x14ac:dyDescent="0.35">
      <c r="B32" s="164"/>
      <c r="C32" s="49"/>
      <c r="D32" s="50"/>
      <c r="E32" s="165"/>
    </row>
    <row r="33" spans="2:5" ht="15.6" thickTop="1" thickBot="1" x14ac:dyDescent="0.35">
      <c r="B33" s="167" t="s">
        <v>106</v>
      </c>
      <c r="C33" s="44"/>
      <c r="D33" s="44"/>
      <c r="E33" s="166">
        <f>+E30+E32-E31</f>
        <v>140.53</v>
      </c>
    </row>
    <row r="34" spans="2:5" ht="15" thickTop="1" x14ac:dyDescent="0.3">
      <c r="B34" s="45"/>
      <c r="C34" s="46"/>
      <c r="D34" s="46"/>
      <c r="E34" s="47">
        <f>+E33</f>
        <v>140.53</v>
      </c>
    </row>
    <row r="35" spans="2:5" x14ac:dyDescent="0.3">
      <c r="B35" s="48" t="s">
        <v>121</v>
      </c>
      <c r="C35" s="49"/>
      <c r="D35" s="50"/>
      <c r="E35" s="51">
        <v>20.096999999999994</v>
      </c>
    </row>
    <row r="36" spans="2:5" x14ac:dyDescent="0.3">
      <c r="B36" s="52" t="s">
        <v>67</v>
      </c>
      <c r="C36" s="53"/>
      <c r="D36" s="54"/>
      <c r="E36" s="55"/>
    </row>
    <row r="37" spans="2:5" x14ac:dyDescent="0.3">
      <c r="B37" s="185" t="s">
        <v>110</v>
      </c>
      <c r="C37" s="186"/>
      <c r="D37" s="186"/>
      <c r="E37" s="187"/>
    </row>
    <row r="38" spans="2:5" x14ac:dyDescent="0.3">
      <c r="B38" s="185" t="s">
        <v>108</v>
      </c>
      <c r="C38" s="186"/>
      <c r="D38" s="186"/>
      <c r="E38" s="187"/>
    </row>
    <row r="39" spans="2:5" x14ac:dyDescent="0.3">
      <c r="B39" s="185" t="s">
        <v>109</v>
      </c>
      <c r="C39" s="186"/>
      <c r="D39" s="186"/>
      <c r="E39" s="187"/>
    </row>
    <row r="40" spans="2:5" x14ac:dyDescent="0.3">
      <c r="B40" s="176" t="str">
        <f>+BDD!$A$8&amp;" "&amp;BDD!$B$8</f>
        <v>Siret : 88261147800018</v>
      </c>
      <c r="C40" s="177"/>
      <c r="D40" s="177"/>
      <c r="E40" s="178"/>
    </row>
  </sheetData>
  <mergeCells count="12">
    <mergeCell ref="B1:E1"/>
    <mergeCell ref="B2:E2"/>
    <mergeCell ref="B3:E3"/>
    <mergeCell ref="B4:E4"/>
    <mergeCell ref="B5:E5"/>
    <mergeCell ref="B40:E40"/>
    <mergeCell ref="B6:E6"/>
    <mergeCell ref="B7:E7"/>
    <mergeCell ref="B37:E37"/>
    <mergeCell ref="B8:C8"/>
    <mergeCell ref="B38:E38"/>
    <mergeCell ref="B39:E39"/>
  </mergeCells>
  <printOptions headings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autoPict="0" r:id="rId5">
            <anchor moveWithCells="1">
              <from>
                <xdr:col>7</xdr:col>
                <xdr:colOff>22860</xdr:colOff>
                <xdr:row>5</xdr:row>
                <xdr:rowOff>38100</xdr:rowOff>
              </from>
              <to>
                <xdr:col>8</xdr:col>
                <xdr:colOff>144780</xdr:colOff>
                <xdr:row>9</xdr:row>
                <xdr:rowOff>99060</xdr:rowOff>
              </to>
            </anchor>
          </controlPr>
        </control>
      </mc:Choice>
      <mc:Fallback>
        <control shapeId="2051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Q18"/>
  <sheetViews>
    <sheetView showGridLines="0" topLeftCell="A3" workbookViewId="0">
      <selection activeCell="O14" sqref="O14"/>
    </sheetView>
  </sheetViews>
  <sheetFormatPr baseColWidth="10" defaultRowHeight="14.4" x14ac:dyDescent="0.3"/>
  <cols>
    <col min="1" max="1" width="11.33203125" style="152" bestFit="1" customWidth="1"/>
    <col min="2" max="2" width="15.5546875" style="152" bestFit="1" customWidth="1"/>
    <col min="3" max="5" width="11.5546875" style="152"/>
    <col min="6" max="6" width="12.33203125" style="152" customWidth="1"/>
    <col min="7" max="9" width="11.5546875" style="152"/>
    <col min="10" max="10" width="12.5546875" style="152" customWidth="1"/>
    <col min="11" max="11" width="11.44140625" style="152" bestFit="1" customWidth="1"/>
    <col min="12" max="13" width="11.5546875" style="152"/>
    <col min="14" max="14" width="12.33203125" style="152" customWidth="1"/>
    <col min="15" max="15" width="13.33203125" style="152" customWidth="1"/>
    <col min="16" max="16" width="14" style="171" bestFit="1" customWidth="1"/>
  </cols>
  <sheetData>
    <row r="1" spans="1:17" hidden="1" x14ac:dyDescent="0.3">
      <c r="A1" s="67" t="s">
        <v>23</v>
      </c>
      <c r="B1" s="68" t="s">
        <v>24</v>
      </c>
      <c r="C1" s="68" t="s">
        <v>25</v>
      </c>
      <c r="D1" s="68" t="s">
        <v>26</v>
      </c>
      <c r="E1" s="68" t="s">
        <v>27</v>
      </c>
      <c r="F1" s="68" t="s">
        <v>28</v>
      </c>
      <c r="G1" s="68" t="s">
        <v>29</v>
      </c>
      <c r="H1"/>
      <c r="I1"/>
      <c r="J1"/>
      <c r="K1"/>
      <c r="L1"/>
      <c r="M1"/>
      <c r="N1"/>
      <c r="O1"/>
    </row>
    <row r="2" spans="1:17" hidden="1" x14ac:dyDescent="0.3">
      <c r="A2" s="69">
        <f ca="1">+A3</f>
        <v>44429</v>
      </c>
      <c r="B2" s="70"/>
      <c r="C2" s="70">
        <f>+B4</f>
        <v>3</v>
      </c>
      <c r="D2" s="70">
        <f>+B6</f>
        <v>3</v>
      </c>
      <c r="E2" s="70"/>
      <c r="F2" s="70">
        <f>+B8</f>
        <v>3</v>
      </c>
      <c r="G2" s="70">
        <f>+D8</f>
        <v>0</v>
      </c>
      <c r="H2"/>
      <c r="I2"/>
      <c r="J2"/>
      <c r="K2"/>
      <c r="L2"/>
      <c r="M2"/>
      <c r="N2"/>
      <c r="O2"/>
    </row>
    <row r="3" spans="1:17" ht="25.95" customHeight="1" x14ac:dyDescent="0.3">
      <c r="A3" s="10">
        <f ca="1">+TODAY()</f>
        <v>44429</v>
      </c>
      <c r="B3" s="201" t="s">
        <v>31</v>
      </c>
      <c r="C3" s="201"/>
      <c r="D3" s="201"/>
      <c r="E3" s="201"/>
      <c r="F3" s="201"/>
      <c r="G3"/>
      <c r="H3"/>
      <c r="I3" s="201" t="s">
        <v>52</v>
      </c>
      <c r="J3" s="201"/>
      <c r="K3" s="201"/>
      <c r="L3" s="201"/>
      <c r="M3" s="201"/>
      <c r="N3" s="201"/>
      <c r="O3" s="201"/>
    </row>
    <row r="4" spans="1:17" x14ac:dyDescent="0.3">
      <c r="A4" s="9" t="s">
        <v>25</v>
      </c>
      <c r="B4" s="57">
        <v>3</v>
      </c>
      <c r="C4" s="15" t="str">
        <f>+IFERROR(VLOOKUP(B4,Stock[[#All],[Ref]:[Nom]],2,FALSE),"")</f>
        <v>Doudou et Compagnie Lapin Celeste Boule DC2399</v>
      </c>
      <c r="D4" s="8"/>
      <c r="E4" s="8"/>
      <c r="F4" s="7"/>
      <c r="G4"/>
      <c r="H4"/>
      <c r="I4" s="146" t="s">
        <v>53</v>
      </c>
      <c r="J4" s="147" t="s">
        <v>94</v>
      </c>
      <c r="K4" s="7"/>
      <c r="L4" s="7"/>
      <c r="M4" s="7"/>
      <c r="N4" s="7"/>
      <c r="O4" s="7"/>
    </row>
    <row r="5" spans="1:17" x14ac:dyDescent="0.3">
      <c r="A5" s="8"/>
      <c r="B5" s="8"/>
      <c r="C5" s="8"/>
      <c r="D5" s="8"/>
      <c r="E5" s="8"/>
      <c r="F5" s="7"/>
      <c r="G5"/>
      <c r="H5"/>
      <c r="I5" s="7"/>
      <c r="J5" s="7"/>
      <c r="K5" s="7"/>
      <c r="L5" s="7"/>
      <c r="M5" s="7"/>
      <c r="N5" s="7"/>
      <c r="O5" s="7"/>
    </row>
    <row r="6" spans="1:17" x14ac:dyDescent="0.3">
      <c r="A6" s="9" t="s">
        <v>30</v>
      </c>
      <c r="B6" s="57">
        <v>3</v>
      </c>
      <c r="C6" s="8"/>
      <c r="D6" s="8"/>
      <c r="E6" s="8"/>
      <c r="F6" s="7"/>
      <c r="G6"/>
      <c r="H6"/>
      <c r="I6" s="146" t="s">
        <v>39</v>
      </c>
      <c r="J6" s="144">
        <f>+IFERROR(VLOOKUP(J4,Stock[[#All],[Ref]:[Total V HT]],7,FALSE),SUM(Stock[Stock I]))</f>
        <v>44</v>
      </c>
      <c r="K6" s="146" t="s">
        <v>35</v>
      </c>
      <c r="L6" s="145">
        <f>+IFERROR(VLOOKUP(J4,Stock[[#All],[Ref]:[Prix U HT]],3,FALSE),"")</f>
        <v>6.25</v>
      </c>
      <c r="M6" s="146" t="s">
        <v>54</v>
      </c>
      <c r="N6" s="145">
        <f>+IFERROR(VLOOKUP(J4,Stock[[#All],[Ref]:[V S F HT]],13,FALSE),SUM(Stock[V S F HT]))</f>
        <v>275</v>
      </c>
      <c r="O6" s="7"/>
    </row>
    <row r="7" spans="1:17" x14ac:dyDescent="0.3">
      <c r="A7" s="8"/>
      <c r="B7" s="8"/>
      <c r="C7" s="8"/>
      <c r="D7" s="8"/>
      <c r="E7" s="8"/>
      <c r="F7" s="7"/>
      <c r="G7"/>
      <c r="H7"/>
      <c r="I7" s="7"/>
      <c r="J7" s="7"/>
      <c r="K7" s="7"/>
      <c r="L7" s="7"/>
      <c r="M7" s="7"/>
      <c r="N7" s="7"/>
      <c r="O7" s="7"/>
    </row>
    <row r="8" spans="1:17" ht="15.6" x14ac:dyDescent="0.3">
      <c r="A8" s="9" t="s">
        <v>33</v>
      </c>
      <c r="B8" s="66">
        <v>3</v>
      </c>
      <c r="C8" s="9" t="s">
        <v>32</v>
      </c>
      <c r="D8" s="199"/>
      <c r="E8" s="200"/>
      <c r="F8" s="7"/>
      <c r="G8"/>
      <c r="H8"/>
      <c r="I8" s="146" t="s">
        <v>40</v>
      </c>
      <c r="J8" s="144">
        <f>+IFERROR(VLOOKUP(J4,Stock[[#All],[Ref]:[Total V HT]],11,FALSE),SUM(Stock[Stock F]))</f>
        <v>44</v>
      </c>
      <c r="K8" s="146" t="s">
        <v>36</v>
      </c>
      <c r="L8" s="145">
        <f>+IFERROR(VLOOKUP(J4,Stock[[#All],[Ref]:[Prix U HT]],4,FALSE),"")</f>
        <v>12</v>
      </c>
      <c r="M8" s="146" t="s">
        <v>55</v>
      </c>
      <c r="N8" s="145">
        <f>+IFERROR(VLOOKUP(J4,Stock[[#All],[Ref]:[Total V HT]],14,FALSE),SUM(Stock[Total V HT]))</f>
        <v>528</v>
      </c>
      <c r="O8" s="7"/>
    </row>
    <row r="9" spans="1:17" x14ac:dyDescent="0.3">
      <c r="A9" s="8"/>
      <c r="B9" s="8"/>
      <c r="C9" s="8"/>
      <c r="D9" s="8"/>
      <c r="E9" s="8"/>
      <c r="F9" s="7"/>
      <c r="G9"/>
      <c r="H9"/>
      <c r="I9" s="7"/>
      <c r="J9" s="7"/>
      <c r="K9" s="7"/>
      <c r="L9" s="7"/>
      <c r="M9" s="7"/>
      <c r="N9" s="7"/>
      <c r="O9" s="7"/>
    </row>
    <row r="10" spans="1:17" x14ac:dyDescent="0.3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</row>
    <row r="11" spans="1:17" x14ac:dyDescent="0.3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7" x14ac:dyDescent="0.3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17" x14ac:dyDescent="0.3">
      <c r="A13" s="58" t="s">
        <v>25</v>
      </c>
      <c r="B13" s="59" t="s">
        <v>34</v>
      </c>
      <c r="C13" s="60" t="s">
        <v>35</v>
      </c>
      <c r="D13" s="60" t="s">
        <v>36</v>
      </c>
      <c r="E13" s="59" t="s">
        <v>37</v>
      </c>
      <c r="F13" s="60" t="s">
        <v>38</v>
      </c>
      <c r="G13" s="59" t="s">
        <v>39</v>
      </c>
      <c r="H13" s="59" t="s">
        <v>26</v>
      </c>
      <c r="I13" s="59" t="s">
        <v>27</v>
      </c>
      <c r="J13" s="59" t="s">
        <v>28</v>
      </c>
      <c r="K13" s="59" t="s">
        <v>40</v>
      </c>
      <c r="L13" s="60" t="s">
        <v>41</v>
      </c>
      <c r="M13" s="60" t="s">
        <v>42</v>
      </c>
      <c r="N13" s="60" t="s">
        <v>43</v>
      </c>
      <c r="O13" s="61" t="s">
        <v>44</v>
      </c>
      <c r="P13" s="172" t="s">
        <v>115</v>
      </c>
      <c r="Q13" s="60" t="s">
        <v>116</v>
      </c>
    </row>
    <row r="14" spans="1:17" x14ac:dyDescent="0.3">
      <c r="A14" s="62" t="s">
        <v>45</v>
      </c>
      <c r="B14" s="62" t="s">
        <v>46</v>
      </c>
      <c r="C14" s="72">
        <v>4</v>
      </c>
      <c r="D14" s="72">
        <v>23.93</v>
      </c>
      <c r="E14" s="63">
        <v>0.2</v>
      </c>
      <c r="F14" s="154">
        <f>+Stock[[#This Row],[TVA]]*Stock[[#This Row],[Prix U HT]]+Stock[[#This Row],[Prix U HT]]</f>
        <v>28.716000000000001</v>
      </c>
      <c r="G14" s="71">
        <v>23</v>
      </c>
      <c r="H14" s="71">
        <f>+SUMIFS(journal[[#All],[Entrée]],journal[[#All],[Ref]],A14)</f>
        <v>0</v>
      </c>
      <c r="I14" s="71">
        <f>+SUMIFS(journal[[#All],[Sortie]],journal[[#All],[Ref]],A14)</f>
        <v>30</v>
      </c>
      <c r="J14" s="71">
        <f>+SUMIFS(journal[[#All],[Destockage]],journal[[#All],[Ref]],A14)</f>
        <v>0</v>
      </c>
      <c r="K14" s="156">
        <f>+Stock[[#This Row],[Stock I]]+Stock[[#This Row],[Entrée]]-Stock[[#This Row],[Sortie]]-Stock[[#This Row],[Destockage]]</f>
        <v>-7</v>
      </c>
      <c r="L14" s="65">
        <f>+Stock[[#This Row],[Stock I]]*Stock[[#This Row],[Prix A HT]]</f>
        <v>92</v>
      </c>
      <c r="M14" s="64">
        <f>+Stock[[#This Row],[Stock F]]*Stock[[#This Row],[Prix A HT]]</f>
        <v>-28</v>
      </c>
      <c r="N14" s="64">
        <f>+Stock[[#This Row],[Stock F]]*Stock[[#This Row],[Prix U HT]]</f>
        <v>-167.51</v>
      </c>
      <c r="O14" s="64">
        <f>+Stock[[#This Row],[Stock F]]*Stock[[#This Row],[Prix U TTC]]</f>
        <v>-201.012</v>
      </c>
      <c r="P14" s="170">
        <v>3270241140170</v>
      </c>
      <c r="Q14" s="64" t="str">
        <f>+Stock[[#This Row],[Nom]]</f>
        <v>DOUDOU MAILEG LAPIN ROSE ANGEL DANS UNE CHAUSSETTE MINI PANTIN</v>
      </c>
    </row>
    <row r="15" spans="1:17" x14ac:dyDescent="0.3">
      <c r="A15" s="62">
        <v>3</v>
      </c>
      <c r="B15" s="62" t="s">
        <v>47</v>
      </c>
      <c r="C15" s="72">
        <v>7.5</v>
      </c>
      <c r="D15" s="72">
        <v>16.625</v>
      </c>
      <c r="E15" s="63">
        <v>0.2</v>
      </c>
      <c r="F15" s="154">
        <f>+Stock[[#This Row],[TVA]]*Stock[[#This Row],[Prix U HT]]+Stock[[#This Row],[Prix U HT]]</f>
        <v>19.95</v>
      </c>
      <c r="G15" s="71">
        <v>2</v>
      </c>
      <c r="H15" s="71">
        <f>+SUMIFS(journal[[#All],[Entrée]],journal[[#All],[Ref]],A15)</f>
        <v>6</v>
      </c>
      <c r="I15" s="71">
        <f>+SUMIFS(journal[[#All],[Sortie]],journal[[#All],[Ref]],A15)</f>
        <v>35</v>
      </c>
      <c r="J15" s="71">
        <f>+SUMIFS(journal[[#All],[Destockage]],journal[[#All],[Ref]],A15)</f>
        <v>0</v>
      </c>
      <c r="K15" s="156">
        <f>+Stock[[#This Row],[Stock I]]+Stock[[#This Row],[Entrée]]-Stock[[#This Row],[Sortie]]-Stock[[#This Row],[Destockage]]</f>
        <v>-27</v>
      </c>
      <c r="L15" s="65">
        <f>+Stock[[#This Row],[Stock I]]*Stock[[#This Row],[Prix A HT]]</f>
        <v>15</v>
      </c>
      <c r="M15" s="64">
        <f>+Stock[[#This Row],[Stock F]]*Stock[[#This Row],[Prix A HT]]</f>
        <v>-202.5</v>
      </c>
      <c r="N15" s="64">
        <f>+Stock[[#This Row],[Stock F]]*Stock[[#This Row],[Prix U HT]]</f>
        <v>-448.875</v>
      </c>
      <c r="O15" s="64">
        <f>+Stock[[#This Row],[Stock F]]*Stock[[#This Row],[Prix U TTC]]</f>
        <v>-538.65</v>
      </c>
      <c r="P15" s="170"/>
      <c r="Q15" s="64" t="str">
        <f>+Stock[[#This Row],[Nom]]</f>
        <v>Doudou et Compagnie Lapin Celeste Boule DC2399</v>
      </c>
    </row>
    <row r="16" spans="1:17" x14ac:dyDescent="0.3">
      <c r="A16" s="62" t="s">
        <v>48</v>
      </c>
      <c r="B16" s="62" t="s">
        <v>49</v>
      </c>
      <c r="C16" s="72">
        <v>2.5</v>
      </c>
      <c r="D16" s="72">
        <v>10.833333333333334</v>
      </c>
      <c r="E16" s="63">
        <v>0.2</v>
      </c>
      <c r="F16" s="154">
        <f>+Stock[[#This Row],[TVA]]*Stock[[#This Row],[Prix U HT]]+Stock[[#This Row],[Prix U HT]]</f>
        <v>13</v>
      </c>
      <c r="G16" s="71">
        <v>13</v>
      </c>
      <c r="H16" s="71">
        <f>+SUMIFS(journal[[#All],[Entrée]],journal[[#All],[Ref]],A16)</f>
        <v>0</v>
      </c>
      <c r="I16" s="71">
        <f>+SUMIFS(journal[[#All],[Sortie]],journal[[#All],[Ref]],A16)</f>
        <v>0</v>
      </c>
      <c r="J16" s="71">
        <f>+SUMIFS(journal[[#All],[Destockage]],journal[[#All],[Ref]],A16)</f>
        <v>0</v>
      </c>
      <c r="K16" s="156">
        <f>+Stock[[#This Row],[Stock I]]+Stock[[#This Row],[Entrée]]-Stock[[#This Row],[Sortie]]-Stock[[#This Row],[Destockage]]</f>
        <v>13</v>
      </c>
      <c r="L16" s="65">
        <f>+Stock[[#This Row],[Stock I]]*Stock[[#This Row],[Prix A HT]]</f>
        <v>32.5</v>
      </c>
      <c r="M16" s="64">
        <f>+Stock[[#This Row],[Stock F]]*Stock[[#This Row],[Prix A HT]]</f>
        <v>32.5</v>
      </c>
      <c r="N16" s="64">
        <f>+Stock[[#This Row],[Stock F]]*Stock[[#This Row],[Prix U HT]]</f>
        <v>140.83333333333334</v>
      </c>
      <c r="O16" s="64">
        <f>+Stock[[#This Row],[Stock F]]*Stock[[#This Row],[Prix U TTC]]</f>
        <v>169</v>
      </c>
      <c r="P16" s="170"/>
      <c r="Q16" s="64" t="str">
        <f>+Stock[[#This Row],[Nom]]</f>
        <v>Doudou et compagnie ours plat arc en ciel nuage de couleur DC1031</v>
      </c>
    </row>
    <row r="17" spans="1:17" x14ac:dyDescent="0.3">
      <c r="A17" s="62" t="s">
        <v>50</v>
      </c>
      <c r="B17" s="62" t="s">
        <v>51</v>
      </c>
      <c r="C17" s="72">
        <v>9.5750000000000011</v>
      </c>
      <c r="D17" s="72">
        <v>19.958333333333332</v>
      </c>
      <c r="E17" s="63">
        <v>0.2</v>
      </c>
      <c r="F17" s="154">
        <f>+Stock[[#This Row],[TVA]]*Stock[[#This Row],[Prix U HT]]+Stock[[#This Row],[Prix U HT]]</f>
        <v>23.95</v>
      </c>
      <c r="G17" s="71">
        <v>2</v>
      </c>
      <c r="H17" s="71">
        <f>+SUMIFS(journal[[#All],[Entrée]],journal[[#All],[Ref]],A17)</f>
        <v>0</v>
      </c>
      <c r="I17" s="71">
        <f>+SUMIFS(journal[[#All],[Sortie]],journal[[#All],[Ref]],A17)</f>
        <v>4</v>
      </c>
      <c r="J17" s="71">
        <f>+SUMIFS(journal[[#All],[Destockage]],journal[[#All],[Ref]],A17)</f>
        <v>0</v>
      </c>
      <c r="K17" s="156">
        <f>+Stock[[#This Row],[Stock I]]+Stock[[#This Row],[Entrée]]-Stock[[#This Row],[Sortie]]-Stock[[#This Row],[Destockage]]</f>
        <v>-2</v>
      </c>
      <c r="L17" s="65">
        <f>+Stock[[#This Row],[Stock I]]*Stock[[#This Row],[Prix A HT]]</f>
        <v>19.150000000000002</v>
      </c>
      <c r="M17" s="64">
        <f>+Stock[[#This Row],[Stock F]]*Stock[[#This Row],[Prix A HT]]</f>
        <v>-19.150000000000002</v>
      </c>
      <c r="N17" s="64">
        <f>+Stock[[#This Row],[Stock F]]*Stock[[#This Row],[Prix U HT]]</f>
        <v>-39.916666666666664</v>
      </c>
      <c r="O17" s="64">
        <f>+Stock[[#This Row],[Stock F]]*Stock[[#This Row],[Prix U TTC]]</f>
        <v>-47.9</v>
      </c>
      <c r="P17" s="170"/>
      <c r="Q17" s="64" t="str">
        <f>+Stock[[#This Row],[Nom]]</f>
        <v>Doudou Kaloo  Perle ours Ourson marionnette bleu</v>
      </c>
    </row>
    <row r="18" spans="1:17" x14ac:dyDescent="0.3">
      <c r="A18" s="62" t="s">
        <v>94</v>
      </c>
      <c r="B18" s="62" t="s">
        <v>95</v>
      </c>
      <c r="C18" s="72">
        <v>6.25</v>
      </c>
      <c r="D18" s="72">
        <v>12</v>
      </c>
      <c r="E18" s="63">
        <v>0.2</v>
      </c>
      <c r="F18" s="154">
        <f>+Stock[[#This Row],[TVA]]*Stock[[#This Row],[Prix U HT]]+Stock[[#This Row],[Prix U HT]]</f>
        <v>14.4</v>
      </c>
      <c r="G18" s="71">
        <v>44</v>
      </c>
      <c r="H18" s="71">
        <f>+SUMIFS(journal[[#All],[Entrée]],journal[[#All],[Ref]],A18)</f>
        <v>0</v>
      </c>
      <c r="I18" s="71">
        <f>+SUMIFS(journal[[#All],[Sortie]],journal[[#All],[Ref]],A18)</f>
        <v>0</v>
      </c>
      <c r="J18" s="71">
        <f>+SUMIFS(journal[[#All],[Destockage]],journal[[#All],[Ref]],A18)</f>
        <v>0</v>
      </c>
      <c r="K18" s="156">
        <f>+Stock[[#This Row],[Stock I]]+Stock[[#This Row],[Entrée]]-Stock[[#This Row],[Sortie]]-Stock[[#This Row],[Destockage]]</f>
        <v>44</v>
      </c>
      <c r="L18" s="65">
        <f>+Stock[[#This Row],[Stock I]]*Stock[[#This Row],[Prix A HT]]</f>
        <v>275</v>
      </c>
      <c r="M18" s="64">
        <f>+Stock[[#This Row],[Stock F]]*Stock[[#This Row],[Prix A HT]]</f>
        <v>275</v>
      </c>
      <c r="N18" s="64">
        <f>+Stock[[#This Row],[Stock F]]*Stock[[#This Row],[Prix U HT]]</f>
        <v>528</v>
      </c>
      <c r="O18" s="64">
        <f>+Stock[[#This Row],[Stock F]]*Stock[[#This Row],[Prix U TTC]]</f>
        <v>633.6</v>
      </c>
      <c r="P18" s="170"/>
      <c r="Q18" s="64" t="str">
        <f>+Stock[[#This Row],[Nom]]</f>
        <v>abc</v>
      </c>
    </row>
  </sheetData>
  <sheetProtection selectLockedCells="1"/>
  <mergeCells count="3">
    <mergeCell ref="D8:E8"/>
    <mergeCell ref="B3:F3"/>
    <mergeCell ref="I3:O3"/>
  </mergeCells>
  <pageMargins left="0.7" right="0.7" top="0.75" bottom="0.75" header="0.3" footer="0.3"/>
  <pageSetup paperSize="9" orientation="portrait" r:id="rId1"/>
  <ignoredErrors>
    <ignoredError sqref="F14:O16 H18 F17 H17:O17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4" r:id="rId4" name="Button 8">
              <controlPr defaultSize="0" print="0" autoFill="0" autoPict="0" macro="[0]!rea_destock">
                <anchor moveWithCells="1" sizeWithCells="1">
                  <from>
                    <xdr:col>6</xdr:col>
                    <xdr:colOff>106680</xdr:colOff>
                    <xdr:row>4</xdr:row>
                    <xdr:rowOff>68580</xdr:rowOff>
                  </from>
                  <to>
                    <xdr:col>7</xdr:col>
                    <xdr:colOff>693420</xdr:colOff>
                    <xdr:row>7</xdr:row>
                    <xdr:rowOff>160020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O33"/>
  <sheetViews>
    <sheetView workbookViewId="0">
      <selection activeCell="B2" sqref="B2"/>
    </sheetView>
  </sheetViews>
  <sheetFormatPr baseColWidth="10" defaultRowHeight="14.4" x14ac:dyDescent="0.3"/>
  <cols>
    <col min="1" max="1" width="15.5546875" style="11" bestFit="1" customWidth="1"/>
    <col min="3" max="3" width="11.5546875" style="98"/>
    <col min="4" max="4" width="20" style="101" bestFit="1" customWidth="1"/>
    <col min="5" max="5" width="12" customWidth="1"/>
    <col min="6" max="6" width="8.88671875" bestFit="1" customWidth="1"/>
    <col min="7" max="7" width="9.5546875" bestFit="1" customWidth="1"/>
    <col min="8" max="8" width="9.6640625" bestFit="1" customWidth="1"/>
    <col min="9" max="9" width="8.88671875" bestFit="1" customWidth="1"/>
    <col min="10" max="10" width="12.109375" style="12" customWidth="1"/>
    <col min="11" max="11" width="14.109375" style="12" customWidth="1"/>
    <col min="12" max="12" width="14.5546875" customWidth="1"/>
    <col min="13" max="13" width="14.33203125" customWidth="1"/>
    <col min="14" max="14" width="15.109375" style="12" customWidth="1"/>
  </cols>
  <sheetData>
    <row r="1" spans="1:15" s="56" customFormat="1" x14ac:dyDescent="0.3">
      <c r="A1" s="150" t="s">
        <v>23</v>
      </c>
      <c r="B1" s="73" t="s">
        <v>75</v>
      </c>
      <c r="C1" s="74" t="s">
        <v>56</v>
      </c>
      <c r="D1" s="73" t="s">
        <v>57</v>
      </c>
      <c r="E1" s="73" t="s">
        <v>97</v>
      </c>
      <c r="F1" s="73" t="s">
        <v>37</v>
      </c>
      <c r="G1" s="96" t="s">
        <v>25</v>
      </c>
      <c r="H1" s="99" t="s">
        <v>99</v>
      </c>
      <c r="I1" s="73" t="s">
        <v>38</v>
      </c>
      <c r="J1" s="73" t="s">
        <v>65</v>
      </c>
      <c r="K1" s="73" t="s">
        <v>66</v>
      </c>
      <c r="L1" s="73" t="s">
        <v>67</v>
      </c>
      <c r="M1" s="74" t="s">
        <v>76</v>
      </c>
      <c r="N1" s="74" t="s">
        <v>98</v>
      </c>
      <c r="O1" s="74" t="s">
        <v>77</v>
      </c>
    </row>
    <row r="2" spans="1:15" x14ac:dyDescent="0.3">
      <c r="A2" s="90">
        <v>44266.485543981478</v>
      </c>
      <c r="B2" s="87">
        <v>1</v>
      </c>
      <c r="C2" s="88" t="s">
        <v>14</v>
      </c>
      <c r="D2" s="87"/>
      <c r="E2" s="87" t="s">
        <v>100</v>
      </c>
      <c r="F2" s="87" t="s">
        <v>21</v>
      </c>
      <c r="G2" s="97">
        <v>3</v>
      </c>
      <c r="H2" s="100">
        <v>2</v>
      </c>
      <c r="I2" s="89">
        <v>19.95</v>
      </c>
      <c r="J2" s="86"/>
      <c r="K2" s="86"/>
      <c r="L2" s="87" t="s">
        <v>18</v>
      </c>
      <c r="M2" s="88" t="s">
        <v>6</v>
      </c>
      <c r="N2" s="88"/>
      <c r="O2" s="86">
        <v>39.9</v>
      </c>
    </row>
    <row r="3" spans="1:15" x14ac:dyDescent="0.3">
      <c r="A3" s="90">
        <v>44425.42900462963</v>
      </c>
      <c r="B3" s="87">
        <v>7</v>
      </c>
      <c r="C3" s="88" t="s">
        <v>19</v>
      </c>
      <c r="D3" s="88" t="s">
        <v>112</v>
      </c>
      <c r="E3" s="87" t="s">
        <v>100</v>
      </c>
      <c r="F3" s="87" t="s">
        <v>21</v>
      </c>
      <c r="G3" s="97">
        <v>3</v>
      </c>
      <c r="H3" s="100">
        <v>1</v>
      </c>
      <c r="I3" s="89">
        <v>19.95</v>
      </c>
      <c r="J3" s="86"/>
      <c r="K3" s="86">
        <v>3</v>
      </c>
      <c r="L3" s="87" t="s">
        <v>9</v>
      </c>
      <c r="M3" s="88" t="s">
        <v>11</v>
      </c>
      <c r="N3" s="88">
        <v>57.024999999999977</v>
      </c>
      <c r="O3" s="86">
        <v>19.95</v>
      </c>
    </row>
    <row r="4" spans="1:15" x14ac:dyDescent="0.3">
      <c r="A4" s="90">
        <v>44425.42900462963</v>
      </c>
      <c r="B4" s="87">
        <v>7</v>
      </c>
      <c r="C4" s="88" t="s">
        <v>19</v>
      </c>
      <c r="D4" s="88" t="s">
        <v>112</v>
      </c>
      <c r="E4" s="87" t="s">
        <v>100</v>
      </c>
      <c r="F4" s="87" t="s">
        <v>21</v>
      </c>
      <c r="G4" s="97">
        <v>3</v>
      </c>
      <c r="H4" s="100">
        <v>1</v>
      </c>
      <c r="I4" s="89">
        <v>19.95</v>
      </c>
      <c r="J4" s="86"/>
      <c r="K4" s="86">
        <v>3</v>
      </c>
      <c r="L4" s="87" t="s">
        <v>9</v>
      </c>
      <c r="M4" s="88" t="s">
        <v>11</v>
      </c>
      <c r="N4" s="88">
        <v>57.024999999999977</v>
      </c>
      <c r="O4" s="86">
        <v>19.95</v>
      </c>
    </row>
    <row r="5" spans="1:15" x14ac:dyDescent="0.3">
      <c r="A5" s="90">
        <v>44425.42900462963</v>
      </c>
      <c r="B5" s="87">
        <v>7</v>
      </c>
      <c r="C5" s="88" t="s">
        <v>19</v>
      </c>
      <c r="D5" s="88" t="s">
        <v>112</v>
      </c>
      <c r="E5" s="87" t="s">
        <v>100</v>
      </c>
      <c r="F5" s="87" t="s">
        <v>21</v>
      </c>
      <c r="G5" s="97">
        <v>3</v>
      </c>
      <c r="H5" s="100">
        <v>1</v>
      </c>
      <c r="I5" s="89">
        <v>19.95</v>
      </c>
      <c r="J5" s="86"/>
      <c r="K5" s="86">
        <v>3</v>
      </c>
      <c r="L5" s="87" t="s">
        <v>9</v>
      </c>
      <c r="M5" s="88" t="s">
        <v>11</v>
      </c>
      <c r="N5" s="88">
        <v>57.024999999999977</v>
      </c>
      <c r="O5" s="86">
        <v>19.95</v>
      </c>
    </row>
    <row r="6" spans="1:15" x14ac:dyDescent="0.3">
      <c r="A6" s="90">
        <v>44425.42900462963</v>
      </c>
      <c r="B6" s="87">
        <v>7</v>
      </c>
      <c r="C6" s="88" t="s">
        <v>19</v>
      </c>
      <c r="D6" s="88" t="s">
        <v>112</v>
      </c>
      <c r="E6" s="87" t="s">
        <v>100</v>
      </c>
      <c r="F6" s="87" t="s">
        <v>21</v>
      </c>
      <c r="G6" s="97">
        <v>3</v>
      </c>
      <c r="H6" s="100">
        <v>1</v>
      </c>
      <c r="I6" s="89">
        <v>19.95</v>
      </c>
      <c r="J6" s="86"/>
      <c r="K6" s="86">
        <v>3</v>
      </c>
      <c r="L6" s="87" t="s">
        <v>9</v>
      </c>
      <c r="M6" s="88" t="s">
        <v>11</v>
      </c>
      <c r="N6" s="88">
        <v>57.024999999999977</v>
      </c>
      <c r="O6" s="86">
        <v>19.95</v>
      </c>
    </row>
    <row r="7" spans="1:15" x14ac:dyDescent="0.3">
      <c r="A7" s="90">
        <v>44425.42900462963</v>
      </c>
      <c r="B7" s="87">
        <v>7</v>
      </c>
      <c r="C7" s="88" t="s">
        <v>19</v>
      </c>
      <c r="D7" s="88" t="s">
        <v>112</v>
      </c>
      <c r="E7" s="87" t="s">
        <v>100</v>
      </c>
      <c r="F7" s="87" t="s">
        <v>21</v>
      </c>
      <c r="G7" s="97">
        <v>3</v>
      </c>
      <c r="H7" s="100">
        <v>1</v>
      </c>
      <c r="I7" s="89">
        <v>19.95</v>
      </c>
      <c r="J7" s="86"/>
      <c r="K7" s="86">
        <v>3</v>
      </c>
      <c r="L7" s="87" t="s">
        <v>9</v>
      </c>
      <c r="M7" s="88" t="s">
        <v>11</v>
      </c>
      <c r="N7" s="88">
        <v>57.024999999999977</v>
      </c>
      <c r="O7" s="86">
        <v>19.95</v>
      </c>
    </row>
    <row r="8" spans="1:15" x14ac:dyDescent="0.3">
      <c r="A8" s="90">
        <v>44425.42900462963</v>
      </c>
      <c r="B8" s="87">
        <v>7</v>
      </c>
      <c r="C8" s="88" t="s">
        <v>19</v>
      </c>
      <c r="D8" s="88" t="s">
        <v>112</v>
      </c>
      <c r="E8" s="87" t="s">
        <v>100</v>
      </c>
      <c r="F8" s="87" t="s">
        <v>21</v>
      </c>
      <c r="G8" s="97">
        <v>3</v>
      </c>
      <c r="H8" s="100">
        <v>1</v>
      </c>
      <c r="I8" s="89">
        <v>19.95</v>
      </c>
      <c r="J8" s="86"/>
      <c r="K8" s="86">
        <v>3</v>
      </c>
      <c r="L8" s="87" t="s">
        <v>9</v>
      </c>
      <c r="M8" s="88" t="s">
        <v>11</v>
      </c>
      <c r="N8" s="88">
        <v>57.024999999999977</v>
      </c>
      <c r="O8" s="86">
        <v>19.95</v>
      </c>
    </row>
    <row r="9" spans="1:15" x14ac:dyDescent="0.3">
      <c r="A9" s="90">
        <v>44425.42900462963</v>
      </c>
      <c r="B9" s="87">
        <v>7</v>
      </c>
      <c r="C9" s="88" t="s">
        <v>19</v>
      </c>
      <c r="D9" s="88" t="s">
        <v>112</v>
      </c>
      <c r="E9" s="87" t="s">
        <v>100</v>
      </c>
      <c r="F9" s="87" t="s">
        <v>21</v>
      </c>
      <c r="G9" s="97">
        <v>3</v>
      </c>
      <c r="H9" s="100">
        <v>1</v>
      </c>
      <c r="I9" s="89">
        <v>19.95</v>
      </c>
      <c r="J9" s="86"/>
      <c r="K9" s="86">
        <v>3</v>
      </c>
      <c r="L9" s="87" t="s">
        <v>9</v>
      </c>
      <c r="M9" s="88" t="s">
        <v>11</v>
      </c>
      <c r="N9" s="88">
        <v>57.024999999999977</v>
      </c>
      <c r="O9" s="86">
        <v>19.95</v>
      </c>
    </row>
    <row r="10" spans="1:15" x14ac:dyDescent="0.3">
      <c r="A10" s="90">
        <v>44425.42900462963</v>
      </c>
      <c r="B10" s="87">
        <v>7</v>
      </c>
      <c r="C10" s="88" t="s">
        <v>19</v>
      </c>
      <c r="D10" s="88" t="s">
        <v>112</v>
      </c>
      <c r="E10" s="87" t="s">
        <v>100</v>
      </c>
      <c r="F10" s="87" t="s">
        <v>21</v>
      </c>
      <c r="G10" s="97">
        <v>3</v>
      </c>
      <c r="H10" s="100">
        <v>1</v>
      </c>
      <c r="I10" s="89">
        <v>19.95</v>
      </c>
      <c r="J10" s="86"/>
      <c r="K10" s="86">
        <v>3</v>
      </c>
      <c r="L10" s="87" t="s">
        <v>9</v>
      </c>
      <c r="M10" s="88" t="s">
        <v>11</v>
      </c>
      <c r="N10" s="88">
        <v>57.024999999999977</v>
      </c>
      <c r="O10" s="86">
        <v>19.95</v>
      </c>
    </row>
    <row r="11" spans="1:15" x14ac:dyDescent="0.3">
      <c r="A11" s="90">
        <v>44425.42900462963</v>
      </c>
      <c r="B11" s="87">
        <v>7</v>
      </c>
      <c r="C11" s="88" t="s">
        <v>19</v>
      </c>
      <c r="D11" s="88" t="s">
        <v>112</v>
      </c>
      <c r="E11" s="87" t="s">
        <v>100</v>
      </c>
      <c r="F11" s="87" t="s">
        <v>21</v>
      </c>
      <c r="G11" s="97">
        <v>3</v>
      </c>
      <c r="H11" s="100">
        <v>1</v>
      </c>
      <c r="I11" s="89">
        <v>19.95</v>
      </c>
      <c r="J11" s="86"/>
      <c r="K11" s="86">
        <v>3</v>
      </c>
      <c r="L11" s="87" t="s">
        <v>9</v>
      </c>
      <c r="M11" s="88" t="s">
        <v>11</v>
      </c>
      <c r="N11" s="88">
        <v>57.024999999999977</v>
      </c>
      <c r="O11" s="86">
        <v>19.95</v>
      </c>
    </row>
    <row r="12" spans="1:15" x14ac:dyDescent="0.3">
      <c r="A12" s="90">
        <v>44425.42900462963</v>
      </c>
      <c r="B12" s="87">
        <v>7</v>
      </c>
      <c r="C12" s="88" t="s">
        <v>19</v>
      </c>
      <c r="D12" s="88" t="s">
        <v>112</v>
      </c>
      <c r="E12" s="87" t="s">
        <v>100</v>
      </c>
      <c r="F12" s="87" t="s">
        <v>21</v>
      </c>
      <c r="G12" s="97">
        <v>3</v>
      </c>
      <c r="H12" s="100">
        <v>1</v>
      </c>
      <c r="I12" s="89">
        <v>19.95</v>
      </c>
      <c r="J12" s="86"/>
      <c r="K12" s="86">
        <v>3</v>
      </c>
      <c r="L12" s="87" t="s">
        <v>9</v>
      </c>
      <c r="M12" s="88" t="s">
        <v>11</v>
      </c>
      <c r="N12" s="88">
        <v>57.024999999999977</v>
      </c>
      <c r="O12" s="86">
        <v>19.95</v>
      </c>
    </row>
    <row r="13" spans="1:15" x14ac:dyDescent="0.3">
      <c r="A13" s="90">
        <v>44425.42900462963</v>
      </c>
      <c r="B13" s="87">
        <v>7</v>
      </c>
      <c r="C13" s="88" t="s">
        <v>19</v>
      </c>
      <c r="D13" s="88" t="s">
        <v>112</v>
      </c>
      <c r="E13" s="87" t="s">
        <v>100</v>
      </c>
      <c r="F13" s="87" t="s">
        <v>21</v>
      </c>
      <c r="G13" s="97">
        <v>3</v>
      </c>
      <c r="H13" s="100">
        <v>1</v>
      </c>
      <c r="I13" s="89">
        <v>19.95</v>
      </c>
      <c r="J13" s="86"/>
      <c r="K13" s="86">
        <v>3</v>
      </c>
      <c r="L13" s="87" t="s">
        <v>9</v>
      </c>
      <c r="M13" s="88" t="s">
        <v>11</v>
      </c>
      <c r="N13" s="88">
        <v>57.024999999999977</v>
      </c>
      <c r="O13" s="86">
        <v>19.95</v>
      </c>
    </row>
    <row r="14" spans="1:15" x14ac:dyDescent="0.3">
      <c r="A14" s="90">
        <v>44425.42900462963</v>
      </c>
      <c r="B14" s="87">
        <v>7</v>
      </c>
      <c r="C14" s="88" t="s">
        <v>19</v>
      </c>
      <c r="D14" s="88" t="s">
        <v>112</v>
      </c>
      <c r="E14" s="87" t="s">
        <v>100</v>
      </c>
      <c r="F14" s="87" t="s">
        <v>21</v>
      </c>
      <c r="G14" s="97">
        <v>3</v>
      </c>
      <c r="H14" s="100">
        <v>1</v>
      </c>
      <c r="I14" s="89">
        <v>19.95</v>
      </c>
      <c r="J14" s="86"/>
      <c r="K14" s="86">
        <v>3</v>
      </c>
      <c r="L14" s="87" t="s">
        <v>9</v>
      </c>
      <c r="M14" s="88" t="s">
        <v>11</v>
      </c>
      <c r="N14" s="88">
        <v>57.024999999999977</v>
      </c>
      <c r="O14" s="86">
        <v>19.95</v>
      </c>
    </row>
    <row r="15" spans="1:15" x14ac:dyDescent="0.3">
      <c r="A15" s="90">
        <v>44425.42900462963</v>
      </c>
      <c r="B15" s="87">
        <v>7</v>
      </c>
      <c r="C15" s="88" t="s">
        <v>19</v>
      </c>
      <c r="D15" s="88" t="s">
        <v>112</v>
      </c>
      <c r="E15" s="87" t="s">
        <v>100</v>
      </c>
      <c r="F15" s="87" t="s">
        <v>21</v>
      </c>
      <c r="G15" s="97">
        <v>3</v>
      </c>
      <c r="H15" s="100">
        <v>1</v>
      </c>
      <c r="I15" s="89">
        <v>19.95</v>
      </c>
      <c r="J15" s="86"/>
      <c r="K15" s="86">
        <v>3</v>
      </c>
      <c r="L15" s="87" t="s">
        <v>9</v>
      </c>
      <c r="M15" s="88" t="s">
        <v>11</v>
      </c>
      <c r="N15" s="88">
        <v>57.024999999999977</v>
      </c>
      <c r="O15" s="86">
        <v>19.95</v>
      </c>
    </row>
    <row r="16" spans="1:15" x14ac:dyDescent="0.3">
      <c r="A16" s="90">
        <v>44425.42900462963</v>
      </c>
      <c r="B16" s="87">
        <v>7</v>
      </c>
      <c r="C16" s="88" t="s">
        <v>19</v>
      </c>
      <c r="D16" s="88" t="s">
        <v>112</v>
      </c>
      <c r="E16" s="87" t="s">
        <v>100</v>
      </c>
      <c r="F16" s="87" t="s">
        <v>21</v>
      </c>
      <c r="G16" s="97">
        <v>3</v>
      </c>
      <c r="H16" s="100">
        <v>1</v>
      </c>
      <c r="I16" s="89">
        <v>19.95</v>
      </c>
      <c r="J16" s="86"/>
      <c r="K16" s="86">
        <v>3</v>
      </c>
      <c r="L16" s="87" t="s">
        <v>9</v>
      </c>
      <c r="M16" s="88" t="s">
        <v>11</v>
      </c>
      <c r="N16" s="88">
        <v>57.024999999999977</v>
      </c>
      <c r="O16" s="86">
        <v>19.95</v>
      </c>
    </row>
    <row r="17" spans="1:15" x14ac:dyDescent="0.3">
      <c r="A17" s="90">
        <v>44425.42900462963</v>
      </c>
      <c r="B17" s="87">
        <v>7</v>
      </c>
      <c r="C17" s="88" t="s">
        <v>19</v>
      </c>
      <c r="D17" s="88" t="s">
        <v>112</v>
      </c>
      <c r="E17" s="87" t="s">
        <v>100</v>
      </c>
      <c r="F17" s="87" t="s">
        <v>21</v>
      </c>
      <c r="G17" s="97">
        <v>3</v>
      </c>
      <c r="H17" s="100">
        <v>1</v>
      </c>
      <c r="I17" s="89">
        <v>19.95</v>
      </c>
      <c r="J17" s="86"/>
      <c r="K17" s="86">
        <v>3</v>
      </c>
      <c r="L17" s="87" t="s">
        <v>9</v>
      </c>
      <c r="M17" s="88" t="s">
        <v>11</v>
      </c>
      <c r="N17" s="88">
        <v>57.024999999999977</v>
      </c>
      <c r="O17" s="86">
        <v>19.95</v>
      </c>
    </row>
    <row r="18" spans="1:15" x14ac:dyDescent="0.3">
      <c r="A18" s="90">
        <v>44425.42900462963</v>
      </c>
      <c r="B18" s="87">
        <v>7</v>
      </c>
      <c r="C18" s="88" t="s">
        <v>19</v>
      </c>
      <c r="D18" s="88" t="s">
        <v>112</v>
      </c>
      <c r="E18" s="87" t="s">
        <v>100</v>
      </c>
      <c r="F18" s="87" t="s">
        <v>21</v>
      </c>
      <c r="G18" s="97">
        <v>3</v>
      </c>
      <c r="H18" s="100">
        <v>1</v>
      </c>
      <c r="I18" s="89">
        <v>19.95</v>
      </c>
      <c r="J18" s="86"/>
      <c r="K18" s="86">
        <v>3</v>
      </c>
      <c r="L18" s="87" t="s">
        <v>9</v>
      </c>
      <c r="M18" s="88" t="s">
        <v>11</v>
      </c>
      <c r="N18" s="88">
        <v>57.024999999999977</v>
      </c>
      <c r="O18" s="86">
        <v>19.95</v>
      </c>
    </row>
    <row r="19" spans="1:15" x14ac:dyDescent="0.3">
      <c r="A19" s="90">
        <v>44425.42900462963</v>
      </c>
      <c r="B19" s="87">
        <v>7</v>
      </c>
      <c r="C19" s="88" t="s">
        <v>19</v>
      </c>
      <c r="D19" s="88" t="s">
        <v>112</v>
      </c>
      <c r="E19" s="87" t="s">
        <v>100</v>
      </c>
      <c r="F19" s="87" t="s">
        <v>21</v>
      </c>
      <c r="G19" s="97">
        <v>3</v>
      </c>
      <c r="H19" s="100">
        <v>1</v>
      </c>
      <c r="I19" s="89">
        <v>19.95</v>
      </c>
      <c r="J19" s="86"/>
      <c r="K19" s="86">
        <v>3</v>
      </c>
      <c r="L19" s="87" t="s">
        <v>9</v>
      </c>
      <c r="M19" s="88" t="s">
        <v>11</v>
      </c>
      <c r="N19" s="88">
        <v>57.024999999999977</v>
      </c>
      <c r="O19" s="86">
        <v>19.95</v>
      </c>
    </row>
    <row r="33" spans="7:8" x14ac:dyDescent="0.3">
      <c r="G33" s="94"/>
      <c r="H33" s="94"/>
    </row>
  </sheetData>
  <pageMargins left="0.7" right="0.7" top="0.75" bottom="0.75" header="0.3" footer="0.3"/>
  <pageSetup paperSize="9" scale="68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47"/>
  <sheetViews>
    <sheetView topLeftCell="A4" workbookViewId="0">
      <selection activeCell="H46" sqref="H46"/>
    </sheetView>
  </sheetViews>
  <sheetFormatPr baseColWidth="10" defaultRowHeight="14.4" x14ac:dyDescent="0.3"/>
  <cols>
    <col min="1" max="1" width="11.5546875" style="11"/>
    <col min="2" max="5" width="11.5546875" style="98"/>
    <col min="6" max="6" width="12.5546875" style="98" customWidth="1"/>
    <col min="7" max="7" width="12.33203125" customWidth="1"/>
  </cols>
  <sheetData>
    <row r="1" spans="1:7" x14ac:dyDescent="0.3">
      <c r="A1" s="13" t="s">
        <v>23</v>
      </c>
      <c r="B1" s="110" t="s">
        <v>24</v>
      </c>
      <c r="C1" s="110" t="s">
        <v>25</v>
      </c>
      <c r="D1" s="110" t="s">
        <v>26</v>
      </c>
      <c r="E1" s="110" t="s">
        <v>27</v>
      </c>
      <c r="F1" s="110" t="s">
        <v>28</v>
      </c>
      <c r="G1" s="14" t="s">
        <v>29</v>
      </c>
    </row>
    <row r="2" spans="1:7" x14ac:dyDescent="0.3">
      <c r="A2" s="91">
        <v>44271</v>
      </c>
      <c r="B2" s="111">
        <v>1</v>
      </c>
      <c r="C2" s="111">
        <v>3</v>
      </c>
      <c r="D2" s="111">
        <v>6</v>
      </c>
      <c r="E2" s="111"/>
      <c r="F2" s="111">
        <v>0</v>
      </c>
      <c r="G2" s="92">
        <v>0</v>
      </c>
    </row>
    <row r="3" spans="1:7" x14ac:dyDescent="0.3">
      <c r="A3" s="155">
        <v>44302</v>
      </c>
      <c r="B3" s="139">
        <v>2</v>
      </c>
      <c r="C3" s="139" t="s">
        <v>45</v>
      </c>
      <c r="D3" s="139"/>
      <c r="E3" s="139">
        <v>20</v>
      </c>
      <c r="F3" s="139"/>
      <c r="G3" s="140"/>
    </row>
    <row r="4" spans="1:7" x14ac:dyDescent="0.3">
      <c r="A4" s="155">
        <v>44303.32665451389</v>
      </c>
      <c r="B4" s="139">
        <v>3</v>
      </c>
      <c r="C4" s="139" t="s">
        <v>50</v>
      </c>
      <c r="D4" s="139"/>
      <c r="E4" s="139">
        <v>2</v>
      </c>
      <c r="F4" s="139"/>
      <c r="G4" s="140"/>
    </row>
    <row r="5" spans="1:7" x14ac:dyDescent="0.3">
      <c r="A5" s="155">
        <v>44266.485543981478</v>
      </c>
      <c r="B5" s="139">
        <v>1</v>
      </c>
      <c r="C5" s="139" t="s">
        <v>50</v>
      </c>
      <c r="D5" s="139"/>
      <c r="E5" s="139">
        <v>-4</v>
      </c>
      <c r="F5" s="139"/>
      <c r="G5" s="140"/>
    </row>
    <row r="6" spans="1:7" x14ac:dyDescent="0.3">
      <c r="A6" s="155">
        <v>44266.485543981478</v>
      </c>
      <c r="B6" s="139">
        <v>4</v>
      </c>
      <c r="C6" s="139" t="s">
        <v>45</v>
      </c>
      <c r="D6" s="139"/>
      <c r="E6" s="139">
        <v>1</v>
      </c>
      <c r="F6" s="139"/>
      <c r="G6" s="140"/>
    </row>
    <row r="7" spans="1:7" x14ac:dyDescent="0.3">
      <c r="A7" s="155">
        <v>44266.485543981478</v>
      </c>
      <c r="B7" s="139">
        <v>4</v>
      </c>
      <c r="C7" s="139">
        <v>3</v>
      </c>
      <c r="D7" s="139"/>
      <c r="E7" s="139">
        <v>2</v>
      </c>
      <c r="F7" s="139"/>
      <c r="G7" s="140"/>
    </row>
    <row r="8" spans="1:7" x14ac:dyDescent="0.3">
      <c r="A8" s="155">
        <v>44266.485543981478</v>
      </c>
      <c r="B8" s="139">
        <v>4</v>
      </c>
      <c r="C8" s="139" t="s">
        <v>45</v>
      </c>
      <c r="D8" s="139"/>
      <c r="E8" s="139">
        <v>3</v>
      </c>
      <c r="F8" s="139"/>
      <c r="G8" s="140"/>
    </row>
    <row r="9" spans="1:7" x14ac:dyDescent="0.3">
      <c r="A9" s="155">
        <v>44424.604428819446</v>
      </c>
      <c r="B9" s="139">
        <v>5</v>
      </c>
      <c r="C9" s="139">
        <v>3</v>
      </c>
      <c r="D9" s="139"/>
      <c r="E9" s="139">
        <v>1</v>
      </c>
      <c r="F9" s="139"/>
      <c r="G9" s="140"/>
    </row>
    <row r="10" spans="1:7" x14ac:dyDescent="0.3">
      <c r="A10" s="155">
        <v>44424.604429166669</v>
      </c>
      <c r="B10" s="139">
        <v>5</v>
      </c>
      <c r="C10" s="139">
        <v>3</v>
      </c>
      <c r="D10" s="139"/>
      <c r="E10" s="139">
        <v>1</v>
      </c>
      <c r="F10" s="139"/>
      <c r="G10" s="140"/>
    </row>
    <row r="11" spans="1:7" x14ac:dyDescent="0.3">
      <c r="A11" s="155">
        <v>44424.604429513885</v>
      </c>
      <c r="B11" s="139">
        <v>5</v>
      </c>
      <c r="C11" s="139">
        <v>3</v>
      </c>
      <c r="D11" s="139"/>
      <c r="E11" s="139">
        <v>2</v>
      </c>
      <c r="F11" s="139"/>
      <c r="G11" s="140"/>
    </row>
    <row r="12" spans="1:7" x14ac:dyDescent="0.3">
      <c r="A12" s="155">
        <v>44424.604430092593</v>
      </c>
      <c r="B12" s="139">
        <v>5</v>
      </c>
      <c r="C12" s="139">
        <v>3</v>
      </c>
      <c r="D12" s="139"/>
      <c r="E12" s="139">
        <v>1</v>
      </c>
      <c r="F12" s="139"/>
      <c r="G12" s="140"/>
    </row>
    <row r="13" spans="1:7" x14ac:dyDescent="0.3">
      <c r="A13" s="155">
        <v>44424.604430439816</v>
      </c>
      <c r="B13" s="139">
        <v>5</v>
      </c>
      <c r="C13" s="139" t="s">
        <v>50</v>
      </c>
      <c r="D13" s="139"/>
      <c r="E13" s="139">
        <v>2</v>
      </c>
      <c r="F13" s="139"/>
      <c r="G13" s="140"/>
    </row>
    <row r="14" spans="1:7" x14ac:dyDescent="0.3">
      <c r="A14" s="155">
        <v>44424.60443078704</v>
      </c>
      <c r="B14" s="139">
        <v>5</v>
      </c>
      <c r="C14" s="139" t="s">
        <v>50</v>
      </c>
      <c r="D14" s="139"/>
      <c r="E14" s="139">
        <v>2</v>
      </c>
      <c r="F14" s="139"/>
      <c r="G14" s="140"/>
    </row>
    <row r="15" spans="1:7" x14ac:dyDescent="0.3">
      <c r="A15" s="155">
        <v>44424.604431134256</v>
      </c>
      <c r="B15" s="139">
        <v>5</v>
      </c>
      <c r="C15" s="139" t="s">
        <v>50</v>
      </c>
      <c r="D15" s="139"/>
      <c r="E15" s="139">
        <v>1</v>
      </c>
      <c r="F15" s="139"/>
      <c r="G15" s="140"/>
    </row>
    <row r="16" spans="1:7" x14ac:dyDescent="0.3">
      <c r="A16" s="155">
        <v>44424.60443136574</v>
      </c>
      <c r="B16" s="139">
        <v>5</v>
      </c>
      <c r="C16" s="139" t="s">
        <v>50</v>
      </c>
      <c r="D16" s="139"/>
      <c r="E16" s="139">
        <v>1</v>
      </c>
      <c r="F16" s="139"/>
      <c r="G16" s="140"/>
    </row>
    <row r="17" spans="1:7" x14ac:dyDescent="0.3">
      <c r="A17" s="155">
        <v>44424.604431712964</v>
      </c>
      <c r="B17" s="139">
        <v>5</v>
      </c>
      <c r="C17" s="139" t="s">
        <v>111</v>
      </c>
      <c r="D17" s="139"/>
      <c r="E17" s="139">
        <v>2</v>
      </c>
      <c r="F17" s="139"/>
      <c r="G17" s="140"/>
    </row>
    <row r="18" spans="1:7" x14ac:dyDescent="0.3">
      <c r="A18" s="155">
        <v>44424.604432060187</v>
      </c>
      <c r="B18" s="139">
        <v>5</v>
      </c>
      <c r="C18" s="139" t="s">
        <v>111</v>
      </c>
      <c r="D18" s="139"/>
      <c r="E18" s="139">
        <v>2</v>
      </c>
      <c r="F18" s="139"/>
      <c r="G18" s="140"/>
    </row>
    <row r="19" spans="1:7" x14ac:dyDescent="0.3">
      <c r="A19" s="155">
        <v>44424.60443240741</v>
      </c>
      <c r="B19" s="139">
        <v>5</v>
      </c>
      <c r="C19" s="139" t="s">
        <v>111</v>
      </c>
      <c r="D19" s="139"/>
      <c r="E19" s="139">
        <v>2</v>
      </c>
      <c r="F19" s="139"/>
      <c r="G19" s="140"/>
    </row>
    <row r="20" spans="1:7" x14ac:dyDescent="0.3">
      <c r="A20" s="155">
        <v>44424.604428125</v>
      </c>
      <c r="B20" s="139">
        <v>6</v>
      </c>
      <c r="C20" s="139">
        <v>3</v>
      </c>
      <c r="D20" s="139"/>
      <c r="E20" s="139">
        <v>1</v>
      </c>
      <c r="F20" s="139"/>
      <c r="G20" s="140"/>
    </row>
    <row r="21" spans="1:7" x14ac:dyDescent="0.3">
      <c r="A21" s="155">
        <v>44424.604428125</v>
      </c>
      <c r="B21" s="139">
        <v>6</v>
      </c>
      <c r="C21" s="139">
        <v>3</v>
      </c>
      <c r="D21" s="139"/>
      <c r="E21" s="139">
        <v>1</v>
      </c>
      <c r="F21" s="139"/>
      <c r="G21" s="140"/>
    </row>
    <row r="22" spans="1:7" x14ac:dyDescent="0.3">
      <c r="A22" s="155">
        <v>44424.604428125</v>
      </c>
      <c r="B22" s="139">
        <v>6</v>
      </c>
      <c r="C22" s="139">
        <v>3</v>
      </c>
      <c r="D22" s="139"/>
      <c r="E22" s="139">
        <v>1</v>
      </c>
      <c r="F22" s="139"/>
      <c r="G22" s="140"/>
    </row>
    <row r="23" spans="1:7" x14ac:dyDescent="0.3">
      <c r="A23" s="155">
        <v>44424.604428125</v>
      </c>
      <c r="B23" s="139">
        <v>6</v>
      </c>
      <c r="C23" s="139">
        <v>3</v>
      </c>
      <c r="D23" s="139"/>
      <c r="E23" s="139">
        <v>1</v>
      </c>
      <c r="F23" s="139"/>
      <c r="G23" s="140"/>
    </row>
    <row r="24" spans="1:7" x14ac:dyDescent="0.3">
      <c r="A24" s="155">
        <v>44424.604428125</v>
      </c>
      <c r="B24" s="139">
        <v>6</v>
      </c>
      <c r="C24" s="139">
        <v>3</v>
      </c>
      <c r="D24" s="139"/>
      <c r="E24" s="139">
        <v>1</v>
      </c>
      <c r="F24" s="139"/>
      <c r="G24" s="140"/>
    </row>
    <row r="25" spans="1:7" x14ac:dyDescent="0.3">
      <c r="A25" s="155">
        <v>44424.604428125</v>
      </c>
      <c r="B25" s="139">
        <v>6</v>
      </c>
      <c r="C25" s="139">
        <v>3</v>
      </c>
      <c r="D25" s="139"/>
      <c r="E25" s="139">
        <v>1</v>
      </c>
      <c r="F25" s="139"/>
      <c r="G25" s="140"/>
    </row>
    <row r="26" spans="1:7" x14ac:dyDescent="0.3">
      <c r="A26" s="155">
        <v>44424.604428125</v>
      </c>
      <c r="B26" s="139">
        <v>6</v>
      </c>
      <c r="C26" s="139">
        <v>3</v>
      </c>
      <c r="D26" s="139"/>
      <c r="E26" s="139">
        <v>1</v>
      </c>
      <c r="F26" s="139"/>
      <c r="G26" s="140"/>
    </row>
    <row r="27" spans="1:7" x14ac:dyDescent="0.3">
      <c r="A27" s="155">
        <v>44424.604428125</v>
      </c>
      <c r="B27" s="139">
        <v>6</v>
      </c>
      <c r="C27" s="139">
        <v>3</v>
      </c>
      <c r="D27" s="139"/>
      <c r="E27" s="139">
        <v>1</v>
      </c>
      <c r="F27" s="139"/>
      <c r="G27" s="140"/>
    </row>
    <row r="28" spans="1:7" x14ac:dyDescent="0.3">
      <c r="A28" s="155">
        <v>44424.604428125</v>
      </c>
      <c r="B28" s="139">
        <v>6</v>
      </c>
      <c r="C28" s="139">
        <v>3</v>
      </c>
      <c r="D28" s="139"/>
      <c r="E28" s="139">
        <v>1</v>
      </c>
      <c r="F28" s="139"/>
      <c r="G28" s="140"/>
    </row>
    <row r="29" spans="1:7" x14ac:dyDescent="0.3">
      <c r="A29" s="155">
        <v>44424.604428125</v>
      </c>
      <c r="B29" s="139">
        <v>6</v>
      </c>
      <c r="C29" s="139">
        <v>3</v>
      </c>
      <c r="D29" s="139"/>
      <c r="E29" s="139">
        <v>1</v>
      </c>
      <c r="F29" s="139"/>
      <c r="G29" s="140"/>
    </row>
    <row r="30" spans="1:7" x14ac:dyDescent="0.3">
      <c r="A30" s="155">
        <v>44424.604428125</v>
      </c>
      <c r="B30" s="139">
        <v>6</v>
      </c>
      <c r="C30" s="139">
        <v>3</v>
      </c>
      <c r="D30" s="139"/>
      <c r="E30" s="139">
        <v>1</v>
      </c>
      <c r="F30" s="139"/>
      <c r="G30" s="140"/>
    </row>
    <row r="31" spans="1:7" x14ac:dyDescent="0.3">
      <c r="A31" s="155">
        <v>44425.42900462963</v>
      </c>
      <c r="B31" s="139">
        <v>7</v>
      </c>
      <c r="C31" s="139">
        <v>3</v>
      </c>
      <c r="D31" s="139"/>
      <c r="E31" s="139">
        <v>1</v>
      </c>
      <c r="F31" s="139"/>
      <c r="G31" s="140"/>
    </row>
    <row r="32" spans="1:7" x14ac:dyDescent="0.3">
      <c r="A32" s="155">
        <v>44425.42900462963</v>
      </c>
      <c r="B32" s="139">
        <v>7</v>
      </c>
      <c r="C32" s="139">
        <v>3</v>
      </c>
      <c r="D32" s="139"/>
      <c r="E32" s="139">
        <v>1</v>
      </c>
      <c r="F32" s="139"/>
      <c r="G32" s="140"/>
    </row>
    <row r="33" spans="1:7" x14ac:dyDescent="0.3">
      <c r="A33" s="155">
        <v>44425.42900462963</v>
      </c>
      <c r="B33" s="139">
        <v>7</v>
      </c>
      <c r="C33" s="139">
        <v>3</v>
      </c>
      <c r="D33" s="139"/>
      <c r="E33" s="139">
        <v>1</v>
      </c>
      <c r="F33" s="139"/>
      <c r="G33" s="140"/>
    </row>
    <row r="34" spans="1:7" x14ac:dyDescent="0.3">
      <c r="A34" s="155">
        <v>44425.42900462963</v>
      </c>
      <c r="B34" s="139">
        <v>7</v>
      </c>
      <c r="C34" s="139">
        <v>3</v>
      </c>
      <c r="D34" s="139"/>
      <c r="E34" s="139">
        <v>1</v>
      </c>
      <c r="F34" s="139"/>
      <c r="G34" s="140"/>
    </row>
    <row r="35" spans="1:7" x14ac:dyDescent="0.3">
      <c r="A35" s="155">
        <v>44425.42900462963</v>
      </c>
      <c r="B35" s="139">
        <v>7</v>
      </c>
      <c r="C35" s="139">
        <v>3</v>
      </c>
      <c r="D35" s="139"/>
      <c r="E35" s="139">
        <v>1</v>
      </c>
      <c r="F35" s="139"/>
      <c r="G35" s="140"/>
    </row>
    <row r="36" spans="1:7" x14ac:dyDescent="0.3">
      <c r="A36" s="155">
        <v>44425.42900462963</v>
      </c>
      <c r="B36" s="139">
        <v>7</v>
      </c>
      <c r="C36" s="139">
        <v>3</v>
      </c>
      <c r="D36" s="139"/>
      <c r="E36" s="139">
        <v>1</v>
      </c>
      <c r="F36" s="139"/>
      <c r="G36" s="140"/>
    </row>
    <row r="37" spans="1:7" x14ac:dyDescent="0.3">
      <c r="A37" s="155">
        <v>44425.42900462963</v>
      </c>
      <c r="B37" s="139">
        <v>7</v>
      </c>
      <c r="C37" s="139">
        <v>3</v>
      </c>
      <c r="D37" s="139"/>
      <c r="E37" s="139">
        <v>1</v>
      </c>
      <c r="F37" s="139"/>
      <c r="G37" s="140"/>
    </row>
    <row r="38" spans="1:7" x14ac:dyDescent="0.3">
      <c r="A38" s="155">
        <v>44425.42900462963</v>
      </c>
      <c r="B38" s="139">
        <v>7</v>
      </c>
      <c r="C38" s="139">
        <v>3</v>
      </c>
      <c r="D38" s="139"/>
      <c r="E38" s="139">
        <v>1</v>
      </c>
      <c r="F38" s="139"/>
      <c r="G38" s="140"/>
    </row>
    <row r="39" spans="1:7" x14ac:dyDescent="0.3">
      <c r="A39" s="155">
        <v>44425.42900462963</v>
      </c>
      <c r="B39" s="139">
        <v>7</v>
      </c>
      <c r="C39" s="139">
        <v>3</v>
      </c>
      <c r="D39" s="139"/>
      <c r="E39" s="139">
        <v>1</v>
      </c>
      <c r="F39" s="139"/>
      <c r="G39" s="140"/>
    </row>
    <row r="40" spans="1:7" x14ac:dyDescent="0.3">
      <c r="A40" s="155">
        <v>44425.42900462963</v>
      </c>
      <c r="B40" s="139">
        <v>7</v>
      </c>
      <c r="C40" s="139">
        <v>3</v>
      </c>
      <c r="D40" s="139"/>
      <c r="E40" s="139">
        <v>1</v>
      </c>
      <c r="F40" s="139"/>
      <c r="G40" s="140"/>
    </row>
    <row r="41" spans="1:7" x14ac:dyDescent="0.3">
      <c r="A41" s="155">
        <v>44425.42900462963</v>
      </c>
      <c r="B41" s="139">
        <v>7</v>
      </c>
      <c r="C41" s="139">
        <v>3</v>
      </c>
      <c r="D41" s="139"/>
      <c r="E41" s="139">
        <v>1</v>
      </c>
      <c r="F41" s="139"/>
      <c r="G41" s="140"/>
    </row>
    <row r="42" spans="1:7" x14ac:dyDescent="0.3">
      <c r="A42" s="155">
        <v>44425.42900462963</v>
      </c>
      <c r="B42" s="139">
        <v>7</v>
      </c>
      <c r="C42" s="139">
        <v>3</v>
      </c>
      <c r="D42" s="139"/>
      <c r="E42" s="139">
        <v>1</v>
      </c>
      <c r="F42" s="139"/>
      <c r="G42" s="140"/>
    </row>
    <row r="43" spans="1:7" x14ac:dyDescent="0.3">
      <c r="A43" s="155">
        <v>44425.42900462963</v>
      </c>
      <c r="B43" s="139">
        <v>7</v>
      </c>
      <c r="C43" s="139">
        <v>3</v>
      </c>
      <c r="D43" s="139"/>
      <c r="E43" s="139">
        <v>1</v>
      </c>
      <c r="F43" s="139"/>
      <c r="G43" s="140"/>
    </row>
    <row r="44" spans="1:7" x14ac:dyDescent="0.3">
      <c r="A44" s="155">
        <v>44425.42900462963</v>
      </c>
      <c r="B44" s="139">
        <v>7</v>
      </c>
      <c r="C44" s="139">
        <v>3</v>
      </c>
      <c r="D44" s="139"/>
      <c r="E44" s="139">
        <v>1</v>
      </c>
      <c r="F44" s="139"/>
      <c r="G44" s="140"/>
    </row>
    <row r="45" spans="1:7" x14ac:dyDescent="0.3">
      <c r="A45" s="155">
        <v>44425.42900462963</v>
      </c>
      <c r="B45" s="139">
        <v>7</v>
      </c>
      <c r="C45" s="139">
        <v>3</v>
      </c>
      <c r="D45" s="139"/>
      <c r="E45" s="139">
        <v>1</v>
      </c>
      <c r="F45" s="139"/>
      <c r="G45" s="140"/>
    </row>
    <row r="46" spans="1:7" x14ac:dyDescent="0.3">
      <c r="A46" s="155">
        <v>44425.42900462963</v>
      </c>
      <c r="B46" s="139">
        <v>7</v>
      </c>
      <c r="C46" s="139">
        <v>3</v>
      </c>
      <c r="D46" s="139"/>
      <c r="E46" s="139">
        <v>1</v>
      </c>
      <c r="F46" s="139"/>
      <c r="G46" s="140"/>
    </row>
    <row r="47" spans="1:7" x14ac:dyDescent="0.3">
      <c r="A47" s="155">
        <v>44425.42900462963</v>
      </c>
      <c r="B47" s="139">
        <v>7</v>
      </c>
      <c r="C47" s="139">
        <v>3</v>
      </c>
      <c r="D47" s="139"/>
      <c r="E47" s="139">
        <v>1</v>
      </c>
      <c r="F47" s="139"/>
      <c r="G47" s="140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CCE42-44FD-4999-BE70-B4AB98CB9ED1}">
  <sheetPr codeName="Feuil7">
    <pageSetUpPr fitToPage="1"/>
  </sheetPr>
  <dimension ref="A1:S33"/>
  <sheetViews>
    <sheetView showGridLines="0" workbookViewId="0">
      <pane ySplit="5" topLeftCell="A6" activePane="bottomLeft" state="frozen"/>
      <selection pane="bottomLeft" activeCell="O20" sqref="O20"/>
    </sheetView>
  </sheetViews>
  <sheetFormatPr baseColWidth="10" defaultRowHeight="14.4" x14ac:dyDescent="0.3"/>
  <cols>
    <col min="1" max="1" width="11.44140625" style="11" customWidth="1"/>
    <col min="8" max="8" width="1.88671875" customWidth="1"/>
    <col min="9" max="9" width="10.44140625" bestFit="1" customWidth="1"/>
    <col min="10" max="10" width="10.6640625" customWidth="1"/>
    <col min="11" max="11" width="15" customWidth="1"/>
    <col min="12" max="12" width="11.88671875" customWidth="1"/>
    <col min="13" max="13" width="11.5546875" customWidth="1"/>
    <col min="14" max="14" width="2" customWidth="1"/>
    <col min="15" max="15" width="11.109375" bestFit="1" customWidth="1"/>
    <col min="16" max="16" width="8.5546875" bestFit="1" customWidth="1"/>
    <col min="17" max="17" width="10.33203125" bestFit="1" customWidth="1"/>
    <col min="18" max="18" width="15.33203125" bestFit="1" customWidth="1"/>
    <col min="19" max="19" width="12" bestFit="1" customWidth="1"/>
  </cols>
  <sheetData>
    <row r="1" spans="1:19" ht="25.8" x14ac:dyDescent="0.5">
      <c r="B1" s="202" t="s">
        <v>83</v>
      </c>
      <c r="C1" s="202"/>
      <c r="D1" s="202"/>
      <c r="E1" s="202"/>
      <c r="F1" s="202"/>
      <c r="G1" s="122"/>
      <c r="I1" s="202" t="s">
        <v>84</v>
      </c>
      <c r="J1" s="202"/>
      <c r="K1" s="202"/>
      <c r="L1" s="202"/>
      <c r="M1" s="123"/>
      <c r="O1" s="202" t="s">
        <v>85</v>
      </c>
      <c r="P1" s="202"/>
      <c r="Q1" s="202"/>
      <c r="R1" s="202"/>
      <c r="S1" s="7"/>
    </row>
    <row r="2" spans="1:19" ht="25.8" x14ac:dyDescent="0.5">
      <c r="B2" s="202"/>
      <c r="C2" s="202"/>
      <c r="D2" s="202"/>
      <c r="E2" s="202"/>
      <c r="F2" s="202"/>
      <c r="G2" s="122"/>
      <c r="I2" s="202"/>
      <c r="J2" s="202"/>
      <c r="K2" s="202"/>
      <c r="L2" s="202"/>
      <c r="M2" s="123"/>
      <c r="O2" s="202"/>
      <c r="P2" s="202"/>
      <c r="Q2" s="202"/>
      <c r="R2" s="202"/>
      <c r="S2" s="7"/>
    </row>
    <row r="3" spans="1:19" ht="14.4" customHeight="1" x14ac:dyDescent="0.5">
      <c r="B3" s="124"/>
      <c r="C3" s="124"/>
      <c r="D3" s="124"/>
      <c r="E3" s="124"/>
      <c r="F3" s="124"/>
      <c r="G3" s="124"/>
      <c r="I3" s="125"/>
      <c r="J3" s="125"/>
      <c r="K3" s="125"/>
      <c r="L3" s="125"/>
      <c r="M3" s="125"/>
    </row>
    <row r="4" spans="1:19" x14ac:dyDescent="0.3">
      <c r="B4" s="118">
        <f t="shared" ref="B4:E4" si="0">+SUM(B6:B17)</f>
        <v>339.14999999999992</v>
      </c>
      <c r="C4" s="118">
        <f t="shared" si="0"/>
        <v>0</v>
      </c>
      <c r="D4" s="118">
        <f t="shared" si="0"/>
        <v>0</v>
      </c>
      <c r="E4" s="118">
        <f t="shared" si="0"/>
        <v>0</v>
      </c>
      <c r="F4" s="118">
        <f t="shared" ref="F4:G4" si="1">+SUM(F6:F17)</f>
        <v>39.9</v>
      </c>
      <c r="G4" s="118">
        <f t="shared" si="1"/>
        <v>379.0499999999999</v>
      </c>
      <c r="H4" s="121">
        <f t="shared" ref="H4" si="2">+SUM(H6:H17)</f>
        <v>0</v>
      </c>
      <c r="I4" s="118">
        <f>+SUM(I6:I17)</f>
        <v>0</v>
      </c>
      <c r="J4" s="118">
        <f>+SUM(J6:J17)</f>
        <v>0</v>
      </c>
      <c r="K4" s="118">
        <f>+SUM(K6:K17)</f>
        <v>339.14999999999992</v>
      </c>
      <c r="L4" s="118">
        <f t="shared" ref="L4:M4" si="3">+SUM(L6:L17)</f>
        <v>39.9</v>
      </c>
      <c r="M4" s="118">
        <f t="shared" si="3"/>
        <v>379.0499999999999</v>
      </c>
      <c r="N4" s="121">
        <f t="shared" ref="N4:Q4" si="4">+SUM(N6:N17)</f>
        <v>0</v>
      </c>
      <c r="O4" s="118">
        <f t="shared" si="4"/>
        <v>0</v>
      </c>
      <c r="P4" s="118">
        <f t="shared" si="4"/>
        <v>0</v>
      </c>
      <c r="Q4" s="118">
        <f t="shared" si="4"/>
        <v>51</v>
      </c>
      <c r="R4" s="118">
        <f t="shared" ref="R4:S4" si="5">+SUM(R6:R17)</f>
        <v>0</v>
      </c>
      <c r="S4" s="151">
        <f t="shared" si="5"/>
        <v>51</v>
      </c>
    </row>
    <row r="5" spans="1:19" x14ac:dyDescent="0.3">
      <c r="A5" s="127" t="s">
        <v>82</v>
      </c>
      <c r="B5" s="128" t="s">
        <v>19</v>
      </c>
      <c r="C5" s="128" t="s">
        <v>2</v>
      </c>
      <c r="D5" s="128" t="s">
        <v>81</v>
      </c>
      <c r="E5" s="128" t="s">
        <v>5</v>
      </c>
      <c r="F5" s="128" t="s">
        <v>14</v>
      </c>
      <c r="G5" s="128" t="s">
        <v>86</v>
      </c>
      <c r="I5" s="129" t="s">
        <v>20</v>
      </c>
      <c r="J5" s="129" t="s">
        <v>15</v>
      </c>
      <c r="K5" s="129" t="s">
        <v>11</v>
      </c>
      <c r="L5" s="129" t="s">
        <v>6</v>
      </c>
      <c r="M5" s="129" t="s">
        <v>87</v>
      </c>
      <c r="O5" s="129" t="s">
        <v>18</v>
      </c>
      <c r="P5" s="129" t="s">
        <v>13</v>
      </c>
      <c r="Q5" s="129" t="s">
        <v>9</v>
      </c>
      <c r="R5" s="129" t="s">
        <v>4</v>
      </c>
      <c r="S5" s="129" t="s">
        <v>88</v>
      </c>
    </row>
    <row r="6" spans="1:19" x14ac:dyDescent="0.3">
      <c r="A6" s="131">
        <v>44227</v>
      </c>
      <c r="B6" s="126">
        <f>+SUMIFS(T_Archives[TOTAL PAYE],T_Archives[Plateforme],B$5,T_Archives[Date],"&lt;="&amp;$A6,T_Archives[Date],"&gt;"&amp;$A5)</f>
        <v>0</v>
      </c>
      <c r="C6" s="126">
        <f>+SUMIFS(T_Archives[TOTAL PAYE],T_Archives[Plateforme],C$5,T_Archives[Date],"&lt;="&amp;$A6,T_Archives[Date],"&gt;"&amp;$A5)</f>
        <v>0</v>
      </c>
      <c r="D6" s="126">
        <f>+SUMIFS(T_Archives[TOTAL PAYE],T_Archives[Plateforme],D$5,T_Archives[Date],"&lt;="&amp;$A6,T_Archives[Date],"&gt;"&amp;$A5)</f>
        <v>0</v>
      </c>
      <c r="E6" s="126">
        <f>+SUMIFS(T_Archives[TOTAL PAYE],T_Archives[Plateforme],E$5,T_Archives[Date],"&lt;="&amp;$A6,T_Archives[Date],"&gt;"&amp;$A5)</f>
        <v>0</v>
      </c>
      <c r="F6" s="126">
        <f>+SUMIFS(T_Archives[TOTAL PAYE],T_Archives[Plateforme],F$5,T_Archives[Date],"&lt;="&amp;$A6,T_Archives[Date],"&gt;"&amp;$A5)</f>
        <v>0</v>
      </c>
      <c r="G6" s="126">
        <f>+SUM(Tableau4[[#This Row],[Site]:[eBay]])</f>
        <v>0</v>
      </c>
      <c r="I6" s="119">
        <f>+SUMIFS(T_Archives[TOTAL PAYE],T_Archives[Règlement],I$5,T_Archives[Date],"&lt;="&amp;$A6,T_Archives[Date],"&gt;"&amp;$A5)</f>
        <v>0</v>
      </c>
      <c r="J6" s="119">
        <f>+SUMIFS(T_Archives[TOTAL PAYE],T_Archives[Règlement],J$5,T_Archives[Date],"&lt;="&amp;$A6,T_Archives[Date],"&gt;"&amp;$A5)</f>
        <v>0</v>
      </c>
      <c r="K6" s="119">
        <f>+SUMIFS(T_Archives[TOTAL PAYE],T_Archives[Règlement],K$5,T_Archives[Date],"&lt;="&amp;$A6,T_Archives[Date],"&gt;"&amp;$A5)</f>
        <v>0</v>
      </c>
      <c r="L6" s="119">
        <f>+SUMIFS(T_Archives[TOTAL PAYE],T_Archives[Règlement],L$5,T_Archives[Date],"&lt;="&amp;$A6,T_Archives[Date],"&gt;"&amp;$A5)</f>
        <v>0</v>
      </c>
      <c r="M6" s="119">
        <f>+SUM(Tableau5[[#This Row],[Chèque]:[En compte]])</f>
        <v>0</v>
      </c>
      <c r="O6" s="119">
        <f>+SUMIFS(T_Archives[Frais de Port],T_Archives[Transporteur],O$5,T_Archives[Date],"&lt;="&amp;$A6,T_Archives[Date],"&gt;"&amp;$A5)</f>
        <v>0</v>
      </c>
      <c r="P6" s="119">
        <f>+SUMIFS(T_Archives[Frais de Port],T_Archives[Transporteur],P$5,T_Archives[Date],"&lt;="&amp;$A6,T_Archives[Date],"&gt;"&amp;$A5)</f>
        <v>0</v>
      </c>
      <c r="Q6" s="119">
        <f>+SUMIFS(T_Archives[Frais de Port],T_Archives[Transporteur],Q$5,T_Archives[Date],"&lt;="&amp;$A6,T_Archives[Date],"&gt;"&amp;$A5)</f>
        <v>0</v>
      </c>
      <c r="R6" s="119">
        <f>+SUMIFS(T_Archives[Frais de Port],T_Archives[Transporteur],R$5,T_Archives[Date],"&lt;="&amp;$A6,T_Archives[Date],"&gt;"&amp;$A5)</f>
        <v>0</v>
      </c>
      <c r="S6" s="119">
        <f>+SUM(Tableau6[[#This Row],[Comptoir]:[Mondial Relay]])</f>
        <v>0</v>
      </c>
    </row>
    <row r="7" spans="1:19" x14ac:dyDescent="0.3">
      <c r="A7" s="131">
        <f>+EOMONTH(A6,1)</f>
        <v>44255</v>
      </c>
      <c r="B7" s="126">
        <f>+SUMIFS(T_Archives[TOTAL PAYE],T_Archives[Plateforme],B$5,T_Archives[Date],"&lt;="&amp;$A7,T_Archives[Date],"&gt;"&amp;$A6)</f>
        <v>0</v>
      </c>
      <c r="C7" s="126">
        <f>+SUMIFS(T_Archives[TOTAL PAYE],T_Archives[Plateforme],C$5,T_Archives[Date],"&lt;="&amp;$A7,T_Archives[Date],"&gt;"&amp;$A6)</f>
        <v>0</v>
      </c>
      <c r="D7" s="126">
        <f>+SUMIFS(T_Archives[TOTAL PAYE],T_Archives[Plateforme],D$5,T_Archives[Date],"&lt;="&amp;$A7,T_Archives[Date],"&gt;"&amp;$A6)</f>
        <v>0</v>
      </c>
      <c r="E7" s="126">
        <f>+SUMIFS(T_Archives[TOTAL PAYE],T_Archives[Plateforme],E$5,T_Archives[Date],"&lt;="&amp;$A7,T_Archives[Date],"&gt;"&amp;$A6)</f>
        <v>0</v>
      </c>
      <c r="F7" s="126">
        <f>+SUMIFS(T_Archives[TOTAL PAYE],T_Archives[Plateforme],F$5,T_Archives[Date],"&lt;="&amp;$A7,T_Archives[Date],"&gt;"&amp;$A6)</f>
        <v>0</v>
      </c>
      <c r="G7" s="126">
        <f>+SUM(Tableau4[[#This Row],[Site]:[eBay]])</f>
        <v>0</v>
      </c>
      <c r="I7" s="120">
        <f>+SUMIFS(T_Archives[TOTAL PAYE],T_Archives[Règlement],I$5,T_Archives[Date],"&lt;="&amp;$A7,T_Archives[Date],"&gt;"&amp;$A6)</f>
        <v>0</v>
      </c>
      <c r="J7" s="120">
        <f>+SUMIFS(T_Archives[TOTAL PAYE],T_Archives[Règlement],J$5,T_Archives[Date],"&lt;="&amp;$A7,T_Archives[Date],"&gt;"&amp;$A6)</f>
        <v>0</v>
      </c>
      <c r="K7" s="120">
        <f>+SUMIFS(T_Archives[TOTAL PAYE],T_Archives[Règlement],K$5,T_Archives[Date],"&lt;="&amp;$A7,T_Archives[Date],"&gt;"&amp;$A6)</f>
        <v>0</v>
      </c>
      <c r="L7" s="120">
        <f>+SUMIFS(T_Archives[TOTAL PAYE],T_Archives[Règlement],L$5,T_Archives[Date],"&lt;="&amp;$A7,T_Archives[Date],"&gt;"&amp;$A6)</f>
        <v>0</v>
      </c>
      <c r="M7" s="120">
        <f>+SUM(Tableau5[[#This Row],[Chèque]:[En compte]])</f>
        <v>0</v>
      </c>
      <c r="O7" s="120">
        <f>+SUMIFS(T_Archives[Frais de Port],T_Archives[Transporteur],O$5,T_Archives[Date],"&lt;="&amp;$A7,T_Archives[Date],"&gt;"&amp;$A6)</f>
        <v>0</v>
      </c>
      <c r="P7" s="120">
        <f>+SUMIFS(T_Archives[Frais de Port],T_Archives[Transporteur],P$5,T_Archives[Date],"&lt;="&amp;$A7,T_Archives[Date],"&gt;"&amp;$A6)</f>
        <v>0</v>
      </c>
      <c r="Q7" s="120">
        <f>+SUMIFS(T_Archives[Frais de Port],T_Archives[Transporteur],Q$5,T_Archives[Date],"&lt;="&amp;$A7,T_Archives[Date],"&gt;"&amp;$A6)</f>
        <v>0</v>
      </c>
      <c r="R7" s="120">
        <f>+SUMIFS(T_Archives[Frais de Port],T_Archives[Transporteur],R$5,T_Archives[Date],"&lt;="&amp;$A7,T_Archives[Date],"&gt;"&amp;$A6)</f>
        <v>0</v>
      </c>
      <c r="S7" s="120">
        <f>+SUM(Tableau6[[#This Row],[Comptoir]:[Mondial Relay]])</f>
        <v>0</v>
      </c>
    </row>
    <row r="8" spans="1:19" x14ac:dyDescent="0.3">
      <c r="A8" s="131">
        <f t="shared" ref="A8:A17" si="6">+EOMONTH(A7,1)</f>
        <v>44286</v>
      </c>
      <c r="B8" s="126">
        <f>+SUMIFS(T_Archives[TOTAL PAYE],T_Archives[Plateforme],B$5,T_Archives[Date],"&lt;="&amp;$A8,T_Archives[Date],"&gt;"&amp;$A7)</f>
        <v>0</v>
      </c>
      <c r="C8" s="126">
        <f>+SUMIFS(T_Archives[TOTAL PAYE],T_Archives[Plateforme],C$5,T_Archives[Date],"&lt;="&amp;$A8,T_Archives[Date],"&gt;"&amp;$A7)</f>
        <v>0</v>
      </c>
      <c r="D8" s="126">
        <f>+SUMIFS(T_Archives[TOTAL PAYE],T_Archives[Plateforme],D$5,T_Archives[Date],"&lt;="&amp;$A8,T_Archives[Date],"&gt;"&amp;$A7)</f>
        <v>0</v>
      </c>
      <c r="E8" s="126">
        <f>+SUMIFS(T_Archives[TOTAL PAYE],T_Archives[Plateforme],E$5,T_Archives[Date],"&lt;="&amp;$A8,T_Archives[Date],"&gt;"&amp;$A7)</f>
        <v>0</v>
      </c>
      <c r="F8" s="126">
        <f>+SUMIFS(T_Archives[TOTAL PAYE],T_Archives[Plateforme],F$5,T_Archives[Date],"&lt;="&amp;$A8,T_Archives[Date],"&gt;"&amp;$A7)</f>
        <v>39.9</v>
      </c>
      <c r="G8" s="126">
        <f>+SUM(Tableau4[[#This Row],[Site]:[eBay]])</f>
        <v>39.9</v>
      </c>
      <c r="I8" s="119">
        <f>+SUMIFS(T_Archives[TOTAL PAYE],T_Archives[Règlement],I$5,T_Archives[Date],"&lt;="&amp;$A8,T_Archives[Date],"&gt;"&amp;$A7)</f>
        <v>0</v>
      </c>
      <c r="J8" s="119">
        <f>+SUMIFS(T_Archives[TOTAL PAYE],T_Archives[Règlement],J$5,T_Archives[Date],"&lt;="&amp;$A8,T_Archives[Date],"&gt;"&amp;$A7)</f>
        <v>0</v>
      </c>
      <c r="K8" s="119">
        <f>+SUMIFS(T_Archives[TOTAL PAYE],T_Archives[Règlement],K$5,T_Archives[Date],"&lt;="&amp;$A8,T_Archives[Date],"&gt;"&amp;$A7)</f>
        <v>0</v>
      </c>
      <c r="L8" s="119">
        <f>+SUMIFS(T_Archives[TOTAL PAYE],T_Archives[Règlement],L$5,T_Archives[Date],"&lt;="&amp;$A8,T_Archives[Date],"&gt;"&amp;$A7)</f>
        <v>39.9</v>
      </c>
      <c r="M8" s="119">
        <f>+SUM(Tableau5[[#This Row],[Chèque]:[En compte]])</f>
        <v>39.9</v>
      </c>
      <c r="O8" s="119">
        <f>+SUMIFS(T_Archives[Frais de Port],T_Archives[Transporteur],O$5,T_Archives[Date],"&lt;="&amp;$A8,T_Archives[Date],"&gt;"&amp;$A7)</f>
        <v>0</v>
      </c>
      <c r="P8" s="119">
        <f>+SUMIFS(T_Archives[Frais de Port],T_Archives[Transporteur],P$5,T_Archives[Date],"&lt;="&amp;$A8,T_Archives[Date],"&gt;"&amp;$A7)</f>
        <v>0</v>
      </c>
      <c r="Q8" s="119">
        <f>+SUMIFS(T_Archives[Frais de Port],T_Archives[Transporteur],Q$5,T_Archives[Date],"&lt;="&amp;$A8,T_Archives[Date],"&gt;"&amp;$A7)</f>
        <v>0</v>
      </c>
      <c r="R8" s="119">
        <f>+SUMIFS(T_Archives[Frais de Port],T_Archives[Transporteur],R$5,T_Archives[Date],"&lt;="&amp;$A8,T_Archives[Date],"&gt;"&amp;$A7)</f>
        <v>0</v>
      </c>
      <c r="S8" s="119">
        <f>+SUM(Tableau6[[#This Row],[Comptoir]:[Mondial Relay]])</f>
        <v>0</v>
      </c>
    </row>
    <row r="9" spans="1:19" x14ac:dyDescent="0.3">
      <c r="A9" s="131">
        <f t="shared" si="6"/>
        <v>44316</v>
      </c>
      <c r="B9" s="126">
        <f>+SUMIFS(T_Archives[TOTAL PAYE],T_Archives[Plateforme],B$5,T_Archives[Date],"&lt;="&amp;$A9,T_Archives[Date],"&gt;"&amp;$A8)</f>
        <v>0</v>
      </c>
      <c r="C9" s="126">
        <f>+SUMIFS(T_Archives[TOTAL PAYE],T_Archives[Plateforme],C$5,T_Archives[Date],"&lt;="&amp;$A9,T_Archives[Date],"&gt;"&amp;$A8)</f>
        <v>0</v>
      </c>
      <c r="D9" s="126">
        <f>+SUMIFS(T_Archives[TOTAL PAYE],T_Archives[Plateforme],D$5,T_Archives[Date],"&lt;="&amp;$A9,T_Archives[Date],"&gt;"&amp;$A8)</f>
        <v>0</v>
      </c>
      <c r="E9" s="126">
        <f>+SUMIFS(T_Archives[TOTAL PAYE],T_Archives[Plateforme],E$5,T_Archives[Date],"&lt;="&amp;$A9,T_Archives[Date],"&gt;"&amp;$A8)</f>
        <v>0</v>
      </c>
      <c r="F9" s="126">
        <f>+SUMIFS(T_Archives[TOTAL PAYE],T_Archives[Plateforme],F$5,T_Archives[Date],"&lt;="&amp;$A9,T_Archives[Date],"&gt;"&amp;$A8)</f>
        <v>0</v>
      </c>
      <c r="G9" s="126">
        <f>+SUM(Tableau4[[#This Row],[Site]:[eBay]])</f>
        <v>0</v>
      </c>
      <c r="I9" s="120">
        <f>+SUMIFS(T_Archives[TOTAL PAYE],T_Archives[Règlement],I$5,T_Archives[Date],"&lt;="&amp;$A9,T_Archives[Date],"&gt;"&amp;$A8)</f>
        <v>0</v>
      </c>
      <c r="J9" s="120">
        <f>+SUMIFS(T_Archives[TOTAL PAYE],T_Archives[Règlement],J$5,T_Archives[Date],"&lt;="&amp;$A9,T_Archives[Date],"&gt;"&amp;$A8)</f>
        <v>0</v>
      </c>
      <c r="K9" s="120">
        <f>+SUMIFS(T_Archives[TOTAL PAYE],T_Archives[Règlement],K$5,T_Archives[Date],"&lt;="&amp;$A9,T_Archives[Date],"&gt;"&amp;$A8)</f>
        <v>0</v>
      </c>
      <c r="L9" s="120">
        <f>+SUMIFS(T_Archives[TOTAL PAYE],T_Archives[Règlement],L$5,T_Archives[Date],"&lt;="&amp;$A9,T_Archives[Date],"&gt;"&amp;$A8)</f>
        <v>0</v>
      </c>
      <c r="M9" s="120">
        <f>+SUM(Tableau5[[#This Row],[Chèque]:[En compte]])</f>
        <v>0</v>
      </c>
      <c r="O9" s="120">
        <f>+SUMIFS(T_Archives[Frais de Port],T_Archives[Transporteur],O$5,T_Archives[Date],"&lt;="&amp;$A9,T_Archives[Date],"&gt;"&amp;$A8)</f>
        <v>0</v>
      </c>
      <c r="P9" s="120">
        <f>+SUMIFS(T_Archives[Frais de Port],T_Archives[Transporteur],P$5,T_Archives[Date],"&lt;="&amp;$A9,T_Archives[Date],"&gt;"&amp;$A8)</f>
        <v>0</v>
      </c>
      <c r="Q9" s="120">
        <f>+SUMIFS(T_Archives[Frais de Port],T_Archives[Transporteur],Q$5,T_Archives[Date],"&lt;="&amp;$A9,T_Archives[Date],"&gt;"&amp;$A8)</f>
        <v>0</v>
      </c>
      <c r="R9" s="120">
        <f>+SUMIFS(T_Archives[Frais de Port],T_Archives[Transporteur],R$5,T_Archives[Date],"&lt;="&amp;$A9,T_Archives[Date],"&gt;"&amp;$A8)</f>
        <v>0</v>
      </c>
      <c r="S9" s="120">
        <f>+SUM(Tableau6[[#This Row],[Comptoir]:[Mondial Relay]])</f>
        <v>0</v>
      </c>
    </row>
    <row r="10" spans="1:19" x14ac:dyDescent="0.3">
      <c r="A10" s="131">
        <f t="shared" si="6"/>
        <v>44347</v>
      </c>
      <c r="B10" s="126">
        <f>+SUMIFS(T_Archives[TOTAL PAYE],T_Archives[Plateforme],B$5,T_Archives[Date],"&lt;="&amp;$A10,T_Archives[Date],"&gt;"&amp;$A9)</f>
        <v>0</v>
      </c>
      <c r="C10" s="126">
        <f>+SUMIFS(T_Archives[TOTAL PAYE],T_Archives[Plateforme],C$5,T_Archives[Date],"&lt;="&amp;$A10,T_Archives[Date],"&gt;"&amp;$A9)</f>
        <v>0</v>
      </c>
      <c r="D10" s="126">
        <f>+SUMIFS(T_Archives[TOTAL PAYE],T_Archives[Plateforme],D$5,T_Archives[Date],"&lt;="&amp;$A10,T_Archives[Date],"&gt;"&amp;$A9)</f>
        <v>0</v>
      </c>
      <c r="E10" s="126">
        <f>+SUMIFS(T_Archives[TOTAL PAYE],T_Archives[Plateforme],E$5,T_Archives[Date],"&lt;="&amp;$A10,T_Archives[Date],"&gt;"&amp;$A9)</f>
        <v>0</v>
      </c>
      <c r="F10" s="126">
        <f>+SUMIFS(T_Archives[TOTAL PAYE],T_Archives[Plateforme],F$5,T_Archives[Date],"&lt;="&amp;$A10,T_Archives[Date],"&gt;"&amp;$A9)</f>
        <v>0</v>
      </c>
      <c r="G10" s="126">
        <f>+SUM(Tableau4[[#This Row],[Site]:[eBay]])</f>
        <v>0</v>
      </c>
      <c r="I10" s="119">
        <f>+SUMIFS(T_Archives[TOTAL PAYE],T_Archives[Règlement],I$5,T_Archives[Date],"&lt;="&amp;$A10,T_Archives[Date],"&gt;"&amp;$A9)</f>
        <v>0</v>
      </c>
      <c r="J10" s="119">
        <f>+SUMIFS(T_Archives[TOTAL PAYE],T_Archives[Règlement],J$5,T_Archives[Date],"&lt;="&amp;$A10,T_Archives[Date],"&gt;"&amp;$A9)</f>
        <v>0</v>
      </c>
      <c r="K10" s="119">
        <f>+SUMIFS(T_Archives[TOTAL PAYE],T_Archives[Règlement],K$5,T_Archives[Date],"&lt;="&amp;$A10,T_Archives[Date],"&gt;"&amp;$A9)</f>
        <v>0</v>
      </c>
      <c r="L10" s="119">
        <f>+SUMIFS(T_Archives[TOTAL PAYE],T_Archives[Règlement],L$5,T_Archives[Date],"&lt;="&amp;$A10,T_Archives[Date],"&gt;"&amp;$A9)</f>
        <v>0</v>
      </c>
      <c r="M10" s="119">
        <f>+SUM(Tableau5[[#This Row],[Chèque]:[En compte]])</f>
        <v>0</v>
      </c>
      <c r="O10" s="119">
        <f>+SUMIFS(T_Archives[Frais de Port],T_Archives[Transporteur],O$5,T_Archives[Date],"&lt;="&amp;$A10,T_Archives[Date],"&gt;"&amp;$A9)</f>
        <v>0</v>
      </c>
      <c r="P10" s="119">
        <f>+SUMIFS(T_Archives[Frais de Port],T_Archives[Transporteur],P$5,T_Archives[Date],"&lt;="&amp;$A10,T_Archives[Date],"&gt;"&amp;$A9)</f>
        <v>0</v>
      </c>
      <c r="Q10" s="119">
        <f>+SUMIFS(T_Archives[Frais de Port],T_Archives[Transporteur],Q$5,T_Archives[Date],"&lt;="&amp;$A10,T_Archives[Date],"&gt;"&amp;$A9)</f>
        <v>0</v>
      </c>
      <c r="R10" s="119">
        <f>+SUMIFS(T_Archives[Frais de Port],T_Archives[Transporteur],R$5,T_Archives[Date],"&lt;="&amp;$A10,T_Archives[Date],"&gt;"&amp;$A9)</f>
        <v>0</v>
      </c>
      <c r="S10" s="119">
        <f>+SUM(Tableau6[[#This Row],[Comptoir]:[Mondial Relay]])</f>
        <v>0</v>
      </c>
    </row>
    <row r="11" spans="1:19" x14ac:dyDescent="0.3">
      <c r="A11" s="131">
        <f t="shared" si="6"/>
        <v>44377</v>
      </c>
      <c r="B11" s="126">
        <f>+SUMIFS(T_Archives[TOTAL PAYE],T_Archives[Plateforme],B$5,T_Archives[Date],"&lt;="&amp;$A11,T_Archives[Date],"&gt;"&amp;$A10)</f>
        <v>0</v>
      </c>
      <c r="C11" s="126">
        <f>+SUMIFS(T_Archives[TOTAL PAYE],T_Archives[Plateforme],C$5,T_Archives[Date],"&lt;="&amp;$A11,T_Archives[Date],"&gt;"&amp;$A10)</f>
        <v>0</v>
      </c>
      <c r="D11" s="126">
        <f>+SUMIFS(T_Archives[TOTAL PAYE],T_Archives[Plateforme],D$5,T_Archives[Date],"&lt;="&amp;$A11,T_Archives[Date],"&gt;"&amp;$A10)</f>
        <v>0</v>
      </c>
      <c r="E11" s="126">
        <f>+SUMIFS(T_Archives[TOTAL PAYE],T_Archives[Plateforme],E$5,T_Archives[Date],"&lt;="&amp;$A11,T_Archives[Date],"&gt;"&amp;$A10)</f>
        <v>0</v>
      </c>
      <c r="F11" s="126">
        <f>+SUMIFS(T_Archives[TOTAL PAYE],T_Archives[Plateforme],F$5,T_Archives[Date],"&lt;="&amp;$A11,T_Archives[Date],"&gt;"&amp;$A10)</f>
        <v>0</v>
      </c>
      <c r="G11" s="126">
        <f>+SUM(Tableau4[[#This Row],[Site]:[eBay]])</f>
        <v>0</v>
      </c>
      <c r="I11" s="120">
        <f>+SUMIFS(T_Archives[TOTAL PAYE],T_Archives[Règlement],I$5,T_Archives[Date],"&lt;="&amp;$A11,T_Archives[Date],"&gt;"&amp;$A10)</f>
        <v>0</v>
      </c>
      <c r="J11" s="120">
        <f>+SUMIFS(T_Archives[TOTAL PAYE],T_Archives[Règlement],J$5,T_Archives[Date],"&lt;="&amp;$A11,T_Archives[Date],"&gt;"&amp;$A10)</f>
        <v>0</v>
      </c>
      <c r="K11" s="120">
        <f>+SUMIFS(T_Archives[TOTAL PAYE],T_Archives[Règlement],K$5,T_Archives[Date],"&lt;="&amp;$A11,T_Archives[Date],"&gt;"&amp;$A10)</f>
        <v>0</v>
      </c>
      <c r="L11" s="120">
        <f>+SUMIFS(T_Archives[TOTAL PAYE],T_Archives[Règlement],L$5,T_Archives[Date],"&lt;="&amp;$A11,T_Archives[Date],"&gt;"&amp;$A10)</f>
        <v>0</v>
      </c>
      <c r="M11" s="120">
        <f>+SUM(Tableau5[[#This Row],[Chèque]:[En compte]])</f>
        <v>0</v>
      </c>
      <c r="O11" s="120">
        <f>+SUMIFS(T_Archives[Frais de Port],T_Archives[Transporteur],O$5,T_Archives[Date],"&lt;="&amp;$A11,T_Archives[Date],"&gt;"&amp;$A10)</f>
        <v>0</v>
      </c>
      <c r="P11" s="120">
        <f>+SUMIFS(T_Archives[Frais de Port],T_Archives[Transporteur],P$5,T_Archives[Date],"&lt;="&amp;$A11,T_Archives[Date],"&gt;"&amp;$A10)</f>
        <v>0</v>
      </c>
      <c r="Q11" s="120">
        <f>+SUMIFS(T_Archives[Frais de Port],T_Archives[Transporteur],Q$5,T_Archives[Date],"&lt;="&amp;$A11,T_Archives[Date],"&gt;"&amp;$A10)</f>
        <v>0</v>
      </c>
      <c r="R11" s="120">
        <f>+SUMIFS(T_Archives[Frais de Port],T_Archives[Transporteur],R$5,T_Archives[Date],"&lt;="&amp;$A11,T_Archives[Date],"&gt;"&amp;$A10)</f>
        <v>0</v>
      </c>
      <c r="S11" s="120">
        <f>+SUM(Tableau6[[#This Row],[Comptoir]:[Mondial Relay]])</f>
        <v>0</v>
      </c>
    </row>
    <row r="12" spans="1:19" x14ac:dyDescent="0.3">
      <c r="A12" s="131">
        <f t="shared" si="6"/>
        <v>44408</v>
      </c>
      <c r="B12" s="126">
        <f>+SUMIFS(T_Archives[TOTAL PAYE],T_Archives[Plateforme],B$5,T_Archives[Date],"&lt;="&amp;$A12,T_Archives[Date],"&gt;"&amp;$A11)</f>
        <v>0</v>
      </c>
      <c r="C12" s="126">
        <f>+SUMIFS(T_Archives[TOTAL PAYE],T_Archives[Plateforme],C$5,T_Archives[Date],"&lt;="&amp;$A12,T_Archives[Date],"&gt;"&amp;$A11)</f>
        <v>0</v>
      </c>
      <c r="D12" s="126">
        <f>+SUMIFS(T_Archives[TOTAL PAYE],T_Archives[Plateforme],D$5,T_Archives[Date],"&lt;="&amp;$A12,T_Archives[Date],"&gt;"&amp;$A11)</f>
        <v>0</v>
      </c>
      <c r="E12" s="126">
        <f>+SUMIFS(T_Archives[TOTAL PAYE],T_Archives[Plateforme],E$5,T_Archives[Date],"&lt;="&amp;$A12,T_Archives[Date],"&gt;"&amp;$A11)</f>
        <v>0</v>
      </c>
      <c r="F12" s="126">
        <f>+SUMIFS(T_Archives[TOTAL PAYE],T_Archives[Plateforme],F$5,T_Archives[Date],"&lt;="&amp;$A12,T_Archives[Date],"&gt;"&amp;$A11)</f>
        <v>0</v>
      </c>
      <c r="G12" s="126">
        <f>+SUM(Tableau4[[#This Row],[Site]:[eBay]])</f>
        <v>0</v>
      </c>
      <c r="I12" s="119">
        <f>+SUMIFS(T_Archives[TOTAL PAYE],T_Archives[Règlement],I$5,T_Archives[Date],"&lt;="&amp;$A12,T_Archives[Date],"&gt;"&amp;$A11)</f>
        <v>0</v>
      </c>
      <c r="J12" s="119">
        <f>+SUMIFS(T_Archives[TOTAL PAYE],T_Archives[Règlement],J$5,T_Archives[Date],"&lt;="&amp;$A12,T_Archives[Date],"&gt;"&amp;$A11)</f>
        <v>0</v>
      </c>
      <c r="K12" s="119">
        <f>+SUMIFS(T_Archives[TOTAL PAYE],T_Archives[Règlement],K$5,T_Archives[Date],"&lt;="&amp;$A12,T_Archives[Date],"&gt;"&amp;$A11)</f>
        <v>0</v>
      </c>
      <c r="L12" s="119">
        <f>+SUMIFS(T_Archives[TOTAL PAYE],T_Archives[Règlement],L$5,T_Archives[Date],"&lt;="&amp;$A12,T_Archives[Date],"&gt;"&amp;$A11)</f>
        <v>0</v>
      </c>
      <c r="M12" s="119">
        <f>+SUM(Tableau5[[#This Row],[Chèque]:[En compte]])</f>
        <v>0</v>
      </c>
      <c r="O12" s="119">
        <f>+SUMIFS(T_Archives[Frais de Port],T_Archives[Transporteur],O$5,T_Archives[Date],"&lt;="&amp;$A12,T_Archives[Date],"&gt;"&amp;$A11)</f>
        <v>0</v>
      </c>
      <c r="P12" s="119">
        <f>+SUMIFS(T_Archives[Frais de Port],T_Archives[Transporteur],P$5,T_Archives[Date],"&lt;="&amp;$A12,T_Archives[Date],"&gt;"&amp;$A11)</f>
        <v>0</v>
      </c>
      <c r="Q12" s="119">
        <f>+SUMIFS(T_Archives[Frais de Port],T_Archives[Transporteur],Q$5,T_Archives[Date],"&lt;="&amp;$A12,T_Archives[Date],"&gt;"&amp;$A11)</f>
        <v>0</v>
      </c>
      <c r="R12" s="119">
        <f>+SUMIFS(T_Archives[Frais de Port],T_Archives[Transporteur],R$5,T_Archives[Date],"&lt;="&amp;$A12,T_Archives[Date],"&gt;"&amp;$A11)</f>
        <v>0</v>
      </c>
      <c r="S12" s="119">
        <f>+SUM(Tableau6[[#This Row],[Comptoir]:[Mondial Relay]])</f>
        <v>0</v>
      </c>
    </row>
    <row r="13" spans="1:19" x14ac:dyDescent="0.3">
      <c r="A13" s="131">
        <f t="shared" si="6"/>
        <v>44439</v>
      </c>
      <c r="B13" s="126">
        <f>+SUMIFS(T_Archives[TOTAL PAYE],T_Archives[Plateforme],B$5,T_Archives[Date],"&lt;="&amp;$A13,T_Archives[Date],"&gt;"&amp;$A12)</f>
        <v>339.14999999999992</v>
      </c>
      <c r="C13" s="126">
        <f>+SUMIFS(T_Archives[TOTAL PAYE],T_Archives[Plateforme],C$5,T_Archives[Date],"&lt;="&amp;$A13,T_Archives[Date],"&gt;"&amp;$A12)</f>
        <v>0</v>
      </c>
      <c r="D13" s="126">
        <f>+SUMIFS(T_Archives[TOTAL PAYE],T_Archives[Plateforme],D$5,T_Archives[Date],"&lt;="&amp;$A13,T_Archives[Date],"&gt;"&amp;$A12)</f>
        <v>0</v>
      </c>
      <c r="E13" s="126">
        <f>+SUMIFS(T_Archives[TOTAL PAYE],T_Archives[Plateforme],E$5,T_Archives[Date],"&lt;="&amp;$A13,T_Archives[Date],"&gt;"&amp;$A12)</f>
        <v>0</v>
      </c>
      <c r="F13" s="126">
        <f>+SUMIFS(T_Archives[TOTAL PAYE],T_Archives[Plateforme],F$5,T_Archives[Date],"&lt;="&amp;$A13,T_Archives[Date],"&gt;"&amp;$A12)</f>
        <v>0</v>
      </c>
      <c r="G13" s="126">
        <f>+SUM(Tableau4[[#This Row],[Site]:[eBay]])</f>
        <v>339.14999999999992</v>
      </c>
      <c r="I13" s="120">
        <f>+SUMIFS(T_Archives[TOTAL PAYE],T_Archives[Règlement],I$5,T_Archives[Date],"&lt;="&amp;$A13,T_Archives[Date],"&gt;"&amp;$A12)</f>
        <v>0</v>
      </c>
      <c r="J13" s="120">
        <f>+SUMIFS(T_Archives[TOTAL PAYE],T_Archives[Règlement],J$5,T_Archives[Date],"&lt;="&amp;$A13,T_Archives[Date],"&gt;"&amp;$A12)</f>
        <v>0</v>
      </c>
      <c r="K13" s="120">
        <f>+SUMIFS(T_Archives[TOTAL PAYE],T_Archives[Règlement],K$5,T_Archives[Date],"&lt;="&amp;$A13,T_Archives[Date],"&gt;"&amp;$A12)</f>
        <v>339.14999999999992</v>
      </c>
      <c r="L13" s="120">
        <f>+SUMIFS(T_Archives[TOTAL PAYE],T_Archives[Règlement],L$5,T_Archives[Date],"&lt;="&amp;$A13,T_Archives[Date],"&gt;"&amp;$A12)</f>
        <v>0</v>
      </c>
      <c r="M13" s="120">
        <f>+SUM(Tableau5[[#This Row],[Chèque]:[En compte]])</f>
        <v>339.14999999999992</v>
      </c>
      <c r="O13" s="120">
        <f>+SUMIFS(T_Archives[Frais de Port],T_Archives[Transporteur],O$5,T_Archives[Date],"&lt;="&amp;$A13,T_Archives[Date],"&gt;"&amp;$A12)</f>
        <v>0</v>
      </c>
      <c r="P13" s="120">
        <f>+SUMIFS(T_Archives[Frais de Port],T_Archives[Transporteur],P$5,T_Archives[Date],"&lt;="&amp;$A13,T_Archives[Date],"&gt;"&amp;$A12)</f>
        <v>0</v>
      </c>
      <c r="Q13" s="120">
        <f>+SUMIFS(T_Archives[Frais de Port],T_Archives[Transporteur],Q$5,T_Archives[Date],"&lt;="&amp;$A13,T_Archives[Date],"&gt;"&amp;$A12)</f>
        <v>51</v>
      </c>
      <c r="R13" s="120">
        <f>+SUMIFS(T_Archives[Frais de Port],T_Archives[Transporteur],R$5,T_Archives[Date],"&lt;="&amp;$A13,T_Archives[Date],"&gt;"&amp;$A12)</f>
        <v>0</v>
      </c>
      <c r="S13" s="120">
        <f>+SUM(Tableau6[[#This Row],[Comptoir]:[Mondial Relay]])</f>
        <v>51</v>
      </c>
    </row>
    <row r="14" spans="1:19" x14ac:dyDescent="0.3">
      <c r="A14" s="131">
        <f t="shared" si="6"/>
        <v>44469</v>
      </c>
      <c r="B14" s="126">
        <f>+SUMIFS(T_Archives[TOTAL PAYE],T_Archives[Plateforme],B$5,T_Archives[Date],"&lt;="&amp;$A14,T_Archives[Date],"&gt;"&amp;$A13)</f>
        <v>0</v>
      </c>
      <c r="C14" s="126">
        <f>+SUMIFS(T_Archives[TOTAL PAYE],T_Archives[Plateforme],C$5,T_Archives[Date],"&lt;="&amp;$A14,T_Archives[Date],"&gt;"&amp;$A13)</f>
        <v>0</v>
      </c>
      <c r="D14" s="126">
        <f>+SUMIFS(T_Archives[TOTAL PAYE],T_Archives[Plateforme],D$5,T_Archives[Date],"&lt;="&amp;$A14,T_Archives[Date],"&gt;"&amp;$A13)</f>
        <v>0</v>
      </c>
      <c r="E14" s="126">
        <f>+SUMIFS(T_Archives[TOTAL PAYE],T_Archives[Plateforme],E$5,T_Archives[Date],"&lt;="&amp;$A14,T_Archives[Date],"&gt;"&amp;$A13)</f>
        <v>0</v>
      </c>
      <c r="F14" s="126">
        <f>+SUMIFS(T_Archives[TOTAL PAYE],T_Archives[Plateforme],F$5,T_Archives[Date],"&lt;="&amp;$A14,T_Archives[Date],"&gt;"&amp;$A13)</f>
        <v>0</v>
      </c>
      <c r="G14" s="126">
        <f>+SUM(Tableau4[[#This Row],[Site]:[eBay]])</f>
        <v>0</v>
      </c>
      <c r="I14" s="119">
        <f>+SUMIFS(T_Archives[TOTAL PAYE],T_Archives[Règlement],I$5,T_Archives[Date],"&lt;="&amp;$A14,T_Archives[Date],"&gt;"&amp;$A13)</f>
        <v>0</v>
      </c>
      <c r="J14" s="119">
        <f>+SUMIFS(T_Archives[TOTAL PAYE],T_Archives[Règlement],J$5,T_Archives[Date],"&lt;="&amp;$A14,T_Archives[Date],"&gt;"&amp;$A13)</f>
        <v>0</v>
      </c>
      <c r="K14" s="119">
        <f>+SUMIFS(T_Archives[TOTAL PAYE],T_Archives[Règlement],K$5,T_Archives[Date],"&lt;="&amp;$A14,T_Archives[Date],"&gt;"&amp;$A13)</f>
        <v>0</v>
      </c>
      <c r="L14" s="119">
        <f>+SUMIFS(T_Archives[TOTAL PAYE],T_Archives[Règlement],L$5,T_Archives[Date],"&lt;="&amp;$A14,T_Archives[Date],"&gt;"&amp;$A13)</f>
        <v>0</v>
      </c>
      <c r="M14" s="119">
        <f>+SUM(Tableau5[[#This Row],[Chèque]:[En compte]])</f>
        <v>0</v>
      </c>
      <c r="O14" s="119">
        <f>+SUMIFS(T_Archives[Frais de Port],T_Archives[Transporteur],O$5,T_Archives[Date],"&lt;="&amp;$A14,T_Archives[Date],"&gt;"&amp;$A13)</f>
        <v>0</v>
      </c>
      <c r="P14" s="119">
        <f>+SUMIFS(T_Archives[Frais de Port],T_Archives[Transporteur],P$5,T_Archives[Date],"&lt;="&amp;$A14,T_Archives[Date],"&gt;"&amp;$A13)</f>
        <v>0</v>
      </c>
      <c r="Q14" s="119">
        <f>+SUMIFS(T_Archives[Frais de Port],T_Archives[Transporteur],Q$5,T_Archives[Date],"&lt;="&amp;$A14,T_Archives[Date],"&gt;"&amp;$A13)</f>
        <v>0</v>
      </c>
      <c r="R14" s="119">
        <f>+SUMIFS(T_Archives[Frais de Port],T_Archives[Transporteur],R$5,T_Archives[Date],"&lt;="&amp;$A14,T_Archives[Date],"&gt;"&amp;$A13)</f>
        <v>0</v>
      </c>
      <c r="S14" s="119">
        <f>+SUM(Tableau6[[#This Row],[Comptoir]:[Mondial Relay]])</f>
        <v>0</v>
      </c>
    </row>
    <row r="15" spans="1:19" x14ac:dyDescent="0.3">
      <c r="A15" s="131">
        <f t="shared" si="6"/>
        <v>44500</v>
      </c>
      <c r="B15" s="126">
        <f>+SUMIFS(T_Archives[TOTAL PAYE],T_Archives[Plateforme],B$5,T_Archives[Date],"&lt;="&amp;$A15,T_Archives[Date],"&gt;"&amp;$A14)</f>
        <v>0</v>
      </c>
      <c r="C15" s="126">
        <f>+SUMIFS(T_Archives[TOTAL PAYE],T_Archives[Plateforme],C$5,T_Archives[Date],"&lt;="&amp;$A15,T_Archives[Date],"&gt;"&amp;$A14)</f>
        <v>0</v>
      </c>
      <c r="D15" s="126">
        <f>+SUMIFS(T_Archives[TOTAL PAYE],T_Archives[Plateforme],D$5,T_Archives[Date],"&lt;="&amp;$A15,T_Archives[Date],"&gt;"&amp;$A14)</f>
        <v>0</v>
      </c>
      <c r="E15" s="126">
        <f>+SUMIFS(T_Archives[TOTAL PAYE],T_Archives[Plateforme],E$5,T_Archives[Date],"&lt;="&amp;$A15,T_Archives[Date],"&gt;"&amp;$A14)</f>
        <v>0</v>
      </c>
      <c r="F15" s="126">
        <f>+SUMIFS(T_Archives[TOTAL PAYE],T_Archives[Plateforme],F$5,T_Archives[Date],"&lt;="&amp;$A15,T_Archives[Date],"&gt;"&amp;$A14)</f>
        <v>0</v>
      </c>
      <c r="G15" s="126">
        <f>+SUM(Tableau4[[#This Row],[Site]:[eBay]])</f>
        <v>0</v>
      </c>
      <c r="I15" s="120">
        <f>+SUMIFS(T_Archives[TOTAL PAYE],T_Archives[Règlement],I$5,T_Archives[Date],"&lt;="&amp;$A15,T_Archives[Date],"&gt;"&amp;$A14)</f>
        <v>0</v>
      </c>
      <c r="J15" s="120">
        <f>+SUMIFS(T_Archives[TOTAL PAYE],T_Archives[Règlement],J$5,T_Archives[Date],"&lt;="&amp;$A15,T_Archives[Date],"&gt;"&amp;$A14)</f>
        <v>0</v>
      </c>
      <c r="K15" s="120">
        <f>+SUMIFS(T_Archives[TOTAL PAYE],T_Archives[Règlement],K$5,T_Archives[Date],"&lt;="&amp;$A15,T_Archives[Date],"&gt;"&amp;$A14)</f>
        <v>0</v>
      </c>
      <c r="L15" s="120">
        <f>+SUMIFS(T_Archives[TOTAL PAYE],T_Archives[Règlement],L$5,T_Archives[Date],"&lt;="&amp;$A15,T_Archives[Date],"&gt;"&amp;$A14)</f>
        <v>0</v>
      </c>
      <c r="M15" s="120">
        <f>+SUM(Tableau5[[#This Row],[Chèque]:[En compte]])</f>
        <v>0</v>
      </c>
      <c r="O15" s="120">
        <f>+SUMIFS(T_Archives[Frais de Port],T_Archives[Transporteur],O$5,T_Archives[Date],"&lt;="&amp;$A15,T_Archives[Date],"&gt;"&amp;$A14)</f>
        <v>0</v>
      </c>
      <c r="P15" s="120">
        <f>+SUMIFS(T_Archives[Frais de Port],T_Archives[Transporteur],P$5,T_Archives[Date],"&lt;="&amp;$A15,T_Archives[Date],"&gt;"&amp;$A14)</f>
        <v>0</v>
      </c>
      <c r="Q15" s="120">
        <f>+SUMIFS(T_Archives[Frais de Port],T_Archives[Transporteur],Q$5,T_Archives[Date],"&lt;="&amp;$A15,T_Archives[Date],"&gt;"&amp;$A14)</f>
        <v>0</v>
      </c>
      <c r="R15" s="120">
        <f>+SUMIFS(T_Archives[Frais de Port],T_Archives[Transporteur],R$5,T_Archives[Date],"&lt;="&amp;$A15,T_Archives[Date],"&gt;"&amp;$A14)</f>
        <v>0</v>
      </c>
      <c r="S15" s="120">
        <f>+SUM(Tableau6[[#This Row],[Comptoir]:[Mondial Relay]])</f>
        <v>0</v>
      </c>
    </row>
    <row r="16" spans="1:19" x14ac:dyDescent="0.3">
      <c r="A16" s="131">
        <f t="shared" si="6"/>
        <v>44530</v>
      </c>
      <c r="B16" s="126">
        <f>+SUMIFS(T_Archives[TOTAL PAYE],T_Archives[Plateforme],B$5,T_Archives[Date],"&lt;="&amp;$A16,T_Archives[Date],"&gt;"&amp;$A15)</f>
        <v>0</v>
      </c>
      <c r="C16" s="126">
        <f>+SUMIFS(T_Archives[TOTAL PAYE],T_Archives[Plateforme],C$5,T_Archives[Date],"&lt;="&amp;$A16,T_Archives[Date],"&gt;"&amp;$A15)</f>
        <v>0</v>
      </c>
      <c r="D16" s="126">
        <f>+SUMIFS(T_Archives[TOTAL PAYE],T_Archives[Plateforme],D$5,T_Archives[Date],"&lt;="&amp;$A16,T_Archives[Date],"&gt;"&amp;$A15)</f>
        <v>0</v>
      </c>
      <c r="E16" s="126">
        <f>+SUMIFS(T_Archives[TOTAL PAYE],T_Archives[Plateforme],E$5,T_Archives[Date],"&lt;="&amp;$A16,T_Archives[Date],"&gt;"&amp;$A15)</f>
        <v>0</v>
      </c>
      <c r="F16" s="126">
        <f>+SUMIFS(T_Archives[TOTAL PAYE],T_Archives[Plateforme],F$5,T_Archives[Date],"&lt;="&amp;$A16,T_Archives[Date],"&gt;"&amp;$A15)</f>
        <v>0</v>
      </c>
      <c r="G16" s="126">
        <f>+SUM(Tableau4[[#This Row],[Site]:[eBay]])</f>
        <v>0</v>
      </c>
      <c r="I16" s="119">
        <f>+SUMIFS(T_Archives[TOTAL PAYE],T_Archives[Règlement],I$5,T_Archives[Date],"&lt;="&amp;$A16,T_Archives[Date],"&gt;"&amp;$A15)</f>
        <v>0</v>
      </c>
      <c r="J16" s="119">
        <f>+SUMIFS(T_Archives[TOTAL PAYE],T_Archives[Règlement],J$5,T_Archives[Date],"&lt;="&amp;$A16,T_Archives[Date],"&gt;"&amp;$A15)</f>
        <v>0</v>
      </c>
      <c r="K16" s="119">
        <f>+SUMIFS(T_Archives[TOTAL PAYE],T_Archives[Règlement],K$5,T_Archives[Date],"&lt;="&amp;$A16,T_Archives[Date],"&gt;"&amp;$A15)</f>
        <v>0</v>
      </c>
      <c r="L16" s="119">
        <f>+SUMIFS(T_Archives[TOTAL PAYE],T_Archives[Règlement],L$5,T_Archives[Date],"&lt;="&amp;$A16,T_Archives[Date],"&gt;"&amp;$A15)</f>
        <v>0</v>
      </c>
      <c r="M16" s="119">
        <f>+SUM(Tableau5[[#This Row],[Chèque]:[En compte]])</f>
        <v>0</v>
      </c>
      <c r="O16" s="119">
        <f>+SUMIFS(T_Archives[Frais de Port],T_Archives[Transporteur],O$5,T_Archives[Date],"&lt;="&amp;$A16,T_Archives[Date],"&gt;"&amp;$A15)</f>
        <v>0</v>
      </c>
      <c r="P16" s="119">
        <f>+SUMIFS(T_Archives[Frais de Port],T_Archives[Transporteur],P$5,T_Archives[Date],"&lt;="&amp;$A16,T_Archives[Date],"&gt;"&amp;$A15)</f>
        <v>0</v>
      </c>
      <c r="Q16" s="119">
        <f>+SUMIFS(T_Archives[Frais de Port],T_Archives[Transporteur],Q$5,T_Archives[Date],"&lt;="&amp;$A16,T_Archives[Date],"&gt;"&amp;$A15)</f>
        <v>0</v>
      </c>
      <c r="R16" s="119">
        <f>+SUMIFS(T_Archives[Frais de Port],T_Archives[Transporteur],R$5,T_Archives[Date],"&lt;="&amp;$A16,T_Archives[Date],"&gt;"&amp;$A15)</f>
        <v>0</v>
      </c>
      <c r="S16" s="119">
        <f>+SUM(Tableau6[[#This Row],[Comptoir]:[Mondial Relay]])</f>
        <v>0</v>
      </c>
    </row>
    <row r="17" spans="1:19" x14ac:dyDescent="0.3">
      <c r="A17" s="131">
        <f t="shared" si="6"/>
        <v>44561</v>
      </c>
      <c r="B17" s="126">
        <f>+SUMIFS(T_Archives[TOTAL PAYE],T_Archives[Plateforme],B$5,T_Archives[Date],"&lt;="&amp;$A17,T_Archives[Date],"&gt;"&amp;$A16)</f>
        <v>0</v>
      </c>
      <c r="C17" s="126">
        <f>+SUMIFS(T_Archives[TOTAL PAYE],T_Archives[Plateforme],C$5,T_Archives[Date],"&lt;="&amp;$A17,T_Archives[Date],"&gt;"&amp;$A16)</f>
        <v>0</v>
      </c>
      <c r="D17" s="126">
        <f>+SUMIFS(T_Archives[TOTAL PAYE],T_Archives[Plateforme],D$5,T_Archives[Date],"&lt;="&amp;$A17,T_Archives[Date],"&gt;"&amp;$A16)</f>
        <v>0</v>
      </c>
      <c r="E17" s="126">
        <f>+SUMIFS(T_Archives[TOTAL PAYE],T_Archives[Plateforme],E$5,T_Archives[Date],"&lt;="&amp;$A17,T_Archives[Date],"&gt;"&amp;$A16)</f>
        <v>0</v>
      </c>
      <c r="F17" s="126">
        <f>+SUMIFS(T_Archives[TOTAL PAYE],T_Archives[Plateforme],F$5,T_Archives[Date],"&lt;="&amp;$A17,T_Archives[Date],"&gt;"&amp;$A16)</f>
        <v>0</v>
      </c>
      <c r="G17" s="126">
        <f>+SUM(Tableau4[[#This Row],[Site]:[eBay]])</f>
        <v>0</v>
      </c>
      <c r="I17" s="130">
        <f>+SUMIFS(T_Archives[TOTAL PAYE],T_Archives[Règlement],I$5,T_Archives[Date],"&lt;="&amp;$A17,T_Archives[Date],"&gt;"&amp;$A16)</f>
        <v>0</v>
      </c>
      <c r="J17" s="130">
        <f>+SUMIFS(T_Archives[TOTAL PAYE],T_Archives[Règlement],J$5,T_Archives[Date],"&lt;="&amp;$A17,T_Archives[Date],"&gt;"&amp;$A16)</f>
        <v>0</v>
      </c>
      <c r="K17" s="130">
        <f>+SUMIFS(T_Archives[TOTAL PAYE],T_Archives[Règlement],K$5,T_Archives[Date],"&lt;="&amp;$A17,T_Archives[Date],"&gt;"&amp;$A16)</f>
        <v>0</v>
      </c>
      <c r="L17" s="130">
        <f>+SUMIFS(T_Archives[TOTAL PAYE],T_Archives[Règlement],L$5,T_Archives[Date],"&lt;="&amp;$A17,T_Archives[Date],"&gt;"&amp;$A16)</f>
        <v>0</v>
      </c>
      <c r="M17" s="130">
        <f>+SUM(Tableau5[[#This Row],[Chèque]:[En compte]])</f>
        <v>0</v>
      </c>
      <c r="O17" s="130">
        <f>+SUMIFS(T_Archives[Frais de Port],T_Archives[Transporteur],O$5,T_Archives[Date],"&lt;="&amp;$A17,T_Archives[Date],"&gt;"&amp;$A16)</f>
        <v>0</v>
      </c>
      <c r="P17" s="130">
        <f>+SUMIFS(T_Archives[Frais de Port],T_Archives[Transporteur],P$5,T_Archives[Date],"&lt;="&amp;$A17,T_Archives[Date],"&gt;"&amp;$A16)</f>
        <v>0</v>
      </c>
      <c r="Q17" s="130">
        <f>+SUMIFS(T_Archives[Frais de Port],T_Archives[Transporteur],Q$5,T_Archives[Date],"&lt;="&amp;$A17,T_Archives[Date],"&gt;"&amp;$A16)</f>
        <v>0</v>
      </c>
      <c r="R17" s="130">
        <f>+SUMIFS(T_Archives[Frais de Port],T_Archives[Transporteur],R$5,T_Archives[Date],"&lt;="&amp;$A17,T_Archives[Date],"&gt;"&amp;$A16)</f>
        <v>0</v>
      </c>
      <c r="S17" s="130">
        <f>+SUM(Tableau6[[#This Row],[Comptoir]:[Mondial Relay]])</f>
        <v>0</v>
      </c>
    </row>
    <row r="18" spans="1:19" x14ac:dyDescent="0.3">
      <c r="I18" s="126"/>
      <c r="J18" s="126"/>
      <c r="K18" s="126"/>
      <c r="L18" s="126"/>
      <c r="M18" s="126"/>
    </row>
    <row r="19" spans="1:19" x14ac:dyDescent="0.3">
      <c r="I19" s="126"/>
      <c r="J19" s="126"/>
      <c r="K19" s="126"/>
      <c r="L19" s="126"/>
      <c r="M19" s="126"/>
    </row>
    <row r="20" spans="1:19" x14ac:dyDescent="0.3">
      <c r="I20" s="118">
        <f>+SUM(I22:I33)</f>
        <v>379.0499999999999</v>
      </c>
      <c r="J20" s="118">
        <f>+SUM(J22:J33)</f>
        <v>0</v>
      </c>
      <c r="K20" s="118">
        <f>+SUM(K22:K33)</f>
        <v>0</v>
      </c>
      <c r="L20" s="118">
        <f t="shared" ref="L20:M20" si="7">+SUM(L22:L33)</f>
        <v>315.87499999999994</v>
      </c>
      <c r="M20" s="118">
        <f t="shared" si="7"/>
        <v>63.17499999999999</v>
      </c>
      <c r="O20" s="160">
        <f>+M20+L20-G4</f>
        <v>0</v>
      </c>
    </row>
    <row r="21" spans="1:19" x14ac:dyDescent="0.3">
      <c r="I21" s="129" t="s">
        <v>21</v>
      </c>
      <c r="J21" s="129" t="s">
        <v>16</v>
      </c>
      <c r="K21" s="129" t="s">
        <v>78</v>
      </c>
      <c r="L21" s="129" t="s">
        <v>69</v>
      </c>
      <c r="M21" s="9" t="s">
        <v>37</v>
      </c>
    </row>
    <row r="22" spans="1:19" x14ac:dyDescent="0.3">
      <c r="I22" s="119">
        <f>+SUMIFS(T_Archives[TOTAL PAYE],T_Archives[TVA],I$21,T_Archives[Date],"&lt;="&amp;$A6,T_Archives[Date],"&gt;"&amp;$A5)</f>
        <v>0</v>
      </c>
      <c r="J22" s="119">
        <f>+SUMIFS(T_Archives[TOTAL PAYE],T_Archives[TVA],J$21,T_Archives[Date],"&lt;="&amp;$A6,T_Archives[Date],"&gt;"&amp;$A5)</f>
        <v>0</v>
      </c>
      <c r="K22" s="119">
        <f>+SUMIFS(T_Archives[TOTAL PAYE],T_Archives[TVA],K$21,T_Archives[Date],"&lt;="&amp;$A6,T_Archives[Date],"&gt;"&amp;$A5)</f>
        <v>0</v>
      </c>
      <c r="L22" s="119">
        <f>+SUM(Tableau7[[#This Row],[FR]:[UE]])/1.2+Tableau7[[#This Row],[Hors UE]]</f>
        <v>0</v>
      </c>
      <c r="M22" s="119">
        <f>+SUM(Tableau7[[#This Row],[FR]]+Tableau7[[#This Row],[UE]])/1.2*0.2</f>
        <v>0</v>
      </c>
    </row>
    <row r="23" spans="1:19" x14ac:dyDescent="0.3">
      <c r="I23" s="120">
        <f>+SUMIFS(T_Archives[TOTAL PAYE],T_Archives[TVA],I$21,T_Archives[Date],"&lt;="&amp;$A7,T_Archives[Date],"&gt;"&amp;$A6)</f>
        <v>0</v>
      </c>
      <c r="J23" s="120">
        <f>+SUMIFS(T_Archives[TOTAL PAYE],T_Archives[TVA],J$21,T_Archives[Date],"&lt;="&amp;$A7,T_Archives[Date],"&gt;"&amp;$A6)</f>
        <v>0</v>
      </c>
      <c r="K23" s="120">
        <f>+SUMIFS(T_Archives[TOTAL PAYE],T_Archives[TVA],K$21,T_Archives[Date],"&lt;="&amp;$A7,T_Archives[Date],"&gt;"&amp;$A6)</f>
        <v>0</v>
      </c>
      <c r="L23" s="120">
        <f>+SUM(Tableau7[[#This Row],[FR]:[UE]])/1.2+Tableau7[[#This Row],[Hors UE]]</f>
        <v>0</v>
      </c>
      <c r="M23" s="120">
        <f>+SUM(Tableau7[[#This Row],[FR]]+Tableau7[[#This Row],[UE]])/1.2*0.2</f>
        <v>0</v>
      </c>
    </row>
    <row r="24" spans="1:19" x14ac:dyDescent="0.3">
      <c r="I24" s="119">
        <f>+SUMIFS(T_Archives[TOTAL PAYE],T_Archives[TVA],I$21,T_Archives[Date],"&lt;="&amp;$A8,T_Archives[Date],"&gt;"&amp;$A7)</f>
        <v>39.9</v>
      </c>
      <c r="J24" s="119">
        <f>+SUMIFS(T_Archives[TOTAL PAYE],T_Archives[TVA],J$21,T_Archives[Date],"&lt;="&amp;$A8,T_Archives[Date],"&gt;"&amp;$A7)</f>
        <v>0</v>
      </c>
      <c r="K24" s="119">
        <f>+SUMIFS(T_Archives[TOTAL PAYE],T_Archives[TVA],K$21,T_Archives[Date],"&lt;="&amp;$A8,T_Archives[Date],"&gt;"&amp;$A7)</f>
        <v>0</v>
      </c>
      <c r="L24" s="119">
        <f>+SUM(Tableau7[[#This Row],[FR]:[UE]])/1.2+Tableau7[[#This Row],[Hors UE]]</f>
        <v>33.25</v>
      </c>
      <c r="M24" s="119">
        <f>+SUM(Tableau7[[#This Row],[FR]]+Tableau7[[#This Row],[UE]])/1.2*0.2</f>
        <v>6.65</v>
      </c>
    </row>
    <row r="25" spans="1:19" x14ac:dyDescent="0.3">
      <c r="I25" s="120">
        <f>+SUMIFS(T_Archives[TOTAL PAYE],T_Archives[TVA],I$21,T_Archives[Date],"&lt;="&amp;$A9,T_Archives[Date],"&gt;"&amp;$A8)</f>
        <v>0</v>
      </c>
      <c r="J25" s="120">
        <f>+SUMIFS(T_Archives[TOTAL PAYE],T_Archives[TVA],J$21,T_Archives[Date],"&lt;="&amp;$A9,T_Archives[Date],"&gt;"&amp;$A8)</f>
        <v>0</v>
      </c>
      <c r="K25" s="120">
        <f>+SUMIFS(T_Archives[TOTAL PAYE],T_Archives[TVA],K$21,T_Archives[Date],"&lt;="&amp;$A9,T_Archives[Date],"&gt;"&amp;$A8)</f>
        <v>0</v>
      </c>
      <c r="L25" s="120">
        <f>+SUM(Tableau7[[#This Row],[FR]:[UE]])/1.2+Tableau7[[#This Row],[Hors UE]]</f>
        <v>0</v>
      </c>
      <c r="M25" s="120">
        <f>+SUM(Tableau7[[#This Row],[FR]]+Tableau7[[#This Row],[UE]])/1.2*0.2</f>
        <v>0</v>
      </c>
    </row>
    <row r="26" spans="1:19" x14ac:dyDescent="0.3">
      <c r="I26" s="119">
        <f>+SUMIFS(T_Archives[TOTAL PAYE],T_Archives[TVA],I$21,T_Archives[Date],"&lt;="&amp;$A10,T_Archives[Date],"&gt;"&amp;$A9)</f>
        <v>0</v>
      </c>
      <c r="J26" s="119">
        <f>+SUMIFS(T_Archives[TOTAL PAYE],T_Archives[TVA],J$21,T_Archives[Date],"&lt;="&amp;$A10,T_Archives[Date],"&gt;"&amp;$A9)</f>
        <v>0</v>
      </c>
      <c r="K26" s="119">
        <f>+SUMIFS(T_Archives[TOTAL PAYE],T_Archives[TVA],K$21,T_Archives[Date],"&lt;="&amp;$A10,T_Archives[Date],"&gt;"&amp;$A9)</f>
        <v>0</v>
      </c>
      <c r="L26" s="119">
        <f>+SUM(Tableau7[[#This Row],[FR]:[UE]])/1.2+Tableau7[[#This Row],[Hors UE]]</f>
        <v>0</v>
      </c>
      <c r="M26" s="119">
        <f>+SUM(Tableau7[[#This Row],[FR]]+Tableau7[[#This Row],[UE]])/1.2*0.2</f>
        <v>0</v>
      </c>
    </row>
    <row r="27" spans="1:19" x14ac:dyDescent="0.3">
      <c r="I27" s="120">
        <f>+SUMIFS(T_Archives[TOTAL PAYE],T_Archives[TVA],I$21,T_Archives[Date],"&lt;="&amp;$A11,T_Archives[Date],"&gt;"&amp;$A10)</f>
        <v>0</v>
      </c>
      <c r="J27" s="120">
        <f>+SUMIFS(T_Archives[TOTAL PAYE],T_Archives[TVA],J$21,T_Archives[Date],"&lt;="&amp;$A11,T_Archives[Date],"&gt;"&amp;$A10)</f>
        <v>0</v>
      </c>
      <c r="K27" s="120">
        <f>+SUMIFS(T_Archives[TOTAL PAYE],T_Archives[TVA],K$21,T_Archives[Date],"&lt;="&amp;$A11,T_Archives[Date],"&gt;"&amp;$A10)</f>
        <v>0</v>
      </c>
      <c r="L27" s="120">
        <f>+SUM(Tableau7[[#This Row],[FR]:[UE]])/1.2+Tableau7[[#This Row],[Hors UE]]</f>
        <v>0</v>
      </c>
      <c r="M27" s="120">
        <f>+SUM(Tableau7[[#This Row],[FR]]+Tableau7[[#This Row],[UE]])/1.2*0.2</f>
        <v>0</v>
      </c>
    </row>
    <row r="28" spans="1:19" x14ac:dyDescent="0.3">
      <c r="I28" s="119">
        <f>+SUMIFS(T_Archives[TOTAL PAYE],T_Archives[TVA],I$21,T_Archives[Date],"&lt;="&amp;$A12,T_Archives[Date],"&gt;"&amp;$A11)</f>
        <v>0</v>
      </c>
      <c r="J28" s="119">
        <f>+SUMIFS(T_Archives[TOTAL PAYE],T_Archives[TVA],J$21,T_Archives[Date],"&lt;="&amp;$A12,T_Archives[Date],"&gt;"&amp;$A11)</f>
        <v>0</v>
      </c>
      <c r="K28" s="119">
        <f>+SUMIFS(T_Archives[TOTAL PAYE],T_Archives[TVA],K$21,T_Archives[Date],"&lt;="&amp;$A12,T_Archives[Date],"&gt;"&amp;$A11)</f>
        <v>0</v>
      </c>
      <c r="L28" s="119">
        <f>+SUM(Tableau7[[#This Row],[FR]:[UE]])/1.2+Tableau7[[#This Row],[Hors UE]]</f>
        <v>0</v>
      </c>
      <c r="M28" s="119">
        <f>+SUM(Tableau7[[#This Row],[FR]]+Tableau7[[#This Row],[UE]])/1.2*0.2</f>
        <v>0</v>
      </c>
    </row>
    <row r="29" spans="1:19" x14ac:dyDescent="0.3">
      <c r="I29" s="120">
        <f>+SUMIFS(T_Archives[TOTAL PAYE],T_Archives[TVA],I$21,T_Archives[Date],"&lt;="&amp;$A13,T_Archives[Date],"&gt;"&amp;$A12)</f>
        <v>339.14999999999992</v>
      </c>
      <c r="J29" s="120">
        <f>+SUMIFS(T_Archives[TOTAL PAYE],T_Archives[TVA],J$21,T_Archives[Date],"&lt;="&amp;$A13,T_Archives[Date],"&gt;"&amp;$A12)</f>
        <v>0</v>
      </c>
      <c r="K29" s="120">
        <f>+SUMIFS(T_Archives[TOTAL PAYE],T_Archives[TVA],K$21,T_Archives[Date],"&lt;="&amp;$A13,T_Archives[Date],"&gt;"&amp;$A12)</f>
        <v>0</v>
      </c>
      <c r="L29" s="120">
        <f>+SUM(Tableau7[[#This Row],[FR]:[UE]])/1.2+Tableau7[[#This Row],[Hors UE]]</f>
        <v>282.62499999999994</v>
      </c>
      <c r="M29" s="120">
        <f>+SUM(Tableau7[[#This Row],[FR]]+Tableau7[[#This Row],[UE]])/1.2*0.2</f>
        <v>56.524999999999991</v>
      </c>
    </row>
    <row r="30" spans="1:19" x14ac:dyDescent="0.3">
      <c r="I30" s="119">
        <f>+SUMIFS(T_Archives[TOTAL PAYE],T_Archives[TVA],I$21,T_Archives[Date],"&lt;="&amp;$A14,T_Archives[Date],"&gt;"&amp;$A13)</f>
        <v>0</v>
      </c>
      <c r="J30" s="119">
        <f>+SUMIFS(T_Archives[TOTAL PAYE],T_Archives[TVA],J$21,T_Archives[Date],"&lt;="&amp;$A14,T_Archives[Date],"&gt;"&amp;$A13)</f>
        <v>0</v>
      </c>
      <c r="K30" s="119">
        <f>+SUMIFS(T_Archives[TOTAL PAYE],T_Archives[TVA],K$21,T_Archives[Date],"&lt;="&amp;$A14,T_Archives[Date],"&gt;"&amp;$A13)</f>
        <v>0</v>
      </c>
      <c r="L30" s="119">
        <f>+SUM(Tableau7[[#This Row],[FR]:[UE]])/1.2+Tableau7[[#This Row],[Hors UE]]</f>
        <v>0</v>
      </c>
      <c r="M30" s="119">
        <f>+SUM(Tableau7[[#This Row],[FR]]+Tableau7[[#This Row],[UE]])/1.2*0.2</f>
        <v>0</v>
      </c>
    </row>
    <row r="31" spans="1:19" x14ac:dyDescent="0.3">
      <c r="I31" s="120">
        <f>+SUMIFS(T_Archives[TOTAL PAYE],T_Archives[TVA],I$21,T_Archives[Date],"&lt;="&amp;$A15,T_Archives[Date],"&gt;"&amp;$A14)</f>
        <v>0</v>
      </c>
      <c r="J31" s="120">
        <f>+SUMIFS(T_Archives[TOTAL PAYE],T_Archives[TVA],J$21,T_Archives[Date],"&lt;="&amp;$A15,T_Archives[Date],"&gt;"&amp;$A14)</f>
        <v>0</v>
      </c>
      <c r="K31" s="120">
        <f>+SUMIFS(T_Archives[TOTAL PAYE],T_Archives[TVA],K$21,T_Archives[Date],"&lt;="&amp;$A15,T_Archives[Date],"&gt;"&amp;$A14)</f>
        <v>0</v>
      </c>
      <c r="L31" s="120">
        <f>+SUM(Tableau7[[#This Row],[FR]:[UE]])/1.2+Tableau7[[#This Row],[Hors UE]]</f>
        <v>0</v>
      </c>
      <c r="M31" s="120">
        <f>+SUM(Tableau7[[#This Row],[FR]]+Tableau7[[#This Row],[UE]])/1.2*0.2</f>
        <v>0</v>
      </c>
    </row>
    <row r="32" spans="1:19" x14ac:dyDescent="0.3">
      <c r="I32" s="119">
        <f>+SUMIFS(T_Archives[TOTAL PAYE],T_Archives[TVA],I$21,T_Archives[Date],"&lt;="&amp;$A16,T_Archives[Date],"&gt;"&amp;$A15)</f>
        <v>0</v>
      </c>
      <c r="J32" s="119">
        <f>+SUMIFS(T_Archives[TOTAL PAYE],T_Archives[TVA],J$21,T_Archives[Date],"&lt;="&amp;$A16,T_Archives[Date],"&gt;"&amp;$A15)</f>
        <v>0</v>
      </c>
      <c r="K32" s="119">
        <f>+SUMIFS(T_Archives[TOTAL PAYE],T_Archives[TVA],K$21,T_Archives[Date],"&lt;="&amp;$A16,T_Archives[Date],"&gt;"&amp;$A15)</f>
        <v>0</v>
      </c>
      <c r="L32" s="119">
        <f>+SUM(Tableau7[[#This Row],[FR]:[UE]])/1.2+Tableau7[[#This Row],[Hors UE]]</f>
        <v>0</v>
      </c>
      <c r="M32" s="119">
        <f>+SUM(Tableau7[[#This Row],[FR]]+Tableau7[[#This Row],[UE]])/1.2*0.2</f>
        <v>0</v>
      </c>
    </row>
    <row r="33" spans="9:13" x14ac:dyDescent="0.3">
      <c r="I33" s="130">
        <f>+SUMIFS(T_Archives[TOTAL PAYE],T_Archives[TVA],I$21,T_Archives[Date],"&lt;="&amp;$A17,T_Archives[Date],"&gt;"&amp;$A16)</f>
        <v>0</v>
      </c>
      <c r="J33" s="130">
        <f>+SUMIFS(T_Archives[TOTAL PAYE],T_Archives[TVA],J$21,T_Archives[Date],"&lt;="&amp;$A17,T_Archives[Date],"&gt;"&amp;$A16)</f>
        <v>0</v>
      </c>
      <c r="K33" s="130">
        <f>+SUMIFS(T_Archives[TOTAL PAYE],T_Archives[TVA],K$21,T_Archives[Date],"&lt;="&amp;$A17,T_Archives[Date],"&gt;"&amp;$A16)</f>
        <v>0</v>
      </c>
      <c r="L33" s="130">
        <f>+SUM(Tableau7[[#This Row],[FR]:[UE]])/1.2+Tableau7[[#This Row],[Hors UE]]</f>
        <v>0</v>
      </c>
      <c r="M33" s="130">
        <f>+SUM(Tableau7[[#This Row],[FR]]+Tableau7[[#This Row],[UE]])/1.2*0.2</f>
        <v>0</v>
      </c>
    </row>
  </sheetData>
  <mergeCells count="3">
    <mergeCell ref="B1:F2"/>
    <mergeCell ref="I1:L2"/>
    <mergeCell ref="O1:R2"/>
  </mergeCells>
  <pageMargins left="0.7" right="0.7" top="0.75" bottom="0.75" header="0.3" footer="0.3"/>
  <pageSetup paperSize="9" scale="67" orientation="landscape" horizontalDpi="0" verticalDpi="0" r:id="rId1"/>
  <ignoredErrors>
    <ignoredError sqref="H4" formula="1"/>
  </ignoredErrors>
  <drawing r:id="rId2"/>
  <tableParts count="4">
    <tablePart r:id="rId3"/>
    <tablePart r:id="rId4"/>
    <tablePart r:id="rId5"/>
    <tablePart r:id="rId6"/>
  </tableParts>
</worksheet>
</file>

<file path=customUI/_rels/customUI14.xml.rels><?xml version="1.0" encoding="UTF-8" standalone="yes"?>
<Relationships xmlns="http://schemas.openxmlformats.org/package/2006/relationships"><Relationship Id="facturation" Type="http://schemas.openxmlformats.org/officeDocument/2006/relationships/image" Target="images/facturation.png"/><Relationship Id="serveur" Type="http://schemas.openxmlformats.org/officeDocument/2006/relationships/image" Target="images/serveur.png"/><Relationship Id="Stock" Type="http://schemas.openxmlformats.org/officeDocument/2006/relationships/image" Target="images/Stock.png"/><Relationship Id="reglage" Type="http://schemas.openxmlformats.org/officeDocument/2006/relationships/image" Target="images/reglage.png"/><Relationship Id="analyse" Type="http://schemas.openxmlformats.org/officeDocument/2006/relationships/image" Target="images/analyse.png"/><Relationship Id="fermer" Type="http://schemas.openxmlformats.org/officeDocument/2006/relationships/image" Target="images/fermer.jpg"/><Relationship Id="Ticket" Type="http://schemas.openxmlformats.org/officeDocument/2006/relationships/image" Target="images/Ticket.png"/><Relationship Id="Journal" Type="http://schemas.openxmlformats.org/officeDocument/2006/relationships/image" Target="images/Journal.png"/></Relationships>
</file>

<file path=customUI/customUI14.xml><?xml version="1.0" encoding="utf-8"?>
<customUI xmlns="http://schemas.microsoft.com/office/2009/07/customui" onLoad="MonRuban_OnLoad">
  <ribbon startFromScratch="true">
    <tabs>
      <tab idMso="TabHome" getVisible="MonRuban_GetVisible"/>
      <tab idMso="TabData" getVisible="MonRuban_GetVisible"/>
      <tab idMso="TabInsert" getVisible="MonRuban_GetVisible"/>
      <tab idMso="TabFormulas" getVisible="MonRuban_GetVisible"/>
      <tab idMso="TabPageLayoutExcel" getVisible="MonRuban_GetVisible"/>
      <tab idMso="TabPrintPreview" getVisible="MonRuban_GetVisible"/>
      <tab idMso="TabReview" getVisible="MonRuban_GetVisible"/>
      <tab getVisible="MonRuban_GetVisible" idMso="TabView"/>
      <tab idMso="TabDeveloper" getVisible="MonRuban_GetVisible"/>
      <tab id="customTab" label="Facturation">
        <group id="customGroup" label="Création">
          <button id="factbtn" label="Facturation" image="facturation" size="large" onAction="Callback1"/>
        </group>
        <group id="customGroup2" label="Ticket">
          <button id="ticketbtn" label="Ticket" image="Ticket" size="large" onAction="Callback2"/>
        </group>
        <group id="customGroup5" label="Stock">
          <button id="Stockbtn" label="Etat des stocks" image="Stock" size="large" onAction="Callback5"/>
        </group>
        <group id="customGroup3" label="Archivage des factures">
          <button id="arcbtn" label="Factures archivées" image="serveur" size="large" onAction="Callback3"/>
        </group>
        <group id="customGroup4" label="Journal">
          <button id="jnlbtn" label="journal et historique" image="Journal" size="large" onAction="Callback4"/>
        </group>
        <group id="customGroup6" label="Reglage">
          <button id="regbtn" label="Réglages et aide" image="reglage" size="large" onAction="Callback6"/>
        </group>
        <group id="customGroup7" label="Analyse et CA">
          <button id="anabtn" label="Analyse CA" image="analyse" size="large" onAction="Callback7"/>
        </group>
        <group id="customGroup8" label="Enregistrer et quitter">
          <button id="fermerbtn" label="Enregistrer et fermer" image="fermer" size="large" onAction="Callback8"/>
        </group>
        <group id="opt4" label="Onglet/ruban">
          <toggleButton id="TB01" imageMso="AddCellLeft" label="onglet" onAction="TB01" size="normal"/>
          <toggleButton id="toggleButton1" getPressed="MonRuban_GetPressed" imageMso="AdpDiagramArrangeTables" size="normal" onAction="MonRuban_OnAction_Press" label="ruban" visible="tru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BDD</vt:lpstr>
      <vt:lpstr>FDV</vt:lpstr>
      <vt:lpstr>Ticket</vt:lpstr>
      <vt:lpstr>S</vt:lpstr>
      <vt:lpstr>A</vt:lpstr>
      <vt:lpstr>J</vt:lpstr>
      <vt:lpstr>CA</vt:lpstr>
      <vt:lpstr>transporteur</vt:lpstr>
      <vt:lpstr>TVA</vt:lpstr>
      <vt:lpstr>Ticket!Zone_d_impression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MNSA</cp:lastModifiedBy>
  <cp:lastPrinted>2021-08-17T09:08:50Z</cp:lastPrinted>
  <dcterms:created xsi:type="dcterms:W3CDTF">2015-06-05T18:17:20Z</dcterms:created>
  <dcterms:modified xsi:type="dcterms:W3CDTF">2021-08-21T08:36:21Z</dcterms:modified>
</cp:coreProperties>
</file>