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.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fc908a8b4a5946a6" Type="http://schemas.microsoft.com/office/2007/relationships/ui/extensibility" Target="customUI/customUI14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lek\Desktop\"/>
    </mc:Choice>
  </mc:AlternateContent>
  <xr:revisionPtr revIDLastSave="0" documentId="13_ncr:1_{8CC4642A-7183-4189-9AE0-9898365FD408}" xr6:coauthVersionLast="36" xr6:coauthVersionMax="46" xr10:uidLastSave="{00000000-0000-0000-0000-000000000000}"/>
  <bookViews>
    <workbookView showHorizontalScroll="0" showVerticalScroll="0" showSheetTabs="0" xWindow="-120" yWindow="-120" windowWidth="20736" windowHeight="11160" activeTab="2" xr2:uid="{00000000-000D-0000-FFFF-FFFF00000000}"/>
  </bookViews>
  <sheets>
    <sheet name="BDD" sheetId="1" r:id="rId1"/>
    <sheet name="FDV" sheetId="2" r:id="rId2"/>
    <sheet name="Ticket" sheetId="6" r:id="rId3"/>
    <sheet name="S" sheetId="4" r:id="rId4"/>
    <sheet name="A" sheetId="5" r:id="rId5"/>
    <sheet name="J" sheetId="3" r:id="rId6"/>
  </sheets>
  <definedNames>
    <definedName name="transporteur">BDD!$K$1:$K$4</definedName>
    <definedName name="TVA">BDD!$D$1:$D$4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3" i="6" l="1"/>
  <c r="E26" i="6" s="1"/>
  <c r="B31" i="6" l="1"/>
  <c r="B5" i="6"/>
  <c r="B4" i="6"/>
  <c r="B3" i="6"/>
  <c r="B2" i="6"/>
  <c r="B1" i="6"/>
  <c r="B22" i="6" l="1"/>
  <c r="F5" i="2"/>
  <c r="F6" i="2"/>
  <c r="F7" i="2"/>
  <c r="F8" i="2"/>
  <c r="F9" i="2"/>
  <c r="F10" i="2"/>
  <c r="F11" i="2"/>
  <c r="F12" i="2"/>
  <c r="F13" i="2"/>
  <c r="B5" i="2"/>
  <c r="B6" i="2"/>
  <c r="B7" i="2"/>
  <c r="B8" i="2"/>
  <c r="B9" i="2"/>
  <c r="B10" i="2"/>
  <c r="B11" i="2"/>
  <c r="B12" i="2"/>
  <c r="B13" i="2"/>
  <c r="G14" i="2" l="1"/>
  <c r="E14" i="2"/>
  <c r="G12" i="2" l="1"/>
  <c r="G8" i="2"/>
  <c r="G9" i="2"/>
  <c r="G5" i="2"/>
  <c r="G11" i="2"/>
  <c r="G7" i="2"/>
  <c r="G13" i="2"/>
  <c r="G10" i="2"/>
  <c r="G6" i="2"/>
  <c r="L8" i="4" l="1"/>
  <c r="L6" i="4"/>
  <c r="J6" i="4"/>
  <c r="C4" i="4"/>
  <c r="L14" i="4"/>
  <c r="L15" i="4"/>
  <c r="L16" i="4"/>
  <c r="L17" i="4"/>
  <c r="J14" i="4"/>
  <c r="J15" i="4"/>
  <c r="J16" i="4"/>
  <c r="J17" i="4"/>
  <c r="I14" i="4"/>
  <c r="I15" i="4"/>
  <c r="I16" i="4"/>
  <c r="I17" i="4"/>
  <c r="H14" i="4"/>
  <c r="H15" i="4"/>
  <c r="H16" i="4"/>
  <c r="H17" i="4"/>
  <c r="F14" i="4"/>
  <c r="F15" i="4"/>
  <c r="F16" i="4"/>
  <c r="F17" i="4"/>
  <c r="G2" i="4"/>
  <c r="F2" i="4"/>
  <c r="D2" i="4"/>
  <c r="C2" i="4"/>
  <c r="A3" i="4"/>
  <c r="A2" i="4" s="1"/>
  <c r="K14" i="4" l="1"/>
  <c r="N14" i="4" s="1"/>
  <c r="K16" i="4"/>
  <c r="N16" i="4" s="1"/>
  <c r="D9" i="2"/>
  <c r="D13" i="2"/>
  <c r="D11" i="2"/>
  <c r="D6" i="2"/>
  <c r="D10" i="2"/>
  <c r="D7" i="2"/>
  <c r="D12" i="2"/>
  <c r="D5" i="2"/>
  <c r="D8" i="2"/>
  <c r="K15" i="4"/>
  <c r="N15" i="4" s="1"/>
  <c r="K17" i="4"/>
  <c r="O17" i="4" s="1"/>
  <c r="O16" i="4"/>
  <c r="O14" i="4" l="1"/>
  <c r="M14" i="4"/>
  <c r="M16" i="4"/>
  <c r="E5" i="2"/>
  <c r="E6" i="2"/>
  <c r="E12" i="2"/>
  <c r="E11" i="2"/>
  <c r="E7" i="2"/>
  <c r="E13" i="2"/>
  <c r="E8" i="2"/>
  <c r="E10" i="2"/>
  <c r="E9" i="2"/>
  <c r="J8" i="4"/>
  <c r="M15" i="4"/>
  <c r="O15" i="4"/>
  <c r="M17" i="4"/>
  <c r="N17" i="4"/>
  <c r="N8" i="4" s="1"/>
  <c r="J4" i="2" l="1"/>
  <c r="J14" i="2" s="1"/>
  <c r="J15" i="2" s="1"/>
  <c r="E27" i="6"/>
  <c r="N6" i="4"/>
  <c r="J16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C13" authorId="0" shapeId="0" xr:uid="{00000000-0006-0000-0300-000001000000}">
      <text>
        <r>
          <rPr>
            <b/>
            <i/>
            <sz val="10"/>
            <color indexed="10"/>
            <rFont val="Baskerville Old Face"/>
            <family val="1"/>
          </rPr>
          <t>Prix A HT</t>
        </r>
        <r>
          <rPr>
            <i/>
            <sz val="10"/>
            <color indexed="8"/>
            <rFont val="Baskerville Old Face"/>
            <family val="1"/>
          </rPr>
          <t xml:space="preserve">
Pris d'Achat Hors Taxe</t>
        </r>
      </text>
    </comment>
    <comment ref="D13" authorId="0" shapeId="0" xr:uid="{00000000-0006-0000-0300-000002000000}">
      <text>
        <r>
          <rPr>
            <b/>
            <i/>
            <sz val="10"/>
            <color indexed="10"/>
            <rFont val="Baskerville Old Face"/>
            <family val="1"/>
          </rPr>
          <t>Prix U HT</t>
        </r>
        <r>
          <rPr>
            <i/>
            <sz val="10"/>
            <color indexed="8"/>
            <rFont val="Baskerville Old Face"/>
            <family val="1"/>
          </rPr>
          <t xml:space="preserve">
Prix Unitaire Hors Taxe</t>
        </r>
      </text>
    </comment>
    <comment ref="F13" authorId="0" shapeId="0" xr:uid="{00000000-0006-0000-0300-000003000000}">
      <text>
        <r>
          <rPr>
            <b/>
            <i/>
            <sz val="10"/>
            <color indexed="10"/>
            <rFont val="Baskerville Old Face"/>
            <family val="1"/>
          </rPr>
          <t>Prix U TTC</t>
        </r>
        <r>
          <rPr>
            <i/>
            <sz val="10"/>
            <color indexed="8"/>
            <rFont val="Baskerville Old Face"/>
            <family val="1"/>
          </rPr>
          <t xml:space="preserve">
Prix Unitaire Toutes Taxes Comprise</t>
        </r>
      </text>
    </comment>
    <comment ref="L13" authorId="0" shapeId="0" xr:uid="{00000000-0006-0000-0300-000004000000}">
      <text>
        <r>
          <rPr>
            <b/>
            <i/>
            <sz val="10"/>
            <color indexed="10"/>
            <rFont val="Baskerville Old Face"/>
            <family val="1"/>
          </rPr>
          <t>V S I HT</t>
        </r>
        <r>
          <rPr>
            <i/>
            <sz val="10"/>
            <color indexed="8"/>
            <rFont val="Baskerville Old Face"/>
            <family val="1"/>
          </rPr>
          <t xml:space="preserve">
Valeur Stock Initial Hors taxe</t>
        </r>
      </text>
    </comment>
    <comment ref="M13" authorId="0" shapeId="0" xr:uid="{00000000-0006-0000-0300-000005000000}">
      <text>
        <r>
          <rPr>
            <b/>
            <i/>
            <sz val="10"/>
            <color indexed="10"/>
            <rFont val="Baskerville Old Face"/>
            <family val="1"/>
          </rPr>
          <t>V S F HT</t>
        </r>
        <r>
          <rPr>
            <i/>
            <sz val="10"/>
            <color indexed="8"/>
            <rFont val="Baskerville Old Face"/>
            <family val="1"/>
          </rPr>
          <t xml:space="preserve">
Valeur Stock Final Hors Taxe</t>
        </r>
      </text>
    </comment>
    <comment ref="N13" authorId="0" shapeId="0" xr:uid="{00000000-0006-0000-0300-000006000000}">
      <text>
        <r>
          <rPr>
            <b/>
            <i/>
            <sz val="10"/>
            <color indexed="10"/>
            <rFont val="Baskerville Old Face"/>
            <family val="1"/>
          </rPr>
          <t>Total V HT</t>
        </r>
        <r>
          <rPr>
            <i/>
            <sz val="10"/>
            <color indexed="8"/>
            <rFont val="Baskerville Old Face"/>
            <family val="1"/>
          </rPr>
          <t xml:space="preserve">
Total Vente Hors Taxe</t>
        </r>
      </text>
    </comment>
    <comment ref="O13" authorId="0" shapeId="0" xr:uid="{00000000-0006-0000-0300-000007000000}">
      <text>
        <r>
          <rPr>
            <b/>
            <i/>
            <sz val="10"/>
            <color indexed="10"/>
            <rFont val="Baskerville Old Face"/>
            <family val="1"/>
          </rPr>
          <t>Total V TTC</t>
        </r>
        <r>
          <rPr>
            <i/>
            <sz val="10"/>
            <color indexed="8"/>
            <rFont val="Baskerville Old Face"/>
            <family val="1"/>
          </rPr>
          <t xml:space="preserve">
Total Vente Toutes Taxes Comprise</t>
        </r>
      </text>
    </comment>
  </commentList>
</comments>
</file>

<file path=xl/sharedStrings.xml><?xml version="1.0" encoding="utf-8"?>
<sst xmlns="http://schemas.openxmlformats.org/spreadsheetml/2006/main" count="130" uniqueCount="91">
  <si>
    <t>Siret :</t>
  </si>
  <si>
    <t>Tel</t>
  </si>
  <si>
    <t>Amazon</t>
  </si>
  <si>
    <t>Ville</t>
  </si>
  <si>
    <t>Mondial Relay</t>
  </si>
  <si>
    <t>Rakuten</t>
  </si>
  <si>
    <t>En compte</t>
  </si>
  <si>
    <t>Société UE</t>
  </si>
  <si>
    <t>CP</t>
  </si>
  <si>
    <t>La poste</t>
  </si>
  <si>
    <t>Cdiscount</t>
  </si>
  <si>
    <t>Carte Bancaire</t>
  </si>
  <si>
    <t>Adresse 2</t>
  </si>
  <si>
    <t>GLS</t>
  </si>
  <si>
    <t>eBay</t>
  </si>
  <si>
    <t>Virement</t>
  </si>
  <si>
    <t>UE</t>
  </si>
  <si>
    <t>Adresse 1</t>
  </si>
  <si>
    <t>Comptoir</t>
  </si>
  <si>
    <t>Site</t>
  </si>
  <si>
    <t>Chèque</t>
  </si>
  <si>
    <t>FR</t>
  </si>
  <si>
    <t>Société :</t>
  </si>
  <si>
    <t>Date</t>
  </si>
  <si>
    <t>FdV</t>
  </si>
  <si>
    <t>Ref</t>
  </si>
  <si>
    <t>Entrée</t>
  </si>
  <si>
    <t>Sortie</t>
  </si>
  <si>
    <t>Destockage</t>
  </si>
  <si>
    <t>Description</t>
  </si>
  <si>
    <t>Entrée Stock</t>
  </si>
  <si>
    <t>REASSORT / DESTOCKAGE</t>
  </si>
  <si>
    <t>Motif</t>
  </si>
  <si>
    <t>Déstockage</t>
  </si>
  <si>
    <t>Produits</t>
  </si>
  <si>
    <t>Nom</t>
  </si>
  <si>
    <t>Prix A HT</t>
  </si>
  <si>
    <t>Prix U HT</t>
  </si>
  <si>
    <t>TVA</t>
  </si>
  <si>
    <t>Prix U TTC</t>
  </si>
  <si>
    <t>Stock I</t>
  </si>
  <si>
    <t>Stock F</t>
  </si>
  <si>
    <t>V S I HT</t>
  </si>
  <si>
    <t>V S F HT</t>
  </si>
  <si>
    <t>Total V HT</t>
  </si>
  <si>
    <t>Total V TTC</t>
  </si>
  <si>
    <t>test</t>
  </si>
  <si>
    <t>DOUDOU MAILEG LAPIN ROSE ANGEL DANS UNE CHAUSSETTE MINI PANTIN</t>
  </si>
  <si>
    <t>Doudou et Compagnie Lapin Celeste Boule DC2399</t>
  </si>
  <si>
    <t>news</t>
  </si>
  <si>
    <t>Doudou et compagnie ours plat arc en ciel nuage de couleur DC1031</t>
  </si>
  <si>
    <t>M47</t>
  </si>
  <si>
    <t>Doudou Kaloo  Perle ours Ourson marionnette bleu</t>
  </si>
  <si>
    <t>VALEUR STOCK</t>
  </si>
  <si>
    <t>Par Ref</t>
  </si>
  <si>
    <t>Stock H.T</t>
  </si>
  <si>
    <t>Stock V H.T</t>
  </si>
  <si>
    <t>Plateforme</t>
  </si>
  <si>
    <t>N° de commande</t>
  </si>
  <si>
    <t>Nom Pdt</t>
  </si>
  <si>
    <t>Quantité</t>
  </si>
  <si>
    <t>Prix total</t>
  </si>
  <si>
    <t>Sock initial</t>
  </si>
  <si>
    <t>Stock restant</t>
  </si>
  <si>
    <t>Total commande</t>
  </si>
  <si>
    <t>TVA Applicable</t>
  </si>
  <si>
    <t>Réduction</t>
  </si>
  <si>
    <t>Frais de Port</t>
  </si>
  <si>
    <t>Transporteur</t>
  </si>
  <si>
    <t/>
  </si>
  <si>
    <t>TOTAL TTC PAYE</t>
  </si>
  <si>
    <t>HT</t>
  </si>
  <si>
    <t>Type de règlement</t>
  </si>
  <si>
    <t>LIBELLE</t>
  </si>
  <si>
    <t>QTE</t>
  </si>
  <si>
    <t>PU</t>
  </si>
  <si>
    <t>TOTAL</t>
  </si>
  <si>
    <t>Total Commandé</t>
  </si>
  <si>
    <t>TOTAL EUR</t>
  </si>
  <si>
    <t>Merci pour votre achat</t>
  </si>
  <si>
    <t>Fdv</t>
  </si>
  <si>
    <t>Règlement</t>
  </si>
  <si>
    <t>TOTAL PAYE</t>
  </si>
  <si>
    <t>Fiche de Vente</t>
  </si>
  <si>
    <t>Hors UE</t>
  </si>
  <si>
    <t>STE ABC</t>
  </si>
  <si>
    <t>addr 1</t>
  </si>
  <si>
    <t>addr 2</t>
  </si>
  <si>
    <t>numtel</t>
  </si>
  <si>
    <t>a saisir</t>
  </si>
  <si>
    <t>2021-3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</si>
</sst>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7" formatCode="#,##0.00\ &quot;€&quot;;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-40C]_-;\-* #,##0.00\ [$€-40C]_-;_-* &quot;-&quot;??\ [$€-40C]_-;_-@_-"/>
    <numFmt numFmtId="165" formatCode="#,###;\-#,###;;@"/>
    <numFmt numFmtId="166" formatCode="_-* #,##0\ _€_-;\-* #,##0\ _€_-;_-* &quot;-&quot;??\ _€_-;_-@_-"/>
    <numFmt numFmtId="167" formatCode="0;\-0;;@"/>
    <numFmt numFmtId="168" formatCode="0.00&quot; Eur&quot;;\-0.00&quot; Eur&quot;;;@"/>
    <numFmt numFmtId="169" formatCode="0&quot; articles&quot;"/>
    <numFmt numFmtId="170" formatCode="0.00&quot; Eur&quot;;0.00&quot; Eur&quot;;;@"/>
    <numFmt numFmtId="171" formatCode="_-* #,##0.00,&quot;Eur&quot;;\-* #,##0.00&quot; Eur&quot;_-;;_-@_-"/>
    <numFmt numFmtId="172" formatCode="_-* #,##0.000\ _€_-;\-* #,##0.000\ _€_-;_-* &quot;-&quot;??\ _€_-;_-@_-"/>
    <numFmt numFmtId="173" formatCode="0#&quot; &quot;##&quot; &quot;##&quot; &quot;##&quot; &quot;##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1"/>
      <name val="Calibri"/>
      <family val="2"/>
      <scheme val="minor"/>
    </font>
    <font>
      <b/>
      <i/>
      <sz val="10"/>
      <color indexed="10"/>
      <name val="Baskerville Old Face"/>
      <family val="1"/>
    </font>
    <font>
      <i/>
      <sz val="10"/>
      <color indexed="8"/>
      <name val="Baskerville Old Face"/>
      <family val="1"/>
    </font>
    <font>
      <sz val="10"/>
      <name val="Arial"/>
      <family val="2"/>
    </font>
    <font>
      <sz val="9"/>
      <color theme="0"/>
      <name val="Calibri"/>
      <family val="2"/>
      <scheme val="minor"/>
    </font>
    <font>
      <b/>
      <sz val="11"/>
      <color theme="0"/>
      <name val="Baskerville Old Face"/>
      <family val="1"/>
    </font>
    <font>
      <sz val="12"/>
      <color theme="1"/>
      <name val="Calibri"/>
      <family val="2"/>
      <scheme val="minor"/>
    </font>
    <font>
      <sz val="11"/>
      <color theme="0"/>
      <name val="Baskerville Old Face"/>
      <family val="1"/>
    </font>
    <font>
      <sz val="12"/>
      <color theme="1"/>
      <name val="Baskerville Old Face"/>
      <family val="1"/>
    </font>
    <font>
      <sz val="14"/>
      <color theme="1"/>
      <name val="Baskerville Old Face"/>
      <family val="1"/>
    </font>
    <font>
      <b/>
      <sz val="12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theme="1"/>
      <name val="Baskerville Old Face"/>
      <family val="1"/>
    </font>
    <font>
      <b/>
      <sz val="11"/>
      <color theme="1"/>
      <name val="Calibri Light"/>
      <family val="2"/>
      <scheme val="major"/>
    </font>
    <font>
      <sz val="9"/>
      <color theme="1"/>
      <name val="Arial"/>
      <family val="2"/>
    </font>
    <font>
      <sz val="9"/>
      <color theme="1"/>
      <name val="Calibri"/>
      <family val="2"/>
      <scheme val="minor"/>
    </font>
    <font>
      <b/>
      <sz val="9"/>
      <color theme="1"/>
      <name val="Arial"/>
      <family val="2"/>
    </font>
    <font>
      <sz val="7"/>
      <color theme="1"/>
      <name val="Arial"/>
      <family val="2"/>
    </font>
    <font>
      <sz val="7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5"/>
      <color rgb="FF003366"/>
      <name val="Calibri"/>
      <family val="2"/>
    </font>
    <font>
      <sz val="12"/>
      <color theme="0"/>
      <name val="Baskerville Old Face"/>
      <family val="1"/>
    </font>
  </fonts>
  <fills count="6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7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auto="1"/>
      </right>
      <top/>
      <bottom style="dotted">
        <color indexed="64"/>
      </bottom>
      <diagonal/>
    </border>
    <border>
      <left style="thin">
        <color auto="1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auto="1"/>
      </right>
      <top style="dotted">
        <color indexed="64"/>
      </top>
      <bottom/>
      <diagonal/>
    </border>
    <border>
      <left style="thin">
        <color auto="1"/>
      </left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n">
        <color indexed="64"/>
      </right>
      <top style="thick">
        <color auto="1"/>
      </top>
      <bottom style="thick">
        <color auto="1"/>
      </bottom>
      <diagonal/>
    </border>
    <border>
      <left style="thin">
        <color indexed="64"/>
      </left>
      <right/>
      <top style="thick">
        <color auto="1"/>
      </top>
      <bottom style="dotted">
        <color indexed="64"/>
      </bottom>
      <diagonal/>
    </border>
    <border>
      <left/>
      <right/>
      <top style="thick">
        <color auto="1"/>
      </top>
      <bottom style="dotted">
        <color indexed="64"/>
      </bottom>
      <diagonal/>
    </border>
    <border>
      <left/>
      <right style="thin">
        <color indexed="64"/>
      </right>
      <top style="thick">
        <color auto="1"/>
      </top>
      <bottom style="dotted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/>
      <bottom style="thin">
        <color theme="4"/>
      </bottom>
      <diagonal/>
    </border>
  </borders>
  <cellStyleXfs count="5">
    <xf numFmtId="0" fontId="0" fillId="0" borderId="0"/>
    <xf numFmtId="0" fontId="9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71">
    <xf numFmtId="0" fontId="0" fillId="0" borderId="0" xfId="0"/>
    <xf numFmtId="0" fontId="11" fillId="2" borderId="0" xfId="0" applyFont="1" applyFill="1" applyBorder="1" applyAlignment="1" applyProtection="1">
      <alignment horizontal="left" vertical="center"/>
      <protection hidden="1"/>
    </xf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4" xfId="0" applyBorder="1"/>
    <xf numFmtId="9" fontId="0" fillId="0" borderId="4" xfId="4" applyFont="1" applyBorder="1"/>
    <xf numFmtId="0" fontId="0" fillId="0" borderId="6" xfId="0" applyBorder="1"/>
    <xf numFmtId="0" fontId="0" fillId="0" borderId="7" xfId="0" applyBorder="1"/>
    <xf numFmtId="0" fontId="0" fillId="2" borderId="0" xfId="0" applyFill="1"/>
    <xf numFmtId="0" fontId="3" fillId="2" borderId="0" xfId="0" applyFont="1" applyFill="1"/>
    <xf numFmtId="0" fontId="2" fillId="2" borderId="0" xfId="0" applyFont="1" applyFill="1"/>
    <xf numFmtId="14" fontId="5" fillId="2" borderId="0" xfId="0" applyNumberFormat="1" applyFont="1" applyFill="1" applyAlignment="1">
      <alignment vertical="center"/>
    </xf>
    <xf numFmtId="14" fontId="0" fillId="0" borderId="0" xfId="0" applyNumberFormat="1"/>
    <xf numFmtId="44" fontId="0" fillId="0" borderId="0" xfId="3" applyFont="1"/>
    <xf numFmtId="14" fontId="2" fillId="2" borderId="11" xfId="0" applyNumberFormat="1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10" fillId="2" borderId="0" xfId="0" applyFont="1" applyFill="1"/>
    <xf numFmtId="0" fontId="0" fillId="0" borderId="8" xfId="0" applyFill="1" applyBorder="1" applyAlignment="1">
      <alignment horizontal="center"/>
    </xf>
    <xf numFmtId="44" fontId="0" fillId="0" borderId="8" xfId="3" applyFont="1" applyFill="1" applyBorder="1"/>
    <xf numFmtId="0" fontId="11" fillId="2" borderId="0" xfId="0" applyFont="1" applyFill="1" applyBorder="1" applyAlignment="1" applyProtection="1">
      <alignment horizontal="left" vertical="center"/>
      <protection hidden="1"/>
    </xf>
    <xf numFmtId="0" fontId="13" fillId="2" borderId="0" xfId="0" applyFont="1" applyFill="1" applyBorder="1" applyAlignment="1" applyProtection="1">
      <alignment horizontal="left" vertical="center"/>
      <protection hidden="1"/>
    </xf>
    <xf numFmtId="164" fontId="3" fillId="2" borderId="0" xfId="0" applyNumberFormat="1" applyFont="1" applyFill="1" applyAlignment="1">
      <alignment horizontal="left"/>
    </xf>
    <xf numFmtId="0" fontId="12" fillId="3" borderId="13" xfId="1" applyNumberFormat="1" applyFont="1" applyFill="1" applyBorder="1" applyAlignment="1">
      <alignment horizontal="left" vertical="center"/>
    </xf>
    <xf numFmtId="0" fontId="12" fillId="3" borderId="13" xfId="1" applyNumberFormat="1" applyFont="1" applyFill="1" applyBorder="1" applyAlignment="1">
      <alignment horizontal="center" vertical="center"/>
    </xf>
    <xf numFmtId="44" fontId="12" fillId="3" borderId="13" xfId="3" applyFont="1" applyFill="1" applyBorder="1" applyAlignment="1">
      <alignment horizontal="left" vertical="center"/>
    </xf>
    <xf numFmtId="0" fontId="12" fillId="0" borderId="13" xfId="1" applyNumberFormat="1" applyFont="1" applyBorder="1" applyAlignment="1">
      <alignment horizontal="left" vertical="center"/>
    </xf>
    <xf numFmtId="0" fontId="12" fillId="0" borderId="13" xfId="1" applyNumberFormat="1" applyFont="1" applyBorder="1" applyAlignment="1">
      <alignment horizontal="center" vertical="center"/>
    </xf>
    <xf numFmtId="44" fontId="12" fillId="0" borderId="13" xfId="3" applyFont="1" applyBorder="1" applyAlignment="1">
      <alignment horizontal="left" vertical="center"/>
    </xf>
    <xf numFmtId="0" fontId="12" fillId="2" borderId="0" xfId="0" applyFont="1" applyFill="1"/>
    <xf numFmtId="164" fontId="0" fillId="2" borderId="0" xfId="0" applyNumberFormat="1" applyFont="1" applyFill="1" applyAlignment="1">
      <alignment horizontal="left"/>
    </xf>
    <xf numFmtId="164" fontId="0" fillId="2" borderId="0" xfId="2" applyNumberFormat="1" applyFont="1" applyFill="1" applyAlignment="1">
      <alignment horizontal="left"/>
    </xf>
    <xf numFmtId="0" fontId="0" fillId="2" borderId="0" xfId="0" applyFont="1" applyFill="1" applyAlignment="1">
      <alignment horizontal="left"/>
    </xf>
    <xf numFmtId="164" fontId="2" fillId="2" borderId="0" xfId="0" applyNumberFormat="1" applyFont="1" applyFill="1"/>
    <xf numFmtId="43" fontId="17" fillId="2" borderId="0" xfId="2" applyFont="1" applyFill="1"/>
    <xf numFmtId="43" fontId="3" fillId="2" borderId="0" xfId="0" applyNumberFormat="1" applyFont="1" applyFill="1"/>
    <xf numFmtId="0" fontId="18" fillId="4" borderId="16" xfId="0" applyFont="1" applyFill="1" applyBorder="1" applyAlignment="1" applyProtection="1">
      <protection hidden="1"/>
    </xf>
    <xf numFmtId="0" fontId="18" fillId="4" borderId="0" xfId="0" applyFont="1" applyFill="1" applyBorder="1" applyAlignment="1" applyProtection="1">
      <protection hidden="1"/>
    </xf>
    <xf numFmtId="0" fontId="18" fillId="4" borderId="17" xfId="0" applyFont="1" applyFill="1" applyBorder="1" applyAlignment="1" applyProtection="1">
      <protection hidden="1"/>
    </xf>
    <xf numFmtId="0" fontId="18" fillId="4" borderId="18" xfId="0" applyFont="1" applyFill="1" applyBorder="1" applyAlignment="1" applyProtection="1">
      <protection hidden="1"/>
    </xf>
    <xf numFmtId="0" fontId="18" fillId="4" borderId="19" xfId="0" applyFont="1" applyFill="1" applyBorder="1" applyAlignment="1" applyProtection="1">
      <protection hidden="1"/>
    </xf>
    <xf numFmtId="0" fontId="18" fillId="4" borderId="20" xfId="0" applyFont="1" applyFill="1" applyBorder="1" applyAlignment="1" applyProtection="1">
      <protection hidden="1"/>
    </xf>
    <xf numFmtId="0" fontId="20" fillId="0" borderId="24" xfId="0" applyFont="1" applyBorder="1" applyAlignment="1" applyProtection="1">
      <protection hidden="1"/>
    </xf>
    <xf numFmtId="0" fontId="20" fillId="0" borderId="25" xfId="0" applyFont="1" applyBorder="1" applyAlignment="1" applyProtection="1">
      <protection hidden="1"/>
    </xf>
    <xf numFmtId="0" fontId="20" fillId="0" borderId="26" xfId="0" applyFont="1" applyBorder="1" applyAlignment="1" applyProtection="1">
      <protection hidden="1"/>
    </xf>
    <xf numFmtId="0" fontId="20" fillId="0" borderId="16" xfId="0" applyFont="1" applyBorder="1" applyAlignment="1" applyProtection="1">
      <alignment horizontal="left"/>
      <protection hidden="1"/>
    </xf>
    <xf numFmtId="167" fontId="20" fillId="0" borderId="0" xfId="2" applyNumberFormat="1" applyFont="1" applyBorder="1" applyAlignment="1" applyProtection="1">
      <alignment horizontal="center"/>
      <protection hidden="1"/>
    </xf>
    <xf numFmtId="168" fontId="0" fillId="0" borderId="17" xfId="0" applyNumberFormat="1" applyBorder="1"/>
    <xf numFmtId="0" fontId="20" fillId="0" borderId="16" xfId="0" applyFont="1" applyBorder="1" applyAlignment="1" applyProtection="1">
      <protection hidden="1"/>
    </xf>
    <xf numFmtId="0" fontId="20" fillId="0" borderId="0" xfId="0" applyFont="1" applyBorder="1" applyAlignment="1" applyProtection="1">
      <protection hidden="1"/>
    </xf>
    <xf numFmtId="0" fontId="20" fillId="0" borderId="17" xfId="0" applyFont="1" applyBorder="1" applyAlignment="1" applyProtection="1">
      <protection hidden="1"/>
    </xf>
    <xf numFmtId="169" fontId="21" fillId="0" borderId="18" xfId="0" applyNumberFormat="1" applyFont="1" applyBorder="1" applyAlignment="1"/>
    <xf numFmtId="169" fontId="21" fillId="0" borderId="19" xfId="0" applyNumberFormat="1" applyFont="1" applyBorder="1" applyAlignment="1"/>
    <xf numFmtId="169" fontId="21" fillId="0" borderId="19" xfId="0" applyNumberFormat="1" applyFont="1" applyBorder="1" applyAlignment="1">
      <alignment horizontal="left"/>
    </xf>
    <xf numFmtId="0" fontId="0" fillId="0" borderId="20" xfId="0" applyBorder="1"/>
    <xf numFmtId="0" fontId="0" fillId="0" borderId="16" xfId="0" applyBorder="1"/>
    <xf numFmtId="0" fontId="0" fillId="0" borderId="0" xfId="0" applyBorder="1"/>
    <xf numFmtId="170" fontId="20" fillId="0" borderId="17" xfId="2" applyNumberFormat="1" applyFont="1" applyBorder="1" applyAlignment="1" applyProtection="1">
      <alignment horizontal="right"/>
      <protection hidden="1"/>
    </xf>
    <xf numFmtId="168" fontId="20" fillId="0" borderId="17" xfId="2" applyNumberFormat="1" applyFont="1" applyBorder="1" applyAlignment="1" applyProtection="1">
      <alignment horizontal="right"/>
      <protection hidden="1"/>
    </xf>
    <xf numFmtId="0" fontId="22" fillId="0" borderId="27" xfId="0" applyFont="1" applyBorder="1" applyAlignment="1" applyProtection="1">
      <protection hidden="1"/>
    </xf>
    <xf numFmtId="0" fontId="0" fillId="0" borderId="28" xfId="0" applyBorder="1"/>
    <xf numFmtId="168" fontId="22" fillId="0" borderId="29" xfId="2" applyNumberFormat="1" applyFont="1" applyBorder="1" applyAlignment="1" applyProtection="1">
      <alignment horizontal="right"/>
      <protection hidden="1"/>
    </xf>
    <xf numFmtId="0" fontId="20" fillId="5" borderId="30" xfId="0" applyFont="1" applyFill="1" applyBorder="1" applyAlignment="1" applyProtection="1">
      <protection hidden="1"/>
    </xf>
    <xf numFmtId="0" fontId="0" fillId="5" borderId="31" xfId="0" applyFill="1" applyBorder="1"/>
    <xf numFmtId="168" fontId="20" fillId="5" borderId="32" xfId="2" applyNumberFormat="1" applyFont="1" applyFill="1" applyBorder="1" applyAlignment="1" applyProtection="1">
      <alignment horizontal="right"/>
      <protection hidden="1"/>
    </xf>
    <xf numFmtId="171" fontId="23" fillId="0" borderId="16" xfId="2" applyNumberFormat="1" applyFont="1" applyBorder="1" applyAlignment="1" applyProtection="1">
      <protection hidden="1"/>
    </xf>
    <xf numFmtId="171" fontId="23" fillId="0" borderId="0" xfId="2" applyNumberFormat="1" applyFont="1" applyBorder="1" applyAlignment="1" applyProtection="1">
      <protection hidden="1"/>
    </xf>
    <xf numFmtId="171" fontId="23" fillId="0" borderId="0" xfId="2" applyNumberFormat="1" applyFont="1" applyBorder="1" applyAlignment="1" applyProtection="1">
      <alignment horizontal="center"/>
      <protection hidden="1"/>
    </xf>
    <xf numFmtId="168" fontId="23" fillId="0" borderId="17" xfId="2" applyNumberFormat="1" applyFont="1" applyBorder="1" applyAlignment="1" applyProtection="1">
      <alignment horizontal="right"/>
      <protection hidden="1"/>
    </xf>
    <xf numFmtId="171" fontId="23" fillId="0" borderId="16" xfId="2" applyNumberFormat="1" applyFont="1" applyBorder="1" applyAlignment="1" applyProtection="1">
      <alignment horizontal="left"/>
      <protection hidden="1"/>
    </xf>
    <xf numFmtId="168" fontId="23" fillId="0" borderId="0" xfId="2" applyNumberFormat="1" applyFont="1" applyBorder="1" applyAlignment="1" applyProtection="1">
      <alignment horizontal="right"/>
      <protection hidden="1"/>
    </xf>
    <xf numFmtId="0" fontId="24" fillId="0" borderId="0" xfId="0" applyFont="1" applyBorder="1"/>
    <xf numFmtId="171" fontId="23" fillId="0" borderId="17" xfId="2" applyNumberFormat="1" applyFont="1" applyBorder="1" applyAlignment="1" applyProtection="1">
      <alignment horizontal="left"/>
      <protection hidden="1"/>
    </xf>
    <xf numFmtId="0" fontId="0" fillId="0" borderId="5" xfId="0" applyFill="1" applyBorder="1"/>
    <xf numFmtId="0" fontId="25" fillId="0" borderId="0" xfId="0" applyFont="1"/>
    <xf numFmtId="0" fontId="6" fillId="0" borderId="8" xfId="0" applyFont="1" applyFill="1" applyBorder="1" applyProtection="1">
      <protection locked="0"/>
    </xf>
    <xf numFmtId="0" fontId="0" fillId="0" borderId="8" xfId="0" applyFill="1" applyBorder="1" applyProtection="1">
      <protection locked="0"/>
    </xf>
    <xf numFmtId="0" fontId="2" fillId="2" borderId="35" xfId="0" applyFont="1" applyFill="1" applyBorder="1" applyAlignment="1" applyProtection="1">
      <alignment horizontal="center" vertical="center"/>
      <protection locked="0"/>
    </xf>
    <xf numFmtId="0" fontId="2" fillId="2" borderId="11" xfId="0" applyFont="1" applyFill="1" applyBorder="1" applyAlignment="1" applyProtection="1">
      <alignment horizontal="center" vertical="center"/>
      <protection locked="0"/>
    </xf>
    <xf numFmtId="164" fontId="2" fillId="2" borderId="11" xfId="0" applyNumberFormat="1" applyFont="1" applyFill="1" applyBorder="1" applyAlignment="1" applyProtection="1">
      <alignment horizontal="center" vertical="center"/>
      <protection locked="0"/>
    </xf>
    <xf numFmtId="164" fontId="2" fillId="2" borderId="33" xfId="0" applyNumberFormat="1" applyFont="1" applyFill="1" applyBorder="1" applyAlignment="1" applyProtection="1">
      <alignment horizontal="center" vertical="center"/>
      <protection locked="0"/>
    </xf>
    <xf numFmtId="0" fontId="0" fillId="0" borderId="0" xfId="1" applyNumberFormat="1" applyFont="1" applyFill="1" applyBorder="1" applyAlignment="1" applyProtection="1">
      <alignment horizontal="left" vertical="center"/>
      <protection locked="0"/>
    </xf>
    <xf numFmtId="9" fontId="0" fillId="0" borderId="0" xfId="0" applyNumberFormat="1" applyBorder="1" applyProtection="1">
      <protection locked="0"/>
    </xf>
    <xf numFmtId="44" fontId="0" fillId="0" borderId="0" xfId="3" applyFont="1" applyBorder="1" applyProtection="1">
      <protection locked="0"/>
    </xf>
    <xf numFmtId="164" fontId="0" fillId="0" borderId="0" xfId="2" applyNumberFormat="1" applyFont="1" applyBorder="1" applyProtection="1">
      <protection locked="0"/>
    </xf>
    <xf numFmtId="0" fontId="26" fillId="0" borderId="8" xfId="0" applyFont="1" applyFill="1" applyBorder="1" applyProtection="1">
      <protection locked="0"/>
    </xf>
    <xf numFmtId="14" fontId="3" fillId="0" borderId="0" xfId="0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14" fontId="3" fillId="0" borderId="0" xfId="0" applyNumberFormat="1" applyFont="1"/>
    <xf numFmtId="0" fontId="3" fillId="0" borderId="0" xfId="0" applyFont="1"/>
    <xf numFmtId="166" fontId="0" fillId="0" borderId="0" xfId="2" applyNumberFormat="1" applyFont="1" applyBorder="1" applyProtection="1">
      <protection locked="0"/>
    </xf>
    <xf numFmtId="172" fontId="0" fillId="0" borderId="0" xfId="2" applyNumberFormat="1" applyFont="1" applyFill="1" applyBorder="1" applyAlignment="1" applyProtection="1">
      <alignment horizontal="right" vertical="center"/>
      <protection locked="0"/>
    </xf>
    <xf numFmtId="0" fontId="2" fillId="2" borderId="11" xfId="0" applyFont="1" applyFill="1" applyBorder="1" applyAlignment="1">
      <alignment horizontal="center" vertical="center"/>
    </xf>
    <xf numFmtId="164" fontId="2" fillId="2" borderId="11" xfId="0" applyNumberFormat="1" applyFont="1" applyFill="1" applyBorder="1" applyAlignment="1">
      <alignment horizontal="center" vertical="center"/>
    </xf>
    <xf numFmtId="164" fontId="3" fillId="2" borderId="0" xfId="0" applyNumberFormat="1" applyFont="1" applyFill="1" applyAlignment="1">
      <alignment horizontal="left" vertical="center"/>
    </xf>
    <xf numFmtId="0" fontId="12" fillId="2" borderId="0" xfId="0" applyFont="1" applyFill="1" applyAlignment="1">
      <alignment vertical="center"/>
    </xf>
    <xf numFmtId="164" fontId="0" fillId="2" borderId="0" xfId="0" applyNumberFormat="1" applyFont="1" applyFill="1" applyAlignment="1">
      <alignment vertical="center"/>
    </xf>
    <xf numFmtId="164" fontId="0" fillId="2" borderId="0" xfId="2" applyNumberFormat="1" applyFont="1" applyFill="1" applyAlignment="1">
      <alignment vertical="center"/>
    </xf>
    <xf numFmtId="0" fontId="0" fillId="2" borderId="0" xfId="0" applyFill="1" applyAlignment="1">
      <alignment vertical="center"/>
    </xf>
    <xf numFmtId="0" fontId="16" fillId="2" borderId="0" xfId="0" applyFont="1" applyFill="1" applyAlignment="1">
      <alignment vertical="center"/>
    </xf>
    <xf numFmtId="164" fontId="2" fillId="2" borderId="0" xfId="0" applyNumberFormat="1" applyFont="1" applyFill="1" applyAlignment="1">
      <alignment vertical="center"/>
    </xf>
    <xf numFmtId="0" fontId="17" fillId="2" borderId="0" xfId="0" applyFont="1" applyFill="1" applyAlignment="1">
      <alignment vertical="center"/>
    </xf>
    <xf numFmtId="43" fontId="17" fillId="2" borderId="0" xfId="2" applyFont="1" applyFill="1" applyAlignment="1">
      <alignment vertical="center"/>
    </xf>
    <xf numFmtId="43" fontId="3" fillId="2" borderId="0" xfId="0" applyNumberFormat="1" applyFont="1" applyFill="1" applyAlignment="1">
      <alignment vertical="center"/>
    </xf>
    <xf numFmtId="14" fontId="18" fillId="0" borderId="16" xfId="0" applyNumberFormat="1" applyFont="1" applyBorder="1" applyAlignment="1" applyProtection="1">
      <alignment horizontal="left"/>
      <protection hidden="1"/>
    </xf>
    <xf numFmtId="14" fontId="18" fillId="0" borderId="0" xfId="0" applyNumberFormat="1" applyFont="1" applyBorder="1" applyAlignment="1" applyProtection="1">
      <protection hidden="1"/>
    </xf>
    <xf numFmtId="14" fontId="18" fillId="0" borderId="17" xfId="0" applyNumberFormat="1" applyFont="1" applyBorder="1" applyAlignment="1" applyProtection="1">
      <protection hidden="1"/>
    </xf>
    <xf numFmtId="44" fontId="6" fillId="0" borderId="0" xfId="3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164" fontId="6" fillId="0" borderId="0" xfId="0" applyNumberFormat="1" applyFont="1" applyFill="1" applyBorder="1" applyAlignment="1">
      <alignment horizontal="center" vertical="center"/>
    </xf>
    <xf numFmtId="44" fontId="6" fillId="0" borderId="0" xfId="0" applyNumberFormat="1" applyFont="1" applyFill="1" applyBorder="1" applyAlignment="1">
      <alignment horizontal="center" vertical="center"/>
    </xf>
    <xf numFmtId="14" fontId="6" fillId="0" borderId="0" xfId="0" applyNumberFormat="1" applyFont="1" applyFill="1" applyBorder="1" applyAlignment="1">
      <alignment horizontal="center" vertical="center"/>
    </xf>
    <xf numFmtId="14" fontId="6" fillId="0" borderId="0" xfId="0" applyNumberFormat="1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164" fontId="0" fillId="0" borderId="0" xfId="0" applyNumberFormat="1"/>
    <xf numFmtId="2" fontId="0" fillId="0" borderId="0" xfId="0" applyNumberFormat="1"/>
    <xf numFmtId="9" fontId="0" fillId="0" borderId="0" xfId="0" applyNumberFormat="1"/>
    <xf numFmtId="7" fontId="20" fillId="0" borderId="0" xfId="2" applyNumberFormat="1" applyFont="1" applyBorder="1" applyAlignment="1" applyProtection="1">
      <alignment horizontal="left"/>
      <protection hidden="1"/>
    </xf>
    <xf numFmtId="166" fontId="2" fillId="2" borderId="11" xfId="2" applyNumberFormat="1" applyFont="1" applyFill="1" applyBorder="1" applyAlignment="1">
      <alignment horizontal="center" vertical="center"/>
    </xf>
    <xf numFmtId="166" fontId="6" fillId="0" borderId="0" xfId="2" applyNumberFormat="1" applyFont="1" applyFill="1" applyBorder="1" applyAlignment="1">
      <alignment horizontal="center" vertical="center"/>
    </xf>
    <xf numFmtId="166" fontId="0" fillId="0" borderId="0" xfId="2" applyNumberFormat="1" applyFont="1"/>
    <xf numFmtId="166" fontId="2" fillId="2" borderId="11" xfId="0" applyNumberFormat="1" applyFont="1" applyFill="1" applyBorder="1" applyAlignment="1">
      <alignment horizontal="center" vertical="center"/>
    </xf>
    <xf numFmtId="166" fontId="6" fillId="0" borderId="0" xfId="0" applyNumberFormat="1" applyFont="1" applyFill="1" applyBorder="1" applyAlignment="1">
      <alignment horizontal="center" vertical="center"/>
    </xf>
    <xf numFmtId="166" fontId="0" fillId="0" borderId="0" xfId="0" applyNumberFormat="1"/>
    <xf numFmtId="173" fontId="0" fillId="0" borderId="4" xfId="0" quotePrefix="1" applyNumberFormat="1" applyBorder="1"/>
    <xf numFmtId="49" fontId="0" fillId="0" borderId="1" xfId="0" applyNumberFormat="1" applyBorder="1" applyAlignment="1">
      <alignment wrapText="1"/>
    </xf>
    <xf numFmtId="0" fontId="0" fillId="2" borderId="13" xfId="1" applyNumberFormat="1" applyFont="1" applyFill="1" applyBorder="1" applyAlignment="1">
      <alignment horizontal="left" vertical="center"/>
    </xf>
    <xf numFmtId="0" fontId="14" fillId="2" borderId="0" xfId="0" applyFont="1" applyFill="1" applyBorder="1" applyProtection="1">
      <protection locked="0" hidden="1"/>
    </xf>
    <xf numFmtId="165" fontId="15" fillId="2" borderId="0" xfId="2" applyNumberFormat="1" applyFont="1" applyFill="1" applyBorder="1" applyProtection="1">
      <protection hidden="1"/>
    </xf>
    <xf numFmtId="164" fontId="15" fillId="2" borderId="0" xfId="0" applyNumberFormat="1" applyFont="1" applyFill="1" applyBorder="1" applyProtection="1">
      <protection hidden="1"/>
    </xf>
    <xf numFmtId="164" fontId="15" fillId="2" borderId="0" xfId="3" applyNumberFormat="1" applyFont="1" applyFill="1" applyBorder="1" applyProtection="1">
      <protection hidden="1"/>
    </xf>
    <xf numFmtId="166" fontId="15" fillId="2" borderId="0" xfId="2" applyNumberFormat="1" applyFont="1" applyFill="1" applyBorder="1" applyAlignment="1" applyProtection="1">
      <alignment horizontal="center" vertical="center"/>
      <protection hidden="1"/>
    </xf>
    <xf numFmtId="0" fontId="28" fillId="2" borderId="36" xfId="0" applyFont="1" applyFill="1" applyBorder="1" applyAlignment="1" applyProtection="1">
      <alignment horizontal="center" vertical="center"/>
      <protection hidden="1"/>
    </xf>
    <xf numFmtId="0" fontId="28" fillId="2" borderId="0" xfId="0" applyFont="1" applyFill="1" applyBorder="1" applyAlignment="1" applyProtection="1">
      <alignment horizontal="center" vertical="center"/>
      <protection hidden="1"/>
    </xf>
    <xf numFmtId="0" fontId="12" fillId="0" borderId="0" xfId="0" applyFont="1" applyProtection="1">
      <protection locked="0"/>
    </xf>
    <xf numFmtId="0" fontId="0" fillId="3" borderId="13" xfId="1" applyNumberFormat="1" applyFont="1" applyFill="1" applyBorder="1" applyAlignment="1" applyProtection="1">
      <alignment horizontal="left" vertical="center"/>
      <protection locked="0"/>
    </xf>
    <xf numFmtId="0" fontId="0" fillId="0" borderId="13" xfId="1" applyNumberFormat="1" applyFont="1" applyBorder="1" applyAlignment="1" applyProtection="1">
      <alignment horizontal="left" vertical="center"/>
      <protection locked="0"/>
    </xf>
    <xf numFmtId="0" fontId="12" fillId="3" borderId="13" xfId="1" applyNumberFormat="1" applyFont="1" applyFill="1" applyBorder="1" applyAlignment="1" applyProtection="1">
      <alignment horizontal="center" vertical="center"/>
      <protection locked="0"/>
    </xf>
    <xf numFmtId="0" fontId="12" fillId="0" borderId="13" xfId="1" applyNumberFormat="1" applyFont="1" applyBorder="1" applyAlignment="1" applyProtection="1">
      <alignment horizontal="center" vertical="center"/>
      <protection locked="0"/>
    </xf>
    <xf numFmtId="0" fontId="12" fillId="4" borderId="0" xfId="0" applyFont="1" applyFill="1" applyAlignment="1" applyProtection="1">
      <alignment horizontal="center" vertical="center"/>
      <protection locked="0"/>
    </xf>
    <xf numFmtId="164" fontId="0" fillId="4" borderId="0" xfId="0" applyNumberFormat="1" applyFont="1" applyFill="1" applyAlignment="1" applyProtection="1">
      <alignment vertical="center"/>
      <protection locked="0"/>
    </xf>
    <xf numFmtId="164" fontId="0" fillId="4" borderId="0" xfId="2" applyNumberFormat="1" applyFont="1" applyFill="1" applyAlignment="1" applyProtection="1">
      <alignment vertical="center"/>
      <protection locked="0"/>
    </xf>
    <xf numFmtId="0" fontId="0" fillId="4" borderId="0" xfId="0" applyFont="1" applyFill="1" applyAlignment="1" applyProtection="1">
      <alignment horizontal="center" vertical="center"/>
      <protection locked="0"/>
    </xf>
    <xf numFmtId="14" fontId="6" fillId="0" borderId="0" xfId="0" applyNumberFormat="1" applyFont="1" applyFill="1"/>
    <xf numFmtId="0" fontId="6" fillId="0" borderId="0" xfId="0" applyFont="1" applyFill="1"/>
    <xf numFmtId="0" fontId="0" fillId="0" borderId="0" xfId="0" applyAlignment="1" applyProtection="1">
      <alignment horizontal="left"/>
      <protection locked="0"/>
    </xf>
    <xf numFmtId="0" fontId="0" fillId="0" borderId="0" xfId="0" applyFont="1" applyAlignment="1" applyProtection="1">
      <alignment horizontal="left"/>
      <protection locked="0"/>
    </xf>
    <xf numFmtId="0" fontId="21" fillId="0" borderId="33" xfId="0" applyFont="1" applyBorder="1" applyAlignment="1">
      <alignment horizontal="center"/>
    </xf>
    <xf numFmtId="0" fontId="21" fillId="0" borderId="34" xfId="0" applyFont="1" applyBorder="1" applyAlignment="1">
      <alignment horizontal="center"/>
    </xf>
    <xf numFmtId="0" fontId="21" fillId="0" borderId="35" xfId="0" applyFont="1" applyBorder="1" applyAlignment="1">
      <alignment horizontal="center"/>
    </xf>
    <xf numFmtId="0" fontId="18" fillId="5" borderId="14" xfId="0" applyFont="1" applyFill="1" applyBorder="1" applyAlignment="1" applyProtection="1">
      <alignment horizontal="center" vertical="center" wrapText="1"/>
      <protection hidden="1"/>
    </xf>
    <xf numFmtId="0" fontId="18" fillId="5" borderId="12" xfId="0" applyFont="1" applyFill="1" applyBorder="1" applyAlignment="1" applyProtection="1">
      <alignment horizontal="center" vertical="center" wrapText="1"/>
      <protection hidden="1"/>
    </xf>
    <xf numFmtId="0" fontId="18" fillId="5" borderId="15" xfId="0" applyFont="1" applyFill="1" applyBorder="1" applyAlignment="1" applyProtection="1">
      <alignment horizontal="center" vertical="center" wrapText="1"/>
      <protection hidden="1"/>
    </xf>
    <xf numFmtId="0" fontId="18" fillId="5" borderId="16" xfId="0" applyFont="1" applyFill="1" applyBorder="1" applyAlignment="1" applyProtection="1">
      <alignment horizontal="center" vertical="center" wrapText="1"/>
      <protection hidden="1"/>
    </xf>
    <xf numFmtId="0" fontId="18" fillId="5" borderId="0" xfId="0" applyFont="1" applyFill="1" applyBorder="1" applyAlignment="1" applyProtection="1">
      <alignment horizontal="center" vertical="center" wrapText="1"/>
      <protection hidden="1"/>
    </xf>
    <xf numFmtId="0" fontId="18" fillId="5" borderId="17" xfId="0" applyFont="1" applyFill="1" applyBorder="1" applyAlignment="1" applyProtection="1">
      <alignment horizontal="center" vertical="center" wrapText="1"/>
      <protection hidden="1"/>
    </xf>
    <xf numFmtId="0" fontId="18" fillId="5" borderId="18" xfId="0" applyFont="1" applyFill="1" applyBorder="1" applyAlignment="1" applyProtection="1">
      <alignment horizontal="center" vertical="center" wrapText="1"/>
      <protection hidden="1"/>
    </xf>
    <xf numFmtId="0" fontId="18" fillId="5" borderId="19" xfId="0" applyFont="1" applyFill="1" applyBorder="1" applyAlignment="1" applyProtection="1">
      <alignment horizontal="center" vertical="center" wrapText="1"/>
      <protection hidden="1"/>
    </xf>
    <xf numFmtId="0" fontId="18" fillId="5" borderId="20" xfId="0" applyFont="1" applyFill="1" applyBorder="1" applyAlignment="1" applyProtection="1">
      <alignment horizontal="center" vertical="center" wrapText="1"/>
      <protection hidden="1"/>
    </xf>
    <xf numFmtId="0" fontId="19" fillId="0" borderId="21" xfId="0" applyFont="1" applyBorder="1" applyAlignment="1">
      <alignment horizontal="center"/>
    </xf>
    <xf numFmtId="0" fontId="19" fillId="0" borderId="22" xfId="0" applyFont="1" applyBorder="1" applyAlignment="1">
      <alignment horizontal="center"/>
    </xf>
    <xf numFmtId="0" fontId="19" fillId="0" borderId="23" xfId="0" applyFont="1" applyBorder="1" applyAlignment="1">
      <alignment horizontal="center"/>
    </xf>
    <xf numFmtId="0" fontId="18" fillId="4" borderId="16" xfId="0" applyFont="1" applyFill="1" applyBorder="1" applyAlignment="1" applyProtection="1">
      <alignment horizontal="center"/>
      <protection hidden="1"/>
    </xf>
    <xf numFmtId="0" fontId="18" fillId="4" borderId="0" xfId="0" applyFont="1" applyFill="1" applyBorder="1" applyAlignment="1" applyProtection="1">
      <alignment horizontal="center"/>
      <protection hidden="1"/>
    </xf>
    <xf numFmtId="0" fontId="18" fillId="4" borderId="17" xfId="0" applyFont="1" applyFill="1" applyBorder="1" applyAlignment="1" applyProtection="1">
      <alignment horizontal="center"/>
      <protection hidden="1"/>
    </xf>
    <xf numFmtId="0" fontId="18" fillId="5" borderId="16" xfId="0" applyFont="1" applyFill="1" applyBorder="1" applyAlignment="1" applyProtection="1">
      <alignment horizontal="center"/>
      <protection hidden="1"/>
    </xf>
    <xf numFmtId="0" fontId="18" fillId="5" borderId="0" xfId="0" applyFont="1" applyFill="1" applyBorder="1" applyAlignment="1" applyProtection="1">
      <alignment horizontal="center"/>
      <protection hidden="1"/>
    </xf>
    <xf numFmtId="0" fontId="18" fillId="5" borderId="17" xfId="0" applyFont="1" applyFill="1" applyBorder="1" applyAlignment="1" applyProtection="1">
      <alignment horizontal="center"/>
      <protection hidden="1"/>
    </xf>
    <xf numFmtId="0" fontId="6" fillId="0" borderId="9" xfId="0" applyFont="1" applyFill="1" applyBorder="1" applyAlignment="1">
      <alignment horizontal="left"/>
    </xf>
    <xf numFmtId="0" fontId="6" fillId="0" borderId="10" xfId="0" applyFont="1" applyFill="1" applyBorder="1" applyAlignment="1">
      <alignment horizontal="left"/>
    </xf>
    <xf numFmtId="0" fontId="4" fillId="2" borderId="0" xfId="0" applyFont="1" applyFill="1" applyAlignment="1">
      <alignment horizontal="center" vertical="center"/>
    </xf>
  </cellXfs>
  <cellStyles count="5">
    <cellStyle name="Milliers" xfId="2" builtinId="3"/>
    <cellStyle name="Monétaire" xfId="3" builtinId="4"/>
    <cellStyle name="NiveauLigne_4" xfId="1" builtinId="1" iLevel="3"/>
    <cellStyle name="Normal" xfId="0" builtinId="0"/>
    <cellStyle name="Pourcentage" xfId="4" builtinId="5"/>
  </cellStyles>
  <dxfs count="49">
    <dxf>
      <font>
        <b/>
        <i val="0"/>
        <color rgb="FFFF0000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FFC7CE"/>
        </patternFill>
      </fill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</dxf>
    <dxf>
      <border outline="0">
        <top style="thin">
          <color auto="1"/>
        </top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_-* #,##0\ _€_-;\-* #,##0\ _€_-;_-* &quot;-&quot;??\ _€_-;_-@_-"/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_-* #,##0\ _€_-;\-* #,##0\ _€_-;_-* &quot;-&quot;??\ _€_-;_-@_-"/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</dxf>
    <dxf>
      <border outline="0">
        <top style="thin">
          <color auto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protection locked="0" hidden="0"/>
    </dxf>
    <dxf>
      <protection locked="0" hidden="0"/>
    </dxf>
    <dxf>
      <protection locked="0" hidden="0"/>
    </dxf>
    <dxf>
      <numFmt numFmtId="164" formatCode="_-* #,##0.00\ [$€-40C]_-;\-* #,##0.00\ [$€-40C]_-;_-* &quot;-&quot;??\ [$€-40C]_-;_-@_-"/>
      <protection locked="0" hidden="0"/>
    </dxf>
    <dxf>
      <numFmt numFmtId="166" formatCode="_-* #,##0\ _€_-;\-* #,##0\ _€_-;_-* &quot;-&quot;??\ _€_-;_-@_-"/>
      <protection locked="0" hidden="0"/>
    </dxf>
    <dxf>
      <numFmt numFmtId="166" formatCode="_-* #,##0\ _€_-;\-* #,##0\ _€_-;_-* &quot;-&quot;??\ _€_-;_-@_-"/>
      <protection locked="0" hidden="0"/>
    </dxf>
    <dxf>
      <numFmt numFmtId="166" formatCode="_-* #,##0\ _€_-;\-* #,##0\ _€_-;_-* &quot;-&quot;??\ _€_-;_-@_-"/>
      <protection locked="0" hidden="0"/>
    </dxf>
    <dxf>
      <numFmt numFmtId="166" formatCode="_-* #,##0\ _€_-;\-* #,##0\ _€_-;_-* &quot;-&quot;??\ _€_-;_-@_-"/>
      <protection locked="0" hidden="0"/>
    </dxf>
    <dxf>
      <numFmt numFmtId="166" formatCode="_-* #,##0\ _€_-;\-* #,##0\ _€_-;_-* &quot;-&quot;??\ _€_-;_-@_-"/>
      <protection locked="0" hidden="0"/>
    </dxf>
    <dxf>
      <protection locked="0" hidden="0"/>
    </dxf>
    <dxf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72" formatCode="_-* #,##0.000\ _€_-;\-* #,##0.000\ _€_-;_-* &quot;-&quot;??\ _€_-;_-@_-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72" formatCode="_-* #,##0.000\ _€_-;\-* #,##0.000\ _€_-;_-* &quot;-&quot;??\ _€_-;_-@_-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0" hidden="0"/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protection locked="0" hidden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4" formatCode="_-* #,##0.00\ [$€-40C]_-;\-* #,##0.00\ [$€-40C]_-;_-* &quot;-&quot;??\ [$€-40C]_-;_-@_-"/>
      <fill>
        <patternFill patternType="solid">
          <fgColor indexed="64"/>
          <bgColor theme="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</border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466344</xdr:colOff>
      <xdr:row>16</xdr:row>
      <xdr:rowOff>83820</xdr:rowOff>
    </xdr:from>
    <xdr:to>
      <xdr:col>4</xdr:col>
      <xdr:colOff>582168</xdr:colOff>
      <xdr:row>18</xdr:row>
      <xdr:rowOff>7620</xdr:rowOff>
    </xdr:to>
    <xdr:sp macro="[0]!Archiv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3246120" y="3375660"/>
          <a:ext cx="908304" cy="307848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 b="1"/>
            <a:t>Archiver</a:t>
          </a:r>
        </a:p>
      </xdr:txBody>
    </xdr:sp>
    <xdr:clientData/>
  </xdr:twoCellAnchor>
  <xdr:twoCellAnchor>
    <xdr:from>
      <xdr:col>5</xdr:col>
      <xdr:colOff>126492</xdr:colOff>
      <xdr:row>16</xdr:row>
      <xdr:rowOff>89916</xdr:rowOff>
    </xdr:from>
    <xdr:to>
      <xdr:col>6</xdr:col>
      <xdr:colOff>263652</xdr:colOff>
      <xdr:row>18</xdr:row>
      <xdr:rowOff>13716</xdr:rowOff>
    </xdr:to>
    <xdr:sp macro="[0]!Reset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4491228" y="3381756"/>
          <a:ext cx="929640" cy="307848"/>
        </a:xfrm>
        <a:prstGeom prst="roundRect">
          <a:avLst/>
        </a:prstGeom>
        <a:solidFill>
          <a:schemeClr val="accent2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 b="1"/>
            <a:t>Reset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</xdr:row>
      <xdr:rowOff>0</xdr:rowOff>
    </xdr:from>
    <xdr:to>
      <xdr:col>8</xdr:col>
      <xdr:colOff>262128</xdr:colOff>
      <xdr:row>4</xdr:row>
      <xdr:rowOff>124968</xdr:rowOff>
    </xdr:to>
    <xdr:sp macro="[0]!Archiv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660DBE1-2074-4F01-A406-2A956F0B7A12}"/>
            </a:ext>
          </a:extLst>
        </xdr:cNvPr>
        <xdr:cNvSpPr/>
      </xdr:nvSpPr>
      <xdr:spPr>
        <a:xfrm>
          <a:off x="5547360" y="548640"/>
          <a:ext cx="1054608" cy="307848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 b="1"/>
            <a:t>Archiver</a:t>
          </a:r>
        </a:p>
      </xdr:txBody>
    </xdr:sp>
    <xdr:clientData/>
  </xdr:twoCellAnchor>
  <xdr:twoCellAnchor>
    <xdr:from>
      <xdr:col>7</xdr:col>
      <xdr:colOff>0</xdr:colOff>
      <xdr:row>6</xdr:row>
      <xdr:rowOff>0</xdr:rowOff>
    </xdr:from>
    <xdr:to>
      <xdr:col>8</xdr:col>
      <xdr:colOff>137160</xdr:colOff>
      <xdr:row>7</xdr:row>
      <xdr:rowOff>124968</xdr:rowOff>
    </xdr:to>
    <xdr:sp macro="[0]!Rese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3702A4C1-7EE1-46E5-B78B-A8F3CDCD203D}"/>
            </a:ext>
          </a:extLst>
        </xdr:cNvPr>
        <xdr:cNvSpPr/>
      </xdr:nvSpPr>
      <xdr:spPr>
        <a:xfrm>
          <a:off x="5547360" y="1097280"/>
          <a:ext cx="929640" cy="307848"/>
        </a:xfrm>
        <a:prstGeom prst="roundRect">
          <a:avLst/>
        </a:prstGeom>
        <a:solidFill>
          <a:schemeClr val="accent2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 b="1"/>
            <a:t>Reset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106680</xdr:colOff>
          <xdr:row>4</xdr:row>
          <xdr:rowOff>68580</xdr:rowOff>
        </xdr:from>
        <xdr:to>
          <xdr:col>7</xdr:col>
          <xdr:colOff>693420</xdr:colOff>
          <xdr:row>7</xdr:row>
          <xdr:rowOff>160020</xdr:rowOff>
        </xdr:to>
        <xdr:sp macro="" textlink="">
          <xdr:nvSpPr>
            <xdr:cNvPr id="4104" name="Button 8" hidden="1">
              <a:extLst>
                <a:ext uri="{63B3BB69-23CF-44E3-9099-C40C66FF867C}">
                  <a14:compatExt spid="_x0000_s4104"/>
                </a:ext>
                <a:ext uri="{FF2B5EF4-FFF2-40B4-BE49-F238E27FC236}">
                  <a16:creationId xmlns:a16="http://schemas.microsoft.com/office/drawing/2014/main" id="{00000000-0008-0000-0300-00000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500" b="1" i="0" u="none" strike="noStrike" baseline="0">
                  <a:solidFill>
                    <a:srgbClr val="003366"/>
                  </a:solidFill>
                  <a:latin typeface="Calibri"/>
                  <a:cs typeface="Calibri"/>
                </a:rPr>
                <a:t>Reassort </a:t>
              </a:r>
            </a:p>
            <a:p>
              <a:pPr algn="ctr" rtl="0">
                <a:defRPr sz="1000"/>
              </a:pPr>
              <a:r>
                <a:rPr lang="fr-FR" sz="1500" b="1" i="0" u="none" strike="noStrike" baseline="0">
                  <a:solidFill>
                    <a:srgbClr val="003366"/>
                  </a:solidFill>
                  <a:latin typeface="Calibri"/>
                  <a:cs typeface="Calibri"/>
                </a:rPr>
                <a:t>Destockage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Stock" displayName="Stock" ref="A13:O17" totalsRowShown="0" headerRowDxfId="48" dataDxfId="46" headerRowBorderDxfId="47" tableBorderDxfId="45">
  <autoFilter ref="A13:O17" xr:uid="{00000000-0009-0000-0100-000002000000}"/>
  <tableColumns count="15">
    <tableColumn id="1" xr3:uid="{00000000-0010-0000-0100-000001000000}" name="Produits" dataDxfId="44" dataCellStyle="NiveauLigne_4"/>
    <tableColumn id="2" xr3:uid="{00000000-0010-0000-0100-000002000000}" name="Nom" dataDxfId="43" dataCellStyle="NiveauLigne_4"/>
    <tableColumn id="3" xr3:uid="{00000000-0010-0000-0100-000003000000}" name="Prix A HT" dataDxfId="42" dataCellStyle="Milliers"/>
    <tableColumn id="4" xr3:uid="{00000000-0010-0000-0100-000004000000}" name="Prix U HT" dataDxfId="41" dataCellStyle="Milliers"/>
    <tableColumn id="5" xr3:uid="{00000000-0010-0000-0100-000005000000}" name="TVA" dataDxfId="40"/>
    <tableColumn id="6" xr3:uid="{00000000-0010-0000-0100-000006000000}" name="Prix U TTC" dataDxfId="39" dataCellStyle="Monétaire">
      <calculatedColumnFormula>+Stock[[#This Row],[TVA]]*Stock[[#This Row],[Prix U HT]]+Stock[[#This Row],[Prix U HT]]</calculatedColumnFormula>
    </tableColumn>
    <tableColumn id="7" xr3:uid="{00000000-0010-0000-0100-000007000000}" name="Stock I" dataDxfId="38" dataCellStyle="Milliers"/>
    <tableColumn id="8" xr3:uid="{00000000-0010-0000-0100-000008000000}" name="Entrée" dataDxfId="37" dataCellStyle="Milliers">
      <calculatedColumnFormula>+SUMIFS(journal[[#All],[Entrée]],journal[[#All],[Ref]],A14)</calculatedColumnFormula>
    </tableColumn>
    <tableColumn id="9" xr3:uid="{00000000-0010-0000-0100-000009000000}" name="Sortie" dataDxfId="36" dataCellStyle="Milliers">
      <calculatedColumnFormula>+SUMIFS(journal[[#All],[Sortie]],journal[[#All],[Ref]],A14)</calculatedColumnFormula>
    </tableColumn>
    <tableColumn id="10" xr3:uid="{00000000-0010-0000-0100-00000A000000}" name="Destockage" dataDxfId="35" dataCellStyle="Milliers">
      <calculatedColumnFormula>+SUMIFS(journal[[#All],[Destockage]],journal[[#All],[Ref]],A14)</calculatedColumnFormula>
    </tableColumn>
    <tableColumn id="11" xr3:uid="{00000000-0010-0000-0100-00000B000000}" name="Stock F" dataDxfId="34" dataCellStyle="Milliers">
      <calculatedColumnFormula>+Stock[[#This Row],[Stock I]]+Stock[[#This Row],[Entrée]]-Stock[[#This Row],[Sortie]]-Stock[[#This Row],[Destockage]]</calculatedColumnFormula>
    </tableColumn>
    <tableColumn id="12" xr3:uid="{00000000-0010-0000-0100-00000C000000}" name="V S I HT" dataDxfId="33" dataCellStyle="Milliers">
      <calculatedColumnFormula>+Stock[[#This Row],[Stock I]]*Stock[[#This Row],[Prix A HT]]</calculatedColumnFormula>
    </tableColumn>
    <tableColumn id="13" xr3:uid="{00000000-0010-0000-0100-00000D000000}" name="V S F HT" dataDxfId="32" dataCellStyle="Monétaire">
      <calculatedColumnFormula>+Stock[[#This Row],[Stock F]]*Stock[[#This Row],[Prix A HT]]</calculatedColumnFormula>
    </tableColumn>
    <tableColumn id="14" xr3:uid="{00000000-0010-0000-0100-00000E000000}" name="Total V HT" dataDxfId="31" dataCellStyle="Monétaire">
      <calculatedColumnFormula>+Stock[[#This Row],[Stock F]]*Stock[[#This Row],[Prix U HT]]</calculatedColumnFormula>
    </tableColumn>
    <tableColumn id="15" xr3:uid="{00000000-0010-0000-0100-00000F000000}" name="Total V TTC" dataDxfId="30" dataCellStyle="Monétaire">
      <calculatedColumnFormula>+Stock[[#This Row],[Stock F]]*Stock[[#This Row],[Prix U TTC]]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B640A83-0A10-4E71-B6ED-FE202E15FDD1}" name="T_Archives" displayName="T_Archives" ref="A1:M3" totalsRowShown="0" headerRowDxfId="29" dataDxfId="27" headerRowBorderDxfId="28" tableBorderDxfId="26" dataCellStyle="Monétaire">
  <autoFilter ref="A1:M3" xr:uid="{6EFEFC3E-055E-4092-A654-31578A67F90D}"/>
  <tableColumns count="13">
    <tableColumn id="1" xr3:uid="{E0BC80E9-70A3-4375-AC45-A9D827BA27A4}" name="Date" dataDxfId="25"/>
    <tableColumn id="2" xr3:uid="{C3BE64F6-D95D-4406-9C08-C784C6C77307}" name="Fdv" dataDxfId="24"/>
    <tableColumn id="3" xr3:uid="{B199CCFD-CC36-4305-B50E-41C821E802B0}" name="Ref" dataDxfId="23" dataCellStyle="Milliers"/>
    <tableColumn id="4" xr3:uid="{F1845CEB-3F4E-418E-AAF8-A0BF9EC58462}" name="Quantité" dataDxfId="22"/>
    <tableColumn id="5" xr3:uid="{26BA3CF1-EEE8-476C-B79B-2BDF575808F1}" name="Prix U TTC" dataDxfId="21"/>
    <tableColumn id="6" xr3:uid="{376C9234-91D2-43EB-81F9-F2449A73E061}" name="Plateforme" dataDxfId="20"/>
    <tableColumn id="7" xr3:uid="{624280DB-AD0E-4992-9A39-8BFB200C2EAA}" name="N° de commande" dataDxfId="19"/>
    <tableColumn id="8" xr3:uid="{57607F54-6045-4436-BDFF-EFF8AC5040B9}" name="TVA Applicable" dataDxfId="18"/>
    <tableColumn id="9" xr3:uid="{8570092B-21C7-480E-A844-C0872978BB03}" name="Réduction" dataDxfId="17" dataCellStyle="Monétaire"/>
    <tableColumn id="10" xr3:uid="{413FF430-EC3C-4438-8704-5DD8E0809E32}" name="Frais de Port" dataDxfId="16" dataCellStyle="Monétaire"/>
    <tableColumn id="11" xr3:uid="{FC28B99D-8FEB-4EB4-81E9-BDC75E8CE080}" name="Transporteur" dataDxfId="15"/>
    <tableColumn id="12" xr3:uid="{5D1D5FD4-6B49-471A-AF93-34FDEDA9A5D0}" name="Règlement" dataDxfId="14"/>
    <tableColumn id="13" xr3:uid="{7E15A3C8-B1A3-4B21-91F2-8B532C492E00}" name="TOTAL PAYE" dataDxfId="13" dataCellStyle="Monétair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journal" displayName="journal" ref="A1:G7" totalsRowShown="0" headerRowDxfId="12" dataDxfId="10" headerRowBorderDxfId="11" tableBorderDxfId="9">
  <autoFilter ref="A1:G7" xr:uid="{00000000-0009-0000-0100-000003000000}"/>
  <tableColumns count="7">
    <tableColumn id="1" xr3:uid="{00000000-0010-0000-0000-000001000000}" name="Date" dataDxfId="8"/>
    <tableColumn id="2" xr3:uid="{00000000-0010-0000-0000-000002000000}" name="FdV" dataDxfId="7"/>
    <tableColumn id="3" xr3:uid="{00000000-0010-0000-0000-000003000000}" name="Ref" dataDxfId="6"/>
    <tableColumn id="4" xr3:uid="{00000000-0010-0000-0000-000004000000}" name="Entrée" dataDxfId="5"/>
    <tableColumn id="5" xr3:uid="{00000000-0010-0000-0000-000005000000}" name="Sortie" dataDxfId="4"/>
    <tableColumn id="6" xr3:uid="{00000000-0010-0000-0000-000006000000}" name="Destockage" dataDxfId="3"/>
    <tableColumn id="7" xr3:uid="{00000000-0010-0000-0000-000007000000}" name="Description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comments" Target="../comments1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7"/>
  <sheetViews>
    <sheetView showRowColHeaders="0" workbookViewId="0">
      <selection activeCell="M2" sqref="M2"/>
    </sheetView>
  </sheetViews>
  <sheetFormatPr baseColWidth="10" defaultRowHeight="14.4" x14ac:dyDescent="0.3"/>
  <cols>
    <col min="2" max="2" width="18.44140625" bestFit="1" customWidth="1"/>
    <col min="3" max="3" width="1.88671875" customWidth="1"/>
    <col min="5" max="5" width="4.44140625" bestFit="1" customWidth="1"/>
    <col min="6" max="6" width="1.6640625" customWidth="1"/>
    <col min="7" max="7" width="14.6640625" bestFit="1" customWidth="1"/>
    <col min="8" max="8" width="2.33203125" customWidth="1"/>
    <col min="10" max="10" width="4" customWidth="1"/>
    <col min="11" max="11" width="12.5546875" bestFit="1" customWidth="1"/>
  </cols>
  <sheetData>
    <row r="1" spans="1:11" x14ac:dyDescent="0.3">
      <c r="A1" s="8" t="s">
        <v>22</v>
      </c>
      <c r="B1" s="7" t="s">
        <v>85</v>
      </c>
      <c r="D1" s="4" t="s">
        <v>21</v>
      </c>
      <c r="E1" s="6">
        <v>0.2</v>
      </c>
      <c r="G1" s="3" t="s">
        <v>20</v>
      </c>
      <c r="I1" s="3" t="s">
        <v>19</v>
      </c>
      <c r="K1" s="3" t="s">
        <v>18</v>
      </c>
    </row>
    <row r="2" spans="1:11" x14ac:dyDescent="0.3">
      <c r="A2" s="4" t="s">
        <v>17</v>
      </c>
      <c r="B2" s="5" t="s">
        <v>86</v>
      </c>
      <c r="D2" s="4" t="s">
        <v>16</v>
      </c>
      <c r="E2" s="6">
        <v>0.2</v>
      </c>
      <c r="G2" s="3" t="s">
        <v>15</v>
      </c>
      <c r="I2" s="3" t="s">
        <v>14</v>
      </c>
      <c r="K2" s="3" t="s">
        <v>13</v>
      </c>
    </row>
    <row r="3" spans="1:11" x14ac:dyDescent="0.3">
      <c r="A3" s="4" t="s">
        <v>12</v>
      </c>
      <c r="B3" s="5" t="s">
        <v>87</v>
      </c>
      <c r="D3" s="4" t="s">
        <v>84</v>
      </c>
      <c r="E3" s="6">
        <v>0</v>
      </c>
      <c r="G3" s="3" t="s">
        <v>11</v>
      </c>
      <c r="I3" s="3" t="s">
        <v>10</v>
      </c>
      <c r="K3" s="3" t="s">
        <v>9</v>
      </c>
    </row>
    <row r="4" spans="1:11" x14ac:dyDescent="0.3">
      <c r="A4" s="4" t="s">
        <v>8</v>
      </c>
      <c r="B4" s="5" t="s">
        <v>8</v>
      </c>
      <c r="D4" s="4" t="s">
        <v>7</v>
      </c>
      <c r="E4" s="6">
        <v>0</v>
      </c>
      <c r="G4" s="3" t="s">
        <v>6</v>
      </c>
      <c r="I4" s="3" t="s">
        <v>5</v>
      </c>
      <c r="K4" s="3" t="s">
        <v>4</v>
      </c>
    </row>
    <row r="5" spans="1:11" x14ac:dyDescent="0.3">
      <c r="A5" s="4" t="s">
        <v>3</v>
      </c>
      <c r="B5" s="5" t="s">
        <v>3</v>
      </c>
      <c r="D5" s="73"/>
      <c r="G5" s="3"/>
      <c r="I5" s="3" t="s">
        <v>2</v>
      </c>
      <c r="K5" s="3"/>
    </row>
    <row r="6" spans="1:11" x14ac:dyDescent="0.3">
      <c r="A6" s="4" t="s">
        <v>1</v>
      </c>
      <c r="B6" s="124" t="s">
        <v>88</v>
      </c>
      <c r="I6" s="3"/>
      <c r="K6" s="3"/>
    </row>
    <row r="7" spans="1:11" ht="15" thickBot="1" x14ac:dyDescent="0.35">
      <c r="A7" s="2" t="s">
        <v>0</v>
      </c>
      <c r="B7" s="125" t="s">
        <v>89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M20"/>
  <sheetViews>
    <sheetView showGridLines="0" showRowColHeaders="0" zoomScale="125" zoomScaleNormal="125" workbookViewId="0">
      <selection activeCell="B17" sqref="B17"/>
    </sheetView>
  </sheetViews>
  <sheetFormatPr baseColWidth="10" defaultRowHeight="14.4" x14ac:dyDescent="0.3"/>
  <cols>
    <col min="2" max="2" width="17.44140625" customWidth="1"/>
    <col min="3" max="3" width="8.88671875" customWidth="1"/>
    <col min="4" max="4" width="13.6640625" bestFit="1" customWidth="1"/>
    <col min="5" max="5" width="10.21875" bestFit="1" customWidth="1"/>
    <col min="7" max="7" width="14.109375" bestFit="1" customWidth="1"/>
    <col min="8" max="8" width="3.88671875" customWidth="1"/>
    <col min="9" max="9" width="16.44140625" bestFit="1" customWidth="1"/>
    <col min="10" max="10" width="13.5546875" customWidth="1"/>
    <col min="11" max="11" width="1.6640625" customWidth="1"/>
    <col min="12" max="12" width="5.33203125" customWidth="1"/>
  </cols>
  <sheetData>
    <row r="1" spans="1:13" ht="15.6" x14ac:dyDescent="0.3">
      <c r="A1" s="20" t="s">
        <v>57</v>
      </c>
      <c r="B1" s="1" t="s">
        <v>58</v>
      </c>
      <c r="C1" s="1"/>
      <c r="D1" s="9"/>
      <c r="E1" s="9"/>
      <c r="F1" s="9"/>
      <c r="G1" s="9"/>
      <c r="H1" s="9"/>
      <c r="I1" s="29"/>
      <c r="J1" s="9"/>
      <c r="K1" s="9"/>
      <c r="L1" s="9"/>
    </row>
    <row r="2" spans="1:13" ht="15.6" x14ac:dyDescent="0.3">
      <c r="A2" s="134"/>
      <c r="B2" s="145"/>
      <c r="C2" s="145"/>
      <c r="D2" s="9"/>
      <c r="E2" s="9"/>
      <c r="F2" s="9"/>
      <c r="G2" s="9"/>
      <c r="H2" s="9"/>
      <c r="I2" s="29"/>
      <c r="J2" s="9"/>
      <c r="K2" s="9"/>
      <c r="L2" s="9"/>
    </row>
    <row r="3" spans="1:13" ht="15.6" x14ac:dyDescent="0.3">
      <c r="A3" s="9"/>
      <c r="B3" s="9"/>
      <c r="C3" s="9"/>
      <c r="D3" s="9"/>
      <c r="E3" s="9"/>
      <c r="F3" s="9"/>
      <c r="G3" s="9"/>
      <c r="H3" s="9"/>
      <c r="I3" s="29"/>
      <c r="J3" s="9"/>
      <c r="K3" s="9"/>
      <c r="L3" s="9"/>
    </row>
    <row r="4" spans="1:13" ht="15.6" x14ac:dyDescent="0.3">
      <c r="A4" s="132" t="s">
        <v>25</v>
      </c>
      <c r="B4" s="133" t="s">
        <v>59</v>
      </c>
      <c r="C4" s="133" t="s">
        <v>60</v>
      </c>
      <c r="D4" s="133" t="s">
        <v>39</v>
      </c>
      <c r="E4" s="133" t="s">
        <v>61</v>
      </c>
      <c r="F4" s="133" t="s">
        <v>62</v>
      </c>
      <c r="G4" s="133" t="s">
        <v>63</v>
      </c>
      <c r="H4" s="9"/>
      <c r="I4" s="21" t="s">
        <v>64</v>
      </c>
      <c r="J4" s="94">
        <f>+SUM(E5:E13)</f>
        <v>0</v>
      </c>
      <c r="K4" s="22"/>
      <c r="L4" s="9"/>
    </row>
    <row r="5" spans="1:13" ht="15.6" x14ac:dyDescent="0.3">
      <c r="A5" s="135"/>
      <c r="B5" s="23" t="str">
        <f>+IFERROR(VLOOKUP(A5,Stock[[#All],[Produits]:[Nom]],2,FALSE),"")</f>
        <v/>
      </c>
      <c r="C5" s="137"/>
      <c r="D5" s="25" t="str">
        <f>+IFERROR(VLOOKUP(A5,Stock[[#All],[Produits]:[Prix U TTC]],6,FALSE),"")</f>
        <v/>
      </c>
      <c r="E5" s="25">
        <f t="shared" ref="E5:E13" si="0">IFERROR(IF(C5=0,0,D5*C5),"")</f>
        <v>0</v>
      </c>
      <c r="F5" s="24">
        <f>+SUMIFS(Stock[[#All],[Stock I]],Stock[[#All],[Produits]],A5)</f>
        <v>0</v>
      </c>
      <c r="G5" s="24">
        <f t="shared" ref="G5:G14" si="1">+IFERROR(F5-C5,"")</f>
        <v>0</v>
      </c>
      <c r="H5" s="9"/>
      <c r="I5" s="21"/>
      <c r="J5" s="94"/>
      <c r="K5" s="22"/>
      <c r="L5" s="9"/>
    </row>
    <row r="6" spans="1:13" ht="15.6" x14ac:dyDescent="0.3">
      <c r="A6" s="136"/>
      <c r="B6" s="26" t="str">
        <f>+IFERROR(VLOOKUP(A6,Stock[[#All],[Produits]:[Nom]],2,FALSE),"")</f>
        <v/>
      </c>
      <c r="C6" s="138"/>
      <c r="D6" s="28" t="str">
        <f>+IFERROR(VLOOKUP(A6,Stock[[#All],[Produits]:[Prix U TTC]],6,FALSE),"")</f>
        <v/>
      </c>
      <c r="E6" s="28">
        <f t="shared" si="0"/>
        <v>0</v>
      </c>
      <c r="F6" s="27">
        <f>+SUMIFS(Stock[[#All],[Stock I]],Stock[[#All],[Produits]],A6)</f>
        <v>0</v>
      </c>
      <c r="G6" s="27">
        <f t="shared" si="1"/>
        <v>0</v>
      </c>
      <c r="H6" s="9"/>
      <c r="I6" s="21" t="s">
        <v>65</v>
      </c>
      <c r="J6" s="139"/>
      <c r="K6" s="29"/>
      <c r="L6" s="9"/>
    </row>
    <row r="7" spans="1:13" ht="15.6" x14ac:dyDescent="0.3">
      <c r="A7" s="135"/>
      <c r="B7" s="23" t="str">
        <f>+IFERROR(VLOOKUP(A7,Stock[[#All],[Produits]:[Nom]],2,FALSE),"")</f>
        <v/>
      </c>
      <c r="C7" s="137"/>
      <c r="D7" s="25" t="str">
        <f>+IFERROR(VLOOKUP(A7,Stock[[#All],[Produits]:[Prix U TTC]],6,FALSE),"")</f>
        <v/>
      </c>
      <c r="E7" s="25">
        <f t="shared" si="0"/>
        <v>0</v>
      </c>
      <c r="F7" s="24">
        <f>+SUMIFS(Stock[[#All],[Stock I]],Stock[[#All],[Produits]],A7)</f>
        <v>0</v>
      </c>
      <c r="G7" s="24">
        <f t="shared" si="1"/>
        <v>0</v>
      </c>
      <c r="H7" s="9"/>
      <c r="I7" s="21"/>
      <c r="J7" s="95"/>
      <c r="K7" s="29"/>
      <c r="L7" s="9"/>
    </row>
    <row r="8" spans="1:13" ht="15.6" x14ac:dyDescent="0.3">
      <c r="A8" s="136"/>
      <c r="B8" s="26" t="str">
        <f>+IFERROR(VLOOKUP(A8,Stock[[#All],[Produits]:[Nom]],2,FALSE),"")</f>
        <v/>
      </c>
      <c r="C8" s="138"/>
      <c r="D8" s="28" t="str">
        <f>+IFERROR(VLOOKUP(A8,Stock[[#All],[Produits]:[Prix U TTC]],6,FALSE),"")</f>
        <v/>
      </c>
      <c r="E8" s="28">
        <f t="shared" si="0"/>
        <v>0</v>
      </c>
      <c r="F8" s="27">
        <f>+SUMIFS(Stock[[#All],[Stock I]],Stock[[#All],[Produits]],A8)</f>
        <v>0</v>
      </c>
      <c r="G8" s="27">
        <f t="shared" si="1"/>
        <v>0</v>
      </c>
      <c r="H8" s="9"/>
      <c r="I8" s="21" t="s">
        <v>66</v>
      </c>
      <c r="J8" s="140"/>
      <c r="K8" s="30"/>
      <c r="L8" s="9"/>
    </row>
    <row r="9" spans="1:13" ht="15.6" x14ac:dyDescent="0.3">
      <c r="A9" s="135"/>
      <c r="B9" s="23" t="str">
        <f>+IFERROR(VLOOKUP(A9,Stock[[#All],[Produits]:[Nom]],2,FALSE),"")</f>
        <v/>
      </c>
      <c r="C9" s="137"/>
      <c r="D9" s="25" t="str">
        <f>+IFERROR(VLOOKUP(A9,Stock[[#All],[Produits]:[Prix U TTC]],6,FALSE),"")</f>
        <v/>
      </c>
      <c r="E9" s="25">
        <f t="shared" si="0"/>
        <v>0</v>
      </c>
      <c r="F9" s="24">
        <f>+SUMIFS(Stock[[#All],[Stock I]],Stock[[#All],[Produits]],A9)</f>
        <v>0</v>
      </c>
      <c r="G9" s="24">
        <f t="shared" si="1"/>
        <v>0</v>
      </c>
      <c r="H9" s="9"/>
      <c r="I9" s="21"/>
      <c r="J9" s="96"/>
      <c r="K9" s="30"/>
      <c r="L9" s="9"/>
    </row>
    <row r="10" spans="1:13" ht="15.6" x14ac:dyDescent="0.3">
      <c r="A10" s="136"/>
      <c r="B10" s="26" t="str">
        <f>+IFERROR(VLOOKUP(A10,Stock[[#All],[Produits]:[Nom]],2,FALSE),"")</f>
        <v/>
      </c>
      <c r="C10" s="138"/>
      <c r="D10" s="28" t="str">
        <f>+IFERROR(VLOOKUP(A10,Stock[[#All],[Produits]:[Prix U TTC]],6,FALSE),"")</f>
        <v/>
      </c>
      <c r="E10" s="28">
        <f t="shared" si="0"/>
        <v>0</v>
      </c>
      <c r="F10" s="27">
        <f>+SUMIFS(Stock[[#All],[Stock I]],Stock[[#All],[Produits]],A10)</f>
        <v>0</v>
      </c>
      <c r="G10" s="27">
        <f t="shared" si="1"/>
        <v>0</v>
      </c>
      <c r="H10" s="9"/>
      <c r="I10" s="21" t="s">
        <v>67</v>
      </c>
      <c r="J10" s="141"/>
      <c r="K10" s="31"/>
      <c r="L10" s="9"/>
    </row>
    <row r="11" spans="1:13" ht="15.6" x14ac:dyDescent="0.3">
      <c r="A11" s="135"/>
      <c r="B11" s="23" t="str">
        <f>+IFERROR(VLOOKUP(A11,Stock[[#All],[Produits]:[Nom]],2,FALSE),"")</f>
        <v/>
      </c>
      <c r="C11" s="137"/>
      <c r="D11" s="25" t="str">
        <f>+IFERROR(VLOOKUP(A11,Stock[[#All],[Produits]:[Prix U TTC]],6,FALSE),"")</f>
        <v/>
      </c>
      <c r="E11" s="25">
        <f t="shared" si="0"/>
        <v>0</v>
      </c>
      <c r="F11" s="24">
        <f>+SUMIFS(Stock[[#All],[Stock I]],Stock[[#All],[Produits]],A11)</f>
        <v>0</v>
      </c>
      <c r="G11" s="24">
        <f t="shared" si="1"/>
        <v>0</v>
      </c>
      <c r="H11" s="9"/>
      <c r="I11" s="21"/>
      <c r="J11" s="97"/>
      <c r="K11" s="31"/>
      <c r="L11" s="9"/>
    </row>
    <row r="12" spans="1:13" ht="15.6" x14ac:dyDescent="0.3">
      <c r="A12" s="136"/>
      <c r="B12" s="26" t="str">
        <f>+IFERROR(VLOOKUP(A12,Stock[[#All],[Produits]:[Nom]],2,FALSE),"")</f>
        <v/>
      </c>
      <c r="C12" s="138"/>
      <c r="D12" s="28" t="str">
        <f>+IFERROR(VLOOKUP(A12,Stock[[#All],[Produits]:[Prix U TTC]],6,FALSE),"")</f>
        <v/>
      </c>
      <c r="E12" s="28">
        <f t="shared" si="0"/>
        <v>0</v>
      </c>
      <c r="F12" s="27">
        <f>+SUMIFS(Stock[[#All],[Stock I]],Stock[[#All],[Produits]],A12)</f>
        <v>0</v>
      </c>
      <c r="G12" s="27">
        <f t="shared" si="1"/>
        <v>0</v>
      </c>
      <c r="H12" s="9"/>
      <c r="I12" s="21" t="s">
        <v>68</v>
      </c>
      <c r="J12" s="142"/>
      <c r="K12" s="32"/>
      <c r="L12" s="9"/>
    </row>
    <row r="13" spans="1:13" ht="15.6" x14ac:dyDescent="0.3">
      <c r="A13" s="135"/>
      <c r="B13" s="23" t="str">
        <f>+IFERROR(VLOOKUP(A13,Stock[[#All],[Produits]:[Nom]],2,FALSE),"")</f>
        <v/>
      </c>
      <c r="C13" s="137"/>
      <c r="D13" s="25" t="str">
        <f>+IFERROR(VLOOKUP(A13,Stock[[#All],[Produits]:[Prix U TTC]],6,FALSE),"")</f>
        <v/>
      </c>
      <c r="E13" s="25">
        <f t="shared" si="0"/>
        <v>0</v>
      </c>
      <c r="F13" s="24">
        <f>+SUMIFS(Stock[[#All],[Stock I]],Stock[[#All],[Produits]],A13)</f>
        <v>0</v>
      </c>
      <c r="G13" s="24">
        <f t="shared" si="1"/>
        <v>0</v>
      </c>
      <c r="H13" s="9"/>
      <c r="I13" s="95"/>
      <c r="J13" s="98"/>
      <c r="K13" s="9"/>
      <c r="L13" s="9"/>
    </row>
    <row r="14" spans="1:13" ht="18" x14ac:dyDescent="0.35">
      <c r="A14" s="126"/>
      <c r="B14" s="127"/>
      <c r="C14" s="128"/>
      <c r="D14" s="129" t="s">
        <v>69</v>
      </c>
      <c r="E14" s="130" t="str">
        <f t="shared" ref="E14" si="2">+IFERROR(D14*C14,"")</f>
        <v/>
      </c>
      <c r="F14" s="131" t="s">
        <v>69</v>
      </c>
      <c r="G14" s="131" t="str">
        <f t="shared" si="1"/>
        <v/>
      </c>
      <c r="H14" s="9"/>
      <c r="I14" s="99" t="s">
        <v>70</v>
      </c>
      <c r="J14" s="100">
        <f>+J4-J8+J10</f>
        <v>0</v>
      </c>
      <c r="K14" s="33"/>
      <c r="L14" s="9"/>
      <c r="M14" s="114"/>
    </row>
    <row r="15" spans="1:13" ht="18" x14ac:dyDescent="0.35">
      <c r="A15" s="127"/>
      <c r="B15" s="127"/>
      <c r="C15" s="128"/>
      <c r="D15" s="129"/>
      <c r="E15" s="130"/>
      <c r="F15" s="131"/>
      <c r="G15" s="131"/>
      <c r="H15" s="9"/>
      <c r="I15" s="101" t="s">
        <v>71</v>
      </c>
      <c r="J15" s="102">
        <f>+IF(J6=BDD!D1,J14/(1+BDD!E1),IF(J6=BDD!D2,J14/(1+BDD!E2),J14))</f>
        <v>0</v>
      </c>
      <c r="K15" s="34"/>
      <c r="L15" s="9"/>
      <c r="M15" s="114"/>
    </row>
    <row r="16" spans="1:13" x14ac:dyDescent="0.3">
      <c r="A16" s="9"/>
      <c r="B16" s="9"/>
      <c r="C16" s="9"/>
      <c r="D16" s="9"/>
      <c r="E16" s="9"/>
      <c r="F16" s="9"/>
      <c r="G16" s="9"/>
      <c r="H16" s="9"/>
      <c r="I16" s="101" t="s">
        <v>38</v>
      </c>
      <c r="J16" s="103">
        <f>J14-J15</f>
        <v>0</v>
      </c>
      <c r="K16" s="35"/>
      <c r="L16" s="9"/>
    </row>
    <row r="17" spans="1:12" ht="15.6" x14ac:dyDescent="0.3">
      <c r="A17" s="9"/>
      <c r="B17" s="9"/>
      <c r="C17" s="9"/>
      <c r="D17" s="9"/>
      <c r="E17" s="9"/>
      <c r="F17" s="9"/>
      <c r="G17" s="9"/>
      <c r="H17" s="9"/>
      <c r="I17" s="29"/>
      <c r="J17" s="9"/>
      <c r="K17" s="9"/>
      <c r="L17" s="9"/>
    </row>
    <row r="18" spans="1:12" x14ac:dyDescent="0.3">
      <c r="A18" s="9"/>
      <c r="B18" s="9"/>
      <c r="C18" s="9"/>
      <c r="D18" s="9"/>
      <c r="E18" s="9"/>
      <c r="F18" s="9"/>
      <c r="G18" s="9"/>
      <c r="H18" s="9"/>
      <c r="I18" s="1" t="s">
        <v>72</v>
      </c>
      <c r="J18" s="1"/>
      <c r="K18" s="9"/>
      <c r="L18" s="9"/>
    </row>
    <row r="19" spans="1:12" x14ac:dyDescent="0.3">
      <c r="A19" s="9"/>
      <c r="B19" s="9"/>
      <c r="C19" s="9"/>
      <c r="D19" s="9"/>
      <c r="E19" s="9"/>
      <c r="F19" s="9"/>
      <c r="G19" s="9"/>
      <c r="H19" s="9"/>
      <c r="I19" s="146"/>
      <c r="J19" s="146"/>
      <c r="K19" s="9"/>
      <c r="L19" s="9"/>
    </row>
    <row r="20" spans="1:12" x14ac:dyDescent="0.3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</row>
  </sheetData>
  <sheetProtection selectLockedCells="1"/>
  <mergeCells count="4">
    <mergeCell ref="B1:C1"/>
    <mergeCell ref="B2:C2"/>
    <mergeCell ref="I18:J18"/>
    <mergeCell ref="I19:J19"/>
  </mergeCells>
  <conditionalFormatting sqref="F5:F13">
    <cfRule type="cellIs" dxfId="1" priority="2" operator="equal">
      <formula>0</formula>
    </cfRule>
  </conditionalFormatting>
  <conditionalFormatting sqref="G5:G13">
    <cfRule type="cellIs" dxfId="0" priority="1" operator="lessThan">
      <formula>0</formula>
    </cfRule>
  </conditionalFormatting>
  <dataValidations count="2">
    <dataValidation type="list" allowBlank="1" showInputMessage="1" showErrorMessage="1" sqref="J6" xr:uid="{00000000-0002-0000-0100-000000000000}">
      <formula1>TVA</formula1>
    </dataValidation>
    <dataValidation type="list" allowBlank="1" showInputMessage="1" showErrorMessage="1" sqref="J12" xr:uid="{00000000-0002-0000-0100-000001000000}">
      <formula1>transporteur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945D52F7-4394-44B6-9FA1-488F8E55D899}">
          <x14:formula1>
            <xm:f>BDD!$G$1:$G$4</xm:f>
          </x14:formula1>
          <xm:sqref>I19</xm:sqref>
        </x14:dataValidation>
        <x14:dataValidation type="list" allowBlank="1" showInputMessage="1" showErrorMessage="1" xr:uid="{2F2982EA-E810-4A53-8561-8E3EBDCABD12}">
          <x14:formula1>
            <xm:f>BDD!$I$1:$I$5</xm:f>
          </x14:formula1>
          <xm:sqref>A2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D9C569-746B-4DD4-9A3F-7ACDEA59272A}">
  <sheetPr codeName="Feuil6"/>
  <dimension ref="B1:I31"/>
  <sheetViews>
    <sheetView showGridLines="0" showRowColHeaders="0" tabSelected="1" workbookViewId="0">
      <selection activeCell="L6" sqref="L6"/>
    </sheetView>
  </sheetViews>
  <sheetFormatPr baseColWidth="10" defaultRowHeight="14.4" x14ac:dyDescent="0.3"/>
  <sheetData>
    <row r="1" spans="2:5" x14ac:dyDescent="0.3">
      <c r="B1" s="150" t="str">
        <f>+BDD!B1</f>
        <v>STE ABC</v>
      </c>
      <c r="C1" s="151"/>
      <c r="D1" s="151"/>
      <c r="E1" s="152"/>
    </row>
    <row r="2" spans="2:5" x14ac:dyDescent="0.3">
      <c r="B2" s="153" t="str">
        <f>+BDD!B2</f>
        <v>addr 1</v>
      </c>
      <c r="C2" s="154"/>
      <c r="D2" s="154"/>
      <c r="E2" s="155"/>
    </row>
    <row r="3" spans="2:5" x14ac:dyDescent="0.3">
      <c r="B3" s="153" t="str">
        <f>+BDD!B3</f>
        <v>addr 2</v>
      </c>
      <c r="C3" s="154"/>
      <c r="D3" s="154"/>
      <c r="E3" s="155"/>
    </row>
    <row r="4" spans="2:5" x14ac:dyDescent="0.3">
      <c r="B4" s="153" t="str">
        <f>+BDD!B4&amp;" "&amp;BDD!B5</f>
        <v>CP Ville</v>
      </c>
      <c r="C4" s="154"/>
      <c r="D4" s="154"/>
      <c r="E4" s="155"/>
    </row>
    <row r="5" spans="2:5" x14ac:dyDescent="0.3">
      <c r="B5" s="156" t="str">
        <f>+BDD!B6</f>
        <v>numtel</v>
      </c>
      <c r="C5" s="157"/>
      <c r="D5" s="157"/>
      <c r="E5" s="158"/>
    </row>
    <row r="6" spans="2:5" x14ac:dyDescent="0.3">
      <c r="B6" s="159" t="s">
        <v>83</v>
      </c>
      <c r="C6" s="160"/>
      <c r="D6" s="160"/>
      <c r="E6" s="161"/>
    </row>
    <row r="7" spans="2:5" x14ac:dyDescent="0.3">
      <c r="B7" s="162" t="s">
        <v>90</v>
      </c>
      <c r="C7" s="163"/>
      <c r="D7" s="163"/>
      <c r="E7" s="164"/>
    </row>
    <row r="8" spans="2:5" x14ac:dyDescent="0.3">
      <c r="B8" s="104">
        <v>44266.485543981478</v>
      </c>
      <c r="C8" s="105"/>
      <c r="D8" s="105"/>
      <c r="E8" s="106"/>
    </row>
    <row r="9" spans="2:5" x14ac:dyDescent="0.3">
      <c r="B9" s="36"/>
      <c r="C9" s="37"/>
      <c r="D9" s="37"/>
      <c r="E9" s="38"/>
    </row>
    <row r="10" spans="2:5" x14ac:dyDescent="0.3">
      <c r="B10" s="39"/>
      <c r="C10" s="40"/>
      <c r="D10" s="40"/>
      <c r="E10" s="41"/>
    </row>
    <row r="11" spans="2:5" x14ac:dyDescent="0.3">
      <c r="B11" s="42" t="s">
        <v>73</v>
      </c>
      <c r="C11" s="43" t="s">
        <v>74</v>
      </c>
      <c r="D11" s="43" t="s">
        <v>75</v>
      </c>
      <c r="E11" s="44" t="s">
        <v>76</v>
      </c>
    </row>
    <row r="12" spans="2:5" hidden="1" x14ac:dyDescent="0.3">
      <c r="B12" s="45"/>
      <c r="C12" s="46"/>
      <c r="D12" s="117"/>
      <c r="E12" s="47"/>
    </row>
    <row r="13" spans="2:5" hidden="1" x14ac:dyDescent="0.3">
      <c r="B13" s="48"/>
      <c r="C13" s="46"/>
      <c r="D13" s="117"/>
      <c r="E13" s="47"/>
    </row>
    <row r="14" spans="2:5" hidden="1" x14ac:dyDescent="0.3">
      <c r="B14" s="48"/>
      <c r="C14" s="46"/>
      <c r="D14" s="117"/>
      <c r="E14" s="47"/>
    </row>
    <row r="15" spans="2:5" hidden="1" x14ac:dyDescent="0.3">
      <c r="B15" s="48"/>
      <c r="C15" s="46"/>
      <c r="D15" s="117"/>
      <c r="E15" s="47"/>
    </row>
    <row r="16" spans="2:5" hidden="1" x14ac:dyDescent="0.3">
      <c r="B16" s="48"/>
      <c r="C16" s="46"/>
      <c r="D16" s="117"/>
      <c r="E16" s="47"/>
    </row>
    <row r="17" spans="2:9" hidden="1" x14ac:dyDescent="0.3">
      <c r="B17" s="48"/>
      <c r="C17" s="46"/>
      <c r="D17" s="117"/>
      <c r="E17" s="47"/>
    </row>
    <row r="18" spans="2:9" hidden="1" x14ac:dyDescent="0.3">
      <c r="B18" s="48"/>
      <c r="C18" s="46"/>
      <c r="D18" s="117"/>
      <c r="E18" s="47"/>
    </row>
    <row r="19" spans="2:9" hidden="1" x14ac:dyDescent="0.3">
      <c r="B19" s="48"/>
      <c r="C19" s="46"/>
      <c r="D19" s="117"/>
      <c r="E19" s="47"/>
    </row>
    <row r="20" spans="2:9" hidden="1" x14ac:dyDescent="0.3">
      <c r="B20" s="48"/>
      <c r="C20" s="46"/>
      <c r="D20" s="117"/>
      <c r="E20" s="47"/>
    </row>
    <row r="21" spans="2:9" x14ac:dyDescent="0.3">
      <c r="B21" s="48"/>
      <c r="C21" s="49"/>
      <c r="D21" s="49"/>
      <c r="E21" s="50"/>
    </row>
    <row r="22" spans="2:9" x14ac:dyDescent="0.3">
      <c r="B22" s="51">
        <f>+SUM(C12:C20)</f>
        <v>0</v>
      </c>
      <c r="C22" s="52"/>
      <c r="D22" s="53"/>
      <c r="E22" s="54"/>
      <c r="I22" s="115"/>
    </row>
    <row r="23" spans="2:9" x14ac:dyDescent="0.3">
      <c r="B23" s="55" t="s">
        <v>77</v>
      </c>
      <c r="C23" s="56"/>
      <c r="D23" s="56"/>
      <c r="E23" s="47">
        <f>SUM(E12:E20)</f>
        <v>0</v>
      </c>
    </row>
    <row r="24" spans="2:9" x14ac:dyDescent="0.3">
      <c r="B24" s="48" t="s">
        <v>66</v>
      </c>
      <c r="C24" s="56"/>
      <c r="D24" s="56"/>
      <c r="E24" s="57"/>
    </row>
    <row r="25" spans="2:9" ht="15" thickBot="1" x14ac:dyDescent="0.35">
      <c r="B25" s="48" t="s">
        <v>67</v>
      </c>
      <c r="C25" s="56"/>
      <c r="D25" s="56"/>
      <c r="E25" s="58"/>
    </row>
    <row r="26" spans="2:9" ht="15.6" thickTop="1" thickBot="1" x14ac:dyDescent="0.35">
      <c r="B26" s="59" t="s">
        <v>78</v>
      </c>
      <c r="C26" s="60"/>
      <c r="D26" s="60"/>
      <c r="E26" s="61">
        <f>E25+E23-E24</f>
        <v>0</v>
      </c>
    </row>
    <row r="27" spans="2:9" ht="15" thickTop="1" x14ac:dyDescent="0.3">
      <c r="B27" s="62"/>
      <c r="C27" s="63"/>
      <c r="D27" s="63"/>
      <c r="E27" s="64">
        <f>+E26</f>
        <v>0</v>
      </c>
    </row>
    <row r="28" spans="2:9" x14ac:dyDescent="0.3">
      <c r="B28" s="65"/>
      <c r="C28" s="66"/>
      <c r="D28" s="67"/>
      <c r="E28" s="68"/>
    </row>
    <row r="29" spans="2:9" x14ac:dyDescent="0.3">
      <c r="B29" s="69"/>
      <c r="C29" s="70"/>
      <c r="D29" s="71"/>
      <c r="E29" s="72"/>
    </row>
    <row r="30" spans="2:9" x14ac:dyDescent="0.3">
      <c r="B30" s="165" t="s">
        <v>79</v>
      </c>
      <c r="C30" s="166"/>
      <c r="D30" s="166"/>
      <c r="E30" s="167"/>
    </row>
    <row r="31" spans="2:9" x14ac:dyDescent="0.3">
      <c r="B31" s="147" t="str">
        <f>+BDD!$A$7&amp;" "&amp;BDD!$B$7</f>
        <v>Siret : a saisir</v>
      </c>
      <c r="C31" s="148"/>
      <c r="D31" s="148"/>
      <c r="E31" s="149"/>
    </row>
  </sheetData>
  <mergeCells count="9">
    <mergeCell ref="B31:E31"/>
    <mergeCell ref="B1:E1"/>
    <mergeCell ref="B2:E2"/>
    <mergeCell ref="B3:E3"/>
    <mergeCell ref="B4:E4"/>
    <mergeCell ref="B5:E5"/>
    <mergeCell ref="B6:E6"/>
    <mergeCell ref="B7:E7"/>
    <mergeCell ref="B30:E30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O17"/>
  <sheetViews>
    <sheetView showGridLines="0" showRowColHeaders="0" workbookViewId="0">
      <selection activeCell="B6" sqref="B6"/>
    </sheetView>
  </sheetViews>
  <sheetFormatPr baseColWidth="10" defaultRowHeight="14.4" x14ac:dyDescent="0.3"/>
  <cols>
    <col min="1" max="1" width="11.33203125" bestFit="1" customWidth="1"/>
    <col min="2" max="2" width="15.5546875" bestFit="1" customWidth="1"/>
    <col min="6" max="6" width="12.33203125" customWidth="1"/>
    <col min="10" max="10" width="12.5546875" customWidth="1"/>
    <col min="11" max="11" width="11.44140625" bestFit="1" customWidth="1"/>
    <col min="14" max="14" width="12.33203125" customWidth="1"/>
    <col min="15" max="15" width="13.33203125" customWidth="1"/>
  </cols>
  <sheetData>
    <row r="1" spans="1:15" x14ac:dyDescent="0.3">
      <c r="A1" s="86" t="s">
        <v>23</v>
      </c>
      <c r="B1" s="87" t="s">
        <v>24</v>
      </c>
      <c r="C1" s="87" t="s">
        <v>25</v>
      </c>
      <c r="D1" s="87" t="s">
        <v>26</v>
      </c>
      <c r="E1" s="87" t="s">
        <v>27</v>
      </c>
      <c r="F1" s="87" t="s">
        <v>28</v>
      </c>
      <c r="G1" s="87" t="s">
        <v>29</v>
      </c>
    </row>
    <row r="2" spans="1:15" x14ac:dyDescent="0.3">
      <c r="A2" s="88">
        <f ca="1">+A3</f>
        <v>44268</v>
      </c>
      <c r="B2" s="89"/>
      <c r="C2" s="89">
        <f>+B4</f>
        <v>0</v>
      </c>
      <c r="D2" s="89">
        <f>+B6</f>
        <v>0</v>
      </c>
      <c r="E2" s="89"/>
      <c r="F2" s="89">
        <f>+B8</f>
        <v>0</v>
      </c>
      <c r="G2" s="89">
        <f>+D8</f>
        <v>0</v>
      </c>
    </row>
    <row r="3" spans="1:15" ht="25.95" customHeight="1" x14ac:dyDescent="0.3">
      <c r="A3" s="12">
        <f ca="1">+TODAY()</f>
        <v>44268</v>
      </c>
      <c r="B3" s="170" t="s">
        <v>31</v>
      </c>
      <c r="C3" s="170"/>
      <c r="D3" s="170"/>
      <c r="E3" s="170"/>
      <c r="F3" s="170"/>
      <c r="I3" s="170" t="s">
        <v>53</v>
      </c>
      <c r="J3" s="170"/>
      <c r="K3" s="170"/>
      <c r="L3" s="170"/>
      <c r="M3" s="170"/>
      <c r="N3" s="170"/>
      <c r="O3" s="170"/>
    </row>
    <row r="4" spans="1:15" x14ac:dyDescent="0.3">
      <c r="A4" s="11" t="s">
        <v>25</v>
      </c>
      <c r="B4" s="75"/>
      <c r="C4" s="17" t="str">
        <f>+IFERROR(VLOOKUP(B4,Stock[[#All],[Produits]:[Nom]],2,FALSE),"")</f>
        <v/>
      </c>
      <c r="D4" s="10"/>
      <c r="E4" s="10"/>
      <c r="F4" s="9"/>
      <c r="I4" s="11" t="s">
        <v>54</v>
      </c>
      <c r="J4" s="76"/>
      <c r="K4" s="9"/>
      <c r="L4" s="9"/>
      <c r="M4" s="9"/>
      <c r="N4" s="9"/>
      <c r="O4" s="9"/>
    </row>
    <row r="5" spans="1:15" x14ac:dyDescent="0.3">
      <c r="A5" s="10"/>
      <c r="B5" s="10"/>
      <c r="C5" s="10"/>
      <c r="D5" s="10"/>
      <c r="E5" s="10"/>
      <c r="F5" s="9"/>
      <c r="I5" s="9"/>
      <c r="J5" s="9"/>
      <c r="K5" s="9"/>
      <c r="L5" s="9"/>
      <c r="M5" s="9"/>
      <c r="N5" s="9"/>
      <c r="O5" s="9"/>
    </row>
    <row r="6" spans="1:15" x14ac:dyDescent="0.3">
      <c r="A6" s="11" t="s">
        <v>30</v>
      </c>
      <c r="B6" s="75"/>
      <c r="C6" s="10"/>
      <c r="D6" s="10"/>
      <c r="E6" s="10"/>
      <c r="F6" s="9"/>
      <c r="I6" s="11" t="s">
        <v>40</v>
      </c>
      <c r="J6" s="18">
        <f>+IFERROR(VLOOKUP(J4,Stock[[#All],[Produits]:[Total V HT]],7,FALSE),SUM(Stock[Stock I]))</f>
        <v>38</v>
      </c>
      <c r="K6" s="11" t="s">
        <v>36</v>
      </c>
      <c r="L6" s="19" t="str">
        <f>+IFERROR(VLOOKUP(J4,Stock[[#All],[Produits]:[Prix U HT]],3,FALSE),"")</f>
        <v/>
      </c>
      <c r="M6" s="11" t="s">
        <v>55</v>
      </c>
      <c r="N6" s="19">
        <f>+IFERROR(VLOOKUP(J4,Stock[[#All],[Produits]:[V S F HT]],13,FALSE),SUM(Stock[V S F HT]))</f>
        <v>157</v>
      </c>
      <c r="O6" s="9"/>
    </row>
    <row r="7" spans="1:15" x14ac:dyDescent="0.3">
      <c r="A7" s="10"/>
      <c r="B7" s="10"/>
      <c r="C7" s="10"/>
      <c r="D7" s="10"/>
      <c r="E7" s="10"/>
      <c r="F7" s="9"/>
      <c r="I7" s="9"/>
      <c r="J7" s="9"/>
      <c r="K7" s="9"/>
      <c r="L7" s="9"/>
      <c r="M7" s="9"/>
      <c r="N7" s="9"/>
      <c r="O7" s="9"/>
    </row>
    <row r="8" spans="1:15" ht="15.6" x14ac:dyDescent="0.3">
      <c r="A8" s="11" t="s">
        <v>33</v>
      </c>
      <c r="B8" s="85"/>
      <c r="C8" s="11" t="s">
        <v>32</v>
      </c>
      <c r="D8" s="168"/>
      <c r="E8" s="169"/>
      <c r="F8" s="9"/>
      <c r="I8" s="11" t="s">
        <v>41</v>
      </c>
      <c r="J8" s="18">
        <f>+IFERROR(VLOOKUP(J4,Stock[[#All],[Produits]:[Total V HT]],11,FALSE),SUM(Stock[Stock F]))</f>
        <v>39</v>
      </c>
      <c r="K8" s="11" t="s">
        <v>37</v>
      </c>
      <c r="L8" s="19" t="str">
        <f>+IFERROR(VLOOKUP(J4,Stock[[#All],[Produits]:[Prix U HT]],4,FALSE),"")</f>
        <v/>
      </c>
      <c r="M8" s="11" t="s">
        <v>56</v>
      </c>
      <c r="N8" s="19">
        <f>+IFERROR(VLOOKUP(J4,Stock[[#All],[Produits]:[Total V HT]],14,FALSE),SUM(Stock[Total V HT]))</f>
        <v>752.68166666666662</v>
      </c>
      <c r="O8" s="9"/>
    </row>
    <row r="9" spans="1:15" x14ac:dyDescent="0.3">
      <c r="A9" s="10"/>
      <c r="B9" s="10"/>
      <c r="C9" s="10"/>
      <c r="D9" s="10"/>
      <c r="E9" s="10"/>
      <c r="F9" s="9"/>
      <c r="I9" s="9"/>
      <c r="J9" s="9"/>
      <c r="K9" s="9"/>
      <c r="L9" s="9"/>
      <c r="M9" s="9"/>
      <c r="N9" s="9"/>
      <c r="O9" s="9"/>
    </row>
    <row r="13" spans="1:15" x14ac:dyDescent="0.3">
      <c r="A13" s="77" t="s">
        <v>34</v>
      </c>
      <c r="B13" s="78" t="s">
        <v>35</v>
      </c>
      <c r="C13" s="79" t="s">
        <v>36</v>
      </c>
      <c r="D13" s="79" t="s">
        <v>37</v>
      </c>
      <c r="E13" s="78" t="s">
        <v>38</v>
      </c>
      <c r="F13" s="79" t="s">
        <v>39</v>
      </c>
      <c r="G13" s="78" t="s">
        <v>40</v>
      </c>
      <c r="H13" s="78" t="s">
        <v>26</v>
      </c>
      <c r="I13" s="78" t="s">
        <v>27</v>
      </c>
      <c r="J13" s="78" t="s">
        <v>28</v>
      </c>
      <c r="K13" s="78" t="s">
        <v>41</v>
      </c>
      <c r="L13" s="79" t="s">
        <v>42</v>
      </c>
      <c r="M13" s="79" t="s">
        <v>43</v>
      </c>
      <c r="N13" s="79" t="s">
        <v>44</v>
      </c>
      <c r="O13" s="80" t="s">
        <v>45</v>
      </c>
    </row>
    <row r="14" spans="1:15" x14ac:dyDescent="0.3">
      <c r="A14" s="81" t="s">
        <v>46</v>
      </c>
      <c r="B14" s="81" t="s">
        <v>47</v>
      </c>
      <c r="C14" s="91">
        <v>4</v>
      </c>
      <c r="D14" s="91">
        <v>23.93</v>
      </c>
      <c r="E14" s="82">
        <v>0.2</v>
      </c>
      <c r="F14" s="83">
        <f>+Stock[[#This Row],[TVA]]*Stock[[#This Row],[Prix U HT]]+Stock[[#This Row],[Prix U HT]]</f>
        <v>28.716000000000001</v>
      </c>
      <c r="G14" s="90">
        <v>23</v>
      </c>
      <c r="H14" s="90">
        <f>+SUMIFS(journal[[#All],[Entrée]],journal[[#All],[Ref]],A14)</f>
        <v>0</v>
      </c>
      <c r="I14" s="90">
        <f>+SUMIFS(journal[[#All],[Sortie]],journal[[#All],[Ref]],A14)</f>
        <v>0</v>
      </c>
      <c r="J14" s="90">
        <f>+SUMIFS(journal[[#All],[Destockage]],journal[[#All],[Ref]],A14)</f>
        <v>0</v>
      </c>
      <c r="K14" s="90">
        <f>+Stock[[#This Row],[Stock I]]+Stock[[#This Row],[Entrée]]-Stock[[#This Row],[Sortie]]-Stock[[#This Row],[Destockage]]</f>
        <v>23</v>
      </c>
      <c r="L14" s="84">
        <f>+Stock[[#This Row],[Stock I]]*Stock[[#This Row],[Prix A HT]]</f>
        <v>92</v>
      </c>
      <c r="M14" s="83">
        <f>+Stock[[#This Row],[Stock F]]*Stock[[#This Row],[Prix A HT]]</f>
        <v>92</v>
      </c>
      <c r="N14" s="83">
        <f>+Stock[[#This Row],[Stock F]]*Stock[[#This Row],[Prix U HT]]</f>
        <v>550.39</v>
      </c>
      <c r="O14" s="83">
        <f>+Stock[[#This Row],[Stock F]]*Stock[[#This Row],[Prix U TTC]]</f>
        <v>660.46800000000007</v>
      </c>
    </row>
    <row r="15" spans="1:15" x14ac:dyDescent="0.3">
      <c r="A15" s="81">
        <v>3</v>
      </c>
      <c r="B15" s="81" t="s">
        <v>48</v>
      </c>
      <c r="C15" s="91">
        <v>7.5</v>
      </c>
      <c r="D15" s="91">
        <v>16.625</v>
      </c>
      <c r="E15" s="82">
        <v>0.2</v>
      </c>
      <c r="F15" s="83">
        <f>+Stock[[#This Row],[TVA]]*Stock[[#This Row],[Prix U HT]]+Stock[[#This Row],[Prix U HT]]</f>
        <v>19.95</v>
      </c>
      <c r="G15" s="90">
        <v>2</v>
      </c>
      <c r="H15" s="90">
        <f>+SUMIFS(journal[[#All],[Entrée]],journal[[#All],[Ref]],A15)</f>
        <v>16</v>
      </c>
      <c r="I15" s="90">
        <f>+SUMIFS(journal[[#All],[Sortie]],journal[[#All],[Ref]],A15)</f>
        <v>13</v>
      </c>
      <c r="J15" s="90">
        <f>+SUMIFS(journal[[#All],[Destockage]],journal[[#All],[Ref]],A15)</f>
        <v>0</v>
      </c>
      <c r="K15" s="90">
        <f>+Stock[[#This Row],[Stock I]]+Stock[[#This Row],[Entrée]]-Stock[[#This Row],[Sortie]]-Stock[[#This Row],[Destockage]]</f>
        <v>5</v>
      </c>
      <c r="L15" s="84">
        <f>+Stock[[#This Row],[Stock I]]*Stock[[#This Row],[Prix A HT]]</f>
        <v>15</v>
      </c>
      <c r="M15" s="83">
        <f>+Stock[[#This Row],[Stock F]]*Stock[[#This Row],[Prix A HT]]</f>
        <v>37.5</v>
      </c>
      <c r="N15" s="83">
        <f>+Stock[[#This Row],[Stock F]]*Stock[[#This Row],[Prix U HT]]</f>
        <v>83.125</v>
      </c>
      <c r="O15" s="83">
        <f>+Stock[[#This Row],[Stock F]]*Stock[[#This Row],[Prix U TTC]]</f>
        <v>99.75</v>
      </c>
    </row>
    <row r="16" spans="1:15" x14ac:dyDescent="0.3">
      <c r="A16" s="81" t="s">
        <v>49</v>
      </c>
      <c r="B16" s="81" t="s">
        <v>50</v>
      </c>
      <c r="C16" s="91">
        <v>2.5</v>
      </c>
      <c r="D16" s="91">
        <v>10.833333333333334</v>
      </c>
      <c r="E16" s="82">
        <v>0.2</v>
      </c>
      <c r="F16" s="83">
        <f>+Stock[[#This Row],[TVA]]*Stock[[#This Row],[Prix U HT]]+Stock[[#This Row],[Prix U HT]]</f>
        <v>13</v>
      </c>
      <c r="G16" s="90">
        <v>13</v>
      </c>
      <c r="H16" s="90">
        <f>+SUMIFS(journal[[#All],[Entrée]],journal[[#All],[Ref]],A16)</f>
        <v>0</v>
      </c>
      <c r="I16" s="90">
        <f>+SUMIFS(journal[[#All],[Sortie]],journal[[#All],[Ref]],A16)</f>
        <v>2</v>
      </c>
      <c r="J16" s="90">
        <f>+SUMIFS(journal[[#All],[Destockage]],journal[[#All],[Ref]],A16)</f>
        <v>0</v>
      </c>
      <c r="K16" s="90">
        <f>+Stock[[#This Row],[Stock I]]+Stock[[#This Row],[Entrée]]-Stock[[#This Row],[Sortie]]-Stock[[#This Row],[Destockage]]</f>
        <v>11</v>
      </c>
      <c r="L16" s="84">
        <f>+Stock[[#This Row],[Stock I]]*Stock[[#This Row],[Prix A HT]]</f>
        <v>32.5</v>
      </c>
      <c r="M16" s="83">
        <f>+Stock[[#This Row],[Stock F]]*Stock[[#This Row],[Prix A HT]]</f>
        <v>27.5</v>
      </c>
      <c r="N16" s="83">
        <f>+Stock[[#This Row],[Stock F]]*Stock[[#This Row],[Prix U HT]]</f>
        <v>119.16666666666667</v>
      </c>
      <c r="O16" s="83">
        <f>+Stock[[#This Row],[Stock F]]*Stock[[#This Row],[Prix U TTC]]</f>
        <v>143</v>
      </c>
    </row>
    <row r="17" spans="1:15" x14ac:dyDescent="0.3">
      <c r="A17" s="81" t="s">
        <v>51</v>
      </c>
      <c r="B17" s="81" t="s">
        <v>52</v>
      </c>
      <c r="C17" s="91">
        <v>9.5750000000000011</v>
      </c>
      <c r="D17" s="91">
        <v>19.958333333333332</v>
      </c>
      <c r="E17" s="82">
        <v>0.2</v>
      </c>
      <c r="F17" s="83">
        <f>+Stock[[#This Row],[TVA]]*Stock[[#This Row],[Prix U HT]]+Stock[[#This Row],[Prix U HT]]</f>
        <v>23.95</v>
      </c>
      <c r="G17" s="90">
        <v>0</v>
      </c>
      <c r="H17" s="90">
        <f>+SUMIFS(journal[[#All],[Entrée]],journal[[#All],[Ref]],A17)</f>
        <v>0</v>
      </c>
      <c r="I17" s="90">
        <f>+SUMIFS(journal[[#All],[Sortie]],journal[[#All],[Ref]],A17)</f>
        <v>0</v>
      </c>
      <c r="J17" s="90">
        <f>+SUMIFS(journal[[#All],[Destockage]],journal[[#All],[Ref]],A17)</f>
        <v>0</v>
      </c>
      <c r="K17" s="90">
        <f>+Stock[[#This Row],[Stock I]]+Stock[[#This Row],[Entrée]]-Stock[[#This Row],[Sortie]]-Stock[[#This Row],[Destockage]]</f>
        <v>0</v>
      </c>
      <c r="L17" s="84">
        <f>+Stock[[#This Row],[Stock I]]*Stock[[#This Row],[Prix A HT]]</f>
        <v>0</v>
      </c>
      <c r="M17" s="83">
        <f>+Stock[[#This Row],[Stock F]]*Stock[[#This Row],[Prix A HT]]</f>
        <v>0</v>
      </c>
      <c r="N17" s="83">
        <f>+Stock[[#This Row],[Stock F]]*Stock[[#This Row],[Prix U HT]]</f>
        <v>0</v>
      </c>
      <c r="O17" s="83">
        <f>+Stock[[#This Row],[Stock F]]*Stock[[#This Row],[Prix U TTC]]</f>
        <v>0</v>
      </c>
    </row>
  </sheetData>
  <sheetProtection selectLockedCells="1"/>
  <mergeCells count="3">
    <mergeCell ref="D8:E8"/>
    <mergeCell ref="B3:F3"/>
    <mergeCell ref="I3:O3"/>
  </mergeCells>
  <pageMargins left="0.7" right="0.7" top="0.75" bottom="0.75" header="0.3" footer="0.3"/>
  <pageSetup paperSize="9" orientation="portrait" verticalDpi="0" r:id="rId1"/>
  <ignoredErrors>
    <ignoredError sqref="F14:O17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4" r:id="rId4" name="Button 8">
              <controlPr defaultSize="0" print="0" autoFill="0" autoPict="0" macro="[0]!rea_destock">
                <anchor moveWithCells="1" sizeWithCells="1">
                  <from>
                    <xdr:col>6</xdr:col>
                    <xdr:colOff>106680</xdr:colOff>
                    <xdr:row>4</xdr:row>
                    <xdr:rowOff>68580</xdr:rowOff>
                  </from>
                  <to>
                    <xdr:col>7</xdr:col>
                    <xdr:colOff>693420</xdr:colOff>
                    <xdr:row>7</xdr:row>
                    <xdr:rowOff>160020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M17"/>
  <sheetViews>
    <sheetView showRowColHeaders="0" workbookViewId="0">
      <selection activeCell="D11" sqref="D11"/>
    </sheetView>
  </sheetViews>
  <sheetFormatPr baseColWidth="10" defaultRowHeight="14.4" x14ac:dyDescent="0.3"/>
  <cols>
    <col min="1" max="1" width="15.5546875" style="13" bestFit="1" customWidth="1"/>
    <col min="3" max="3" width="11.5546875" style="120"/>
    <col min="4" max="4" width="14.109375" style="123" bestFit="1" customWidth="1"/>
    <col min="5" max="5" width="12" customWidth="1"/>
    <col min="6" max="6" width="14.5546875" customWidth="1"/>
    <col min="7" max="7" width="18.33203125" customWidth="1"/>
    <col min="8" max="8" width="16.5546875" customWidth="1"/>
    <col min="9" max="9" width="12.109375" style="14" customWidth="1"/>
    <col min="10" max="10" width="14.109375" style="14" customWidth="1"/>
    <col min="11" max="11" width="14.5546875" customWidth="1"/>
    <col min="12" max="12" width="14.33203125" customWidth="1"/>
    <col min="13" max="13" width="15.109375" style="14" customWidth="1"/>
  </cols>
  <sheetData>
    <row r="1" spans="1:13" s="74" customFormat="1" x14ac:dyDescent="0.3">
      <c r="A1" s="92" t="s">
        <v>23</v>
      </c>
      <c r="B1" s="92" t="s">
        <v>80</v>
      </c>
      <c r="C1" s="118" t="s">
        <v>25</v>
      </c>
      <c r="D1" s="121" t="s">
        <v>60</v>
      </c>
      <c r="E1" s="92" t="s">
        <v>39</v>
      </c>
      <c r="F1" s="93" t="s">
        <v>57</v>
      </c>
      <c r="G1" s="92" t="s">
        <v>58</v>
      </c>
      <c r="H1" s="92" t="s">
        <v>65</v>
      </c>
      <c r="I1" s="92" t="s">
        <v>66</v>
      </c>
      <c r="J1" s="92" t="s">
        <v>67</v>
      </c>
      <c r="K1" s="92" t="s">
        <v>68</v>
      </c>
      <c r="L1" s="93" t="s">
        <v>81</v>
      </c>
      <c r="M1" s="93" t="s">
        <v>82</v>
      </c>
    </row>
    <row r="2" spans="1:13" x14ac:dyDescent="0.3">
      <c r="A2" s="111">
        <v>44266.485543981478</v>
      </c>
      <c r="B2" s="108">
        <v>1</v>
      </c>
      <c r="C2" s="119">
        <v>3</v>
      </c>
      <c r="D2" s="122">
        <v>2</v>
      </c>
      <c r="E2" s="110">
        <v>19.95</v>
      </c>
      <c r="F2" s="109" t="s">
        <v>14</v>
      </c>
      <c r="G2" s="108"/>
      <c r="H2" s="108"/>
      <c r="I2" s="107"/>
      <c r="J2" s="107"/>
      <c r="K2" s="108"/>
      <c r="L2" s="109"/>
      <c r="M2" s="107">
        <v>39.9</v>
      </c>
    </row>
    <row r="3" spans="1:13" x14ac:dyDescent="0.3">
      <c r="A3" s="111">
        <v>44266.485543981478</v>
      </c>
      <c r="B3" s="108">
        <v>2</v>
      </c>
      <c r="C3" s="119">
        <v>3</v>
      </c>
      <c r="D3" s="122">
        <v>6</v>
      </c>
      <c r="E3" s="110">
        <v>19.95</v>
      </c>
      <c r="F3" s="109" t="s">
        <v>14</v>
      </c>
      <c r="G3" s="108">
        <v>123</v>
      </c>
      <c r="H3" s="108" t="s">
        <v>21</v>
      </c>
      <c r="I3" s="107">
        <v>2</v>
      </c>
      <c r="J3" s="107">
        <v>3</v>
      </c>
      <c r="K3" s="108" t="s">
        <v>4</v>
      </c>
      <c r="L3" s="109" t="s">
        <v>15</v>
      </c>
      <c r="M3" s="107">
        <v>119.7</v>
      </c>
    </row>
    <row r="17" spans="7:7" x14ac:dyDescent="0.3">
      <c r="G17" s="116"/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G7"/>
  <sheetViews>
    <sheetView showRowColHeaders="0" workbookViewId="0">
      <selection activeCell="E12" sqref="E12"/>
    </sheetView>
  </sheetViews>
  <sheetFormatPr baseColWidth="10" defaultRowHeight="14.4" x14ac:dyDescent="0.3"/>
  <cols>
    <col min="1" max="1" width="11.5546875" style="13"/>
    <col min="6" max="6" width="12.5546875" customWidth="1"/>
    <col min="7" max="7" width="12.33203125" customWidth="1"/>
  </cols>
  <sheetData>
    <row r="1" spans="1:7" x14ac:dyDescent="0.3">
      <c r="A1" s="15" t="s">
        <v>23</v>
      </c>
      <c r="B1" s="16" t="s">
        <v>24</v>
      </c>
      <c r="C1" s="16" t="s">
        <v>25</v>
      </c>
      <c r="D1" s="16" t="s">
        <v>26</v>
      </c>
      <c r="E1" s="16" t="s">
        <v>27</v>
      </c>
      <c r="F1" s="16" t="s">
        <v>28</v>
      </c>
      <c r="G1" s="16" t="s">
        <v>29</v>
      </c>
    </row>
    <row r="2" spans="1:7" x14ac:dyDescent="0.3">
      <c r="A2" s="112">
        <v>44266.485543981478</v>
      </c>
      <c r="B2" s="113">
        <v>4</v>
      </c>
      <c r="C2" s="113" t="s">
        <v>49</v>
      </c>
      <c r="D2" s="113"/>
      <c r="E2" s="113">
        <v>2</v>
      </c>
      <c r="F2" s="113"/>
      <c r="G2" s="113"/>
    </row>
    <row r="3" spans="1:7" x14ac:dyDescent="0.3">
      <c r="A3" s="112">
        <v>44266.485543981478</v>
      </c>
      <c r="B3" s="113">
        <v>4</v>
      </c>
      <c r="C3" s="113">
        <v>3</v>
      </c>
      <c r="D3" s="113"/>
      <c r="E3" s="113">
        <v>4</v>
      </c>
      <c r="F3" s="113"/>
      <c r="G3" s="113"/>
    </row>
    <row r="4" spans="1:7" x14ac:dyDescent="0.3">
      <c r="A4" s="112">
        <v>44266.485543981478</v>
      </c>
      <c r="B4" s="113">
        <v>5</v>
      </c>
      <c r="C4" s="113">
        <v>3</v>
      </c>
      <c r="D4" s="113"/>
      <c r="E4" s="113">
        <v>1</v>
      </c>
      <c r="F4" s="113"/>
      <c r="G4" s="113"/>
    </row>
    <row r="5" spans="1:7" x14ac:dyDescent="0.3">
      <c r="A5" s="112">
        <v>44266.485543981478</v>
      </c>
      <c r="B5" s="113">
        <v>1</v>
      </c>
      <c r="C5" s="113">
        <v>3</v>
      </c>
      <c r="D5" s="113"/>
      <c r="E5" s="113">
        <v>2</v>
      </c>
      <c r="F5" s="113"/>
      <c r="G5" s="113"/>
    </row>
    <row r="6" spans="1:7" x14ac:dyDescent="0.3">
      <c r="A6" s="143">
        <v>44267</v>
      </c>
      <c r="B6" s="144"/>
      <c r="C6" s="144">
        <v>3</v>
      </c>
      <c r="D6" s="144">
        <v>16</v>
      </c>
      <c r="E6" s="144"/>
      <c r="F6" s="144">
        <v>0</v>
      </c>
      <c r="G6" s="144">
        <v>0</v>
      </c>
    </row>
    <row r="7" spans="1:7" x14ac:dyDescent="0.3">
      <c r="A7" s="143">
        <v>44266.485543981478</v>
      </c>
      <c r="B7" s="144">
        <v>2</v>
      </c>
      <c r="C7" s="144">
        <v>3</v>
      </c>
      <c r="D7" s="144"/>
      <c r="E7" s="144">
        <v>6</v>
      </c>
      <c r="F7" s="144"/>
      <c r="G7" s="144"/>
    </row>
  </sheetData>
  <pageMargins left="0.7" right="0.7" top="0.75" bottom="0.75" header="0.3" footer="0.3"/>
  <tableParts count="1">
    <tablePart r:id="rId1"/>
  </tableParts>
</worksheet>
</file>

<file path=customUI/_rels/customUI14.xml.rels><?xml version="1.0" encoding="UTF-8" standalone="yes"?>
<Relationships xmlns="http://schemas.openxmlformats.org/package/2006/relationships"><Relationship Id="facturation" Type="http://schemas.openxmlformats.org/officeDocument/2006/relationships/image" Target="images/facturation.png"/><Relationship Id="Archivage" Type="http://schemas.openxmlformats.org/officeDocument/2006/relationships/image" Target="images/Archivage.png"/><Relationship Id="Stock" Type="http://schemas.openxmlformats.org/officeDocument/2006/relationships/image" Target="images/Stock.png"/><Relationship Id="reglage" Type="http://schemas.openxmlformats.org/officeDocument/2006/relationships/image" Target="images/reglage.png"/><Relationship Id="Ticket" Type="http://schemas.openxmlformats.org/officeDocument/2006/relationships/image" Target="images/Ticket.png"/><Relationship Id="Journal" Type="http://schemas.openxmlformats.org/officeDocument/2006/relationships/image" Target="images/Journal.png"/></Relationships>
</file>

<file path=customUI/customUI14.xml><?xml version="1.0" encoding="utf-8"?>
<customUI xmlns="http://schemas.microsoft.com/office/2009/07/customui" onLoad="MonRuban_OnLoad">
  <ribbon startFromScratch="true">
    <tabs>
      <tab idMso="TabHome" getVisible="MonRuban_GetVisible"/>
      <tab idMso="TabData" getVisible="MonRuban_GetVisible"/>
      <tab idMso="TabInsert" getVisible="MonRuban_GetVisible"/>
      <tab idMso="TabFormulas" getVisible="MonRuban_GetVisible"/>
      <tab idMso="TabPageLayoutExcel" getVisible="MonRuban_GetVisible"/>
      <tab idMso="TabPrintPreview" getVisible="MonRuban_GetVisible"/>
      <tab idMso="TabReview" getVisible="MonRuban_GetVisible"/>
      <tab getVisible="MonRuban_GetVisible" idMso="TabView"/>
      <tab idMso="TabDeveloper" getVisible="MonRuban_GetVisible"/>
      <tab id="customTab" label="Facturation">
        <group id="customGroup" label="Création">
          <button id="factbtn" label="Facturation" image="facturation" size="large" onAction="Callback1"/>
        </group>
        <group id="customGroup2" label="Ticket">
          <button id="ticketbtn" label="Ticket" image="Ticket" size="large" onAction="Callback2"/>
        </group>
        <group id="customGroup5" label="Stock">
          <button id="Stockbtn" label="Etat des stocks" image="Stock" size="large" onAction="Callback5"/>
        </group>
        <group id="customGroup3" label="Archivage des factures">
          <button id="arcbtn" label="Factures archivées" image="Archivage" size="large" onAction="Callback3"/>
        </group>
        <group id="customGroup4" label="Journal">
          <button id="jnlbtn" label="journal et historique" image="Journal" size="large" onAction="Callback4"/>
        </group>
        <group id="customGroup6" label="Reglage">
          <button id="regbtn" label="Réglages et aide" image="reglage" size="large" onAction="Callback6"/>
        </group>
        <group id="opt4" label="Onglet/ruban">
          <toggleButton id="TB01" imageMso="AddCellLeft" label="onglet" onAction="TB01" size="normal"/>
          <toggleButton id="toggleButton1" getPressed="MonRuban_GetPressed" imageMso="AdpDiagramArrangeTables" size="normal" onAction="MonRuban_OnAction_Press" label="ruban" visible="true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BDD</vt:lpstr>
      <vt:lpstr>FDV</vt:lpstr>
      <vt:lpstr>Ticket</vt:lpstr>
      <vt:lpstr>S</vt:lpstr>
      <vt:lpstr>A</vt:lpstr>
      <vt:lpstr>J</vt:lpstr>
      <vt:lpstr>transporteur</vt:lpstr>
      <vt:lpstr>TVA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Dany</dc:creator>
  <cp:lastModifiedBy>MNSA</cp:lastModifiedBy>
  <dcterms:created xsi:type="dcterms:W3CDTF">2015-06-05T18:17:20Z</dcterms:created>
  <dcterms:modified xsi:type="dcterms:W3CDTF">2021-03-13T07:50:29Z</dcterms:modified>
</cp:coreProperties>
</file>