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71" codeName="{3D1A710C-6663-3D7B-7F91-EC182F24A4BC}"/>
  <workbookPr filterPrivacy="1" codeName="ThisWorkbook"/>
  <xr:revisionPtr revIDLastSave="0" documentId="13_ncr:1_{7B62D1DA-6AC3-4FBE-9782-40AAE8493A9C}" xr6:coauthVersionLast="36" xr6:coauthVersionMax="36" xr10:uidLastSave="{00000000-0000-0000-0000-000000000000}"/>
  <bookViews>
    <workbookView xWindow="0" yWindow="0" windowWidth="22260" windowHeight="12648" activeTab="2" xr2:uid="{00000000-000D-0000-FFFF-FFFF00000000}"/>
  </bookViews>
  <sheets>
    <sheet name="BDD" sheetId="1" r:id="rId1"/>
    <sheet name="FDV" sheetId="2" r:id="rId2"/>
    <sheet name="J" sheetId="3" r:id="rId3"/>
    <sheet name="S" sheetId="4" r:id="rId4"/>
    <sheet name="A" sheetId="5" r:id="rId5"/>
  </sheets>
  <definedNames>
    <definedName name="transporteur">BDD!$K$1:$K$4</definedName>
    <definedName name="TVA">BDD!$D$1:$D$4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2" i="5" l="1"/>
  <c r="L2" i="5"/>
  <c r="K2" i="5"/>
  <c r="J2" i="5"/>
  <c r="I2" i="5"/>
  <c r="H2" i="5"/>
  <c r="G2" i="5"/>
  <c r="F2" i="5"/>
  <c r="E2" i="5"/>
  <c r="E3" i="5"/>
  <c r="E4" i="5"/>
  <c r="E5" i="5"/>
  <c r="E6" i="5"/>
  <c r="E7" i="5"/>
  <c r="E8" i="5"/>
  <c r="E9" i="5"/>
  <c r="E10" i="5"/>
  <c r="D2" i="5"/>
  <c r="D3" i="5"/>
  <c r="D4" i="5"/>
  <c r="D5" i="5"/>
  <c r="D6" i="5"/>
  <c r="D7" i="5"/>
  <c r="D8" i="5"/>
  <c r="D9" i="5"/>
  <c r="D10" i="5"/>
  <c r="C2" i="5"/>
  <c r="C10" i="5"/>
  <c r="C9" i="5"/>
  <c r="C8" i="5"/>
  <c r="C3" i="5"/>
  <c r="C4" i="5"/>
  <c r="C5" i="5"/>
  <c r="C6" i="5"/>
  <c r="C7" i="5"/>
  <c r="B2" i="5"/>
  <c r="M4" i="2"/>
  <c r="M5" i="2"/>
  <c r="M1" i="2"/>
  <c r="M2" i="2"/>
  <c r="M3" i="2"/>
  <c r="M31" i="2"/>
  <c r="O29" i="2"/>
  <c r="M29" i="2"/>
  <c r="P24" i="2"/>
  <c r="P25" i="2"/>
  <c r="M25" i="2"/>
  <c r="M24" i="2"/>
  <c r="M28" i="2"/>
  <c r="F5" i="2"/>
  <c r="F6" i="2"/>
  <c r="F7" i="2"/>
  <c r="F8" i="2"/>
  <c r="F9" i="2"/>
  <c r="F10" i="2"/>
  <c r="F11" i="2"/>
  <c r="F12" i="2"/>
  <c r="F13" i="2"/>
  <c r="D5" i="2"/>
  <c r="D6" i="2"/>
  <c r="D7" i="2"/>
  <c r="D8" i="2"/>
  <c r="D9" i="2"/>
  <c r="D10" i="2"/>
  <c r="D11" i="2"/>
  <c r="D12" i="2"/>
  <c r="D13" i="2"/>
  <c r="B5" i="2"/>
  <c r="B6" i="2"/>
  <c r="B7" i="2"/>
  <c r="B8" i="2"/>
  <c r="B9" i="2"/>
  <c r="B10" i="2"/>
  <c r="B11" i="2"/>
  <c r="B12" i="2"/>
  <c r="B13" i="2"/>
  <c r="M10" i="2"/>
  <c r="M9" i="2"/>
  <c r="M27" i="2" l="1"/>
  <c r="O20" i="2"/>
  <c r="N20" i="2"/>
  <c r="M20" i="2"/>
  <c r="O19" i="2"/>
  <c r="N19" i="2"/>
  <c r="M19" i="2"/>
  <c r="O18" i="2"/>
  <c r="N18" i="2"/>
  <c r="M18" i="2"/>
  <c r="O17" i="2"/>
  <c r="N17" i="2"/>
  <c r="M17" i="2"/>
  <c r="O16" i="2"/>
  <c r="N16" i="2"/>
  <c r="M16" i="2"/>
  <c r="O15" i="2"/>
  <c r="N15" i="2"/>
  <c r="M15" i="2"/>
  <c r="O14" i="2"/>
  <c r="N14" i="2"/>
  <c r="M14" i="2"/>
  <c r="O13" i="2"/>
  <c r="N13" i="2"/>
  <c r="M13" i="2"/>
  <c r="P12" i="2"/>
  <c r="O12" i="2"/>
  <c r="N12" i="2"/>
  <c r="M12" i="2"/>
  <c r="M8" i="2"/>
  <c r="A2" i="5" s="1"/>
  <c r="G14" i="2"/>
  <c r="E14" i="2"/>
  <c r="E13" i="2"/>
  <c r="E12" i="2"/>
  <c r="P20" i="2" s="1"/>
  <c r="E11" i="2"/>
  <c r="P19" i="2" s="1"/>
  <c r="E10" i="2"/>
  <c r="P18" i="2" s="1"/>
  <c r="E9" i="2"/>
  <c r="P17" i="2" s="1"/>
  <c r="E8" i="2"/>
  <c r="P16" i="2" s="1"/>
  <c r="E7" i="2"/>
  <c r="P15" i="2" s="1"/>
  <c r="E6" i="2"/>
  <c r="P14" i="2" s="1"/>
  <c r="E5" i="2"/>
  <c r="M22" i="2" l="1"/>
  <c r="J4" i="2"/>
  <c r="J14" i="2" s="1"/>
  <c r="P13" i="2"/>
  <c r="P23" i="2" s="1"/>
  <c r="P26" i="2" s="1"/>
  <c r="P27" i="2" s="1"/>
  <c r="G12" i="2"/>
  <c r="G8" i="2"/>
  <c r="G9" i="2"/>
  <c r="G5" i="2"/>
  <c r="G11" i="2"/>
  <c r="G7" i="2"/>
  <c r="G13" i="2"/>
  <c r="G10" i="2"/>
  <c r="G6" i="2"/>
  <c r="J15" i="2" l="1"/>
  <c r="P28" i="2" s="1"/>
  <c r="L8" i="4"/>
  <c r="L6" i="4"/>
  <c r="J6" i="4"/>
  <c r="C4" i="4"/>
  <c r="L14" i="4"/>
  <c r="L15" i="4"/>
  <c r="L16" i="4"/>
  <c r="L17" i="4"/>
  <c r="J14" i="4"/>
  <c r="J15" i="4"/>
  <c r="J16" i="4"/>
  <c r="J17" i="4"/>
  <c r="I14" i="4"/>
  <c r="I15" i="4"/>
  <c r="I16" i="4"/>
  <c r="I17" i="4"/>
  <c r="H14" i="4"/>
  <c r="K14" i="4" s="1"/>
  <c r="H15" i="4"/>
  <c r="K15" i="4" s="1"/>
  <c r="H16" i="4"/>
  <c r="K16" i="4" s="1"/>
  <c r="H17" i="4"/>
  <c r="K17" i="4" s="1"/>
  <c r="F14" i="4"/>
  <c r="F15" i="4"/>
  <c r="F16" i="4"/>
  <c r="F17" i="4"/>
  <c r="G2" i="4"/>
  <c r="F2" i="4"/>
  <c r="D2" i="4"/>
  <c r="C2" i="4"/>
  <c r="A3" i="4"/>
  <c r="A2" i="4" s="1"/>
  <c r="J16" i="2" l="1"/>
  <c r="O17" i="4"/>
  <c r="N17" i="4"/>
  <c r="M17" i="4"/>
  <c r="O16" i="4"/>
  <c r="N16" i="4"/>
  <c r="M16" i="4"/>
  <c r="O15" i="4"/>
  <c r="N15" i="4"/>
  <c r="M15" i="4"/>
  <c r="O14" i="4"/>
  <c r="N14" i="4"/>
  <c r="M14" i="4"/>
  <c r="N6" i="4" s="1"/>
  <c r="J8" i="4"/>
  <c r="N8" i="4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Auteur</author>
  </authors>
  <commentList>
    <comment ref="C13" authorId="0" shapeId="0" xr:uid="{4F090400-E8F4-46EA-82F8-64DAAA59C9D6}">
      <text>
        <r>
          <rPr>
            <b/>
            <i/>
            <sz val="10"/>
            <color indexed="10"/>
            <rFont val="Baskerville Old Face"/>
            <family val="1"/>
          </rPr>
          <t>Prix A HT</t>
        </r>
        <r>
          <rPr>
            <i/>
            <sz val="10"/>
            <color indexed="8"/>
            <rFont val="Baskerville Old Face"/>
            <family val="1"/>
          </rPr>
          <t xml:space="preserve">
Pris d'Achat Hors Taxe</t>
        </r>
      </text>
    </comment>
    <comment ref="D13" authorId="0" shapeId="0" xr:uid="{DB1AFC00-2C43-4A42-984A-B316B46CEC2D}">
      <text>
        <r>
          <rPr>
            <b/>
            <i/>
            <sz val="10"/>
            <color indexed="10"/>
            <rFont val="Baskerville Old Face"/>
            <family val="1"/>
          </rPr>
          <t>Prix U HT</t>
        </r>
        <r>
          <rPr>
            <i/>
            <sz val="10"/>
            <color indexed="8"/>
            <rFont val="Baskerville Old Face"/>
            <family val="1"/>
          </rPr>
          <t xml:space="preserve">
Prix Unitaire Hors Taxe</t>
        </r>
      </text>
    </comment>
    <comment ref="F13" authorId="0" shapeId="0" xr:uid="{9F820332-F845-4F87-BD1B-1235D1C992AD}">
      <text>
        <r>
          <rPr>
            <b/>
            <i/>
            <sz val="10"/>
            <color indexed="10"/>
            <rFont val="Baskerville Old Face"/>
            <family val="1"/>
          </rPr>
          <t>Prix U TTC</t>
        </r>
        <r>
          <rPr>
            <i/>
            <sz val="10"/>
            <color indexed="8"/>
            <rFont val="Baskerville Old Face"/>
            <family val="1"/>
          </rPr>
          <t xml:space="preserve">
Prix Unitaire Toutes Taxes Comprise</t>
        </r>
      </text>
    </comment>
    <comment ref="L13" authorId="0" shapeId="0" xr:uid="{76C86137-ACD0-489A-90C7-A2B57E57106E}">
      <text>
        <r>
          <rPr>
            <b/>
            <i/>
            <sz val="10"/>
            <color indexed="10"/>
            <rFont val="Baskerville Old Face"/>
            <family val="1"/>
          </rPr>
          <t>V S I HT</t>
        </r>
        <r>
          <rPr>
            <i/>
            <sz val="10"/>
            <color indexed="8"/>
            <rFont val="Baskerville Old Face"/>
            <family val="1"/>
          </rPr>
          <t xml:space="preserve">
Valeur Stock Initial Hors taxe</t>
        </r>
      </text>
    </comment>
    <comment ref="M13" authorId="0" shapeId="0" xr:uid="{4CC4CC3D-5C99-4893-8E0B-477EF0B91D3A}">
      <text>
        <r>
          <rPr>
            <b/>
            <i/>
            <sz val="10"/>
            <color indexed="10"/>
            <rFont val="Baskerville Old Face"/>
            <family val="1"/>
          </rPr>
          <t>V S F HT</t>
        </r>
        <r>
          <rPr>
            <i/>
            <sz val="10"/>
            <color indexed="8"/>
            <rFont val="Baskerville Old Face"/>
            <family val="1"/>
          </rPr>
          <t xml:space="preserve">
Valeur Stock Final Hors Taxe</t>
        </r>
      </text>
    </comment>
    <comment ref="N13" authorId="0" shapeId="0" xr:uid="{3297CDA0-51F4-461A-9F85-EC516A190EEF}">
      <text>
        <r>
          <rPr>
            <b/>
            <i/>
            <sz val="10"/>
            <color indexed="10"/>
            <rFont val="Baskerville Old Face"/>
            <family val="1"/>
          </rPr>
          <t>Total V HT</t>
        </r>
        <r>
          <rPr>
            <i/>
            <sz val="10"/>
            <color indexed="8"/>
            <rFont val="Baskerville Old Face"/>
            <family val="1"/>
          </rPr>
          <t xml:space="preserve">
Total Vente Hors Taxe</t>
        </r>
      </text>
    </comment>
    <comment ref="O13" authorId="0" shapeId="0" xr:uid="{062DA186-11F5-4A7D-BE00-52F80C9A979F}">
      <text>
        <r>
          <rPr>
            <b/>
            <i/>
            <sz val="10"/>
            <color indexed="10"/>
            <rFont val="Baskerville Old Face"/>
            <family val="1"/>
          </rPr>
          <t>Total V TTC</t>
        </r>
        <r>
          <rPr>
            <i/>
            <sz val="10"/>
            <color indexed="8"/>
            <rFont val="Baskerville Old Face"/>
            <family val="1"/>
          </rPr>
          <t xml:space="preserve">
Total Vente Toutes Taxes Comprise</t>
        </r>
      </text>
    </comment>
  </commentList>
</comments>
</file>

<file path=xl/sharedStrings.xml><?xml version="1.0" encoding="utf-8"?>
<sst xmlns="http://schemas.openxmlformats.org/spreadsheetml/2006/main" count="139" uniqueCount="96">
  <si>
    <t>A afficher</t>
  </si>
  <si>
    <t>Siret :</t>
  </si>
  <si>
    <t>+33 6 12 34 56 78</t>
  </si>
  <si>
    <t>Tel</t>
  </si>
  <si>
    <t>Amazon</t>
  </si>
  <si>
    <t>Ville1</t>
  </si>
  <si>
    <t>Ville</t>
  </si>
  <si>
    <t>Mondial Relay</t>
  </si>
  <si>
    <t>Rakuten</t>
  </si>
  <si>
    <t>En compte</t>
  </si>
  <si>
    <t>Société UE</t>
  </si>
  <si>
    <t>CP1</t>
  </si>
  <si>
    <t>CP</t>
  </si>
  <si>
    <t>La poste</t>
  </si>
  <si>
    <t>Cdiscount</t>
  </si>
  <si>
    <t>Carte Bancaire</t>
  </si>
  <si>
    <t>Hors.UE</t>
  </si>
  <si>
    <t>Addr 2</t>
  </si>
  <si>
    <t>Adresse 2</t>
  </si>
  <si>
    <t>GLS</t>
  </si>
  <si>
    <t>eBay</t>
  </si>
  <si>
    <t>Virement</t>
  </si>
  <si>
    <t>UE</t>
  </si>
  <si>
    <t>Addr1</t>
  </si>
  <si>
    <t>Adresse 1</t>
  </si>
  <si>
    <t>Comptoir</t>
  </si>
  <si>
    <t>Site</t>
  </si>
  <si>
    <t>Chèque</t>
  </si>
  <si>
    <t>FR</t>
  </si>
  <si>
    <t>STE ABC</t>
  </si>
  <si>
    <t>Société :</t>
  </si>
  <si>
    <t>Date</t>
  </si>
  <si>
    <t>FdV</t>
  </si>
  <si>
    <t>Ref</t>
  </si>
  <si>
    <t>Entrée</t>
  </si>
  <si>
    <t>Sortie</t>
  </si>
  <si>
    <t>Destockage</t>
  </si>
  <si>
    <t>Description</t>
  </si>
  <si>
    <t>Entrée Stock</t>
  </si>
  <si>
    <t>REASSORT / DESTOCKAGE</t>
  </si>
  <si>
    <t>Motif</t>
  </si>
  <si>
    <t>Déstockage</t>
  </si>
  <si>
    <t>Produits</t>
  </si>
  <si>
    <t>Nom</t>
  </si>
  <si>
    <t>Prix A HT</t>
  </si>
  <si>
    <t>Prix U HT</t>
  </si>
  <si>
    <t>TVA</t>
  </si>
  <si>
    <t>Prix U TTC</t>
  </si>
  <si>
    <t>Stock I</t>
  </si>
  <si>
    <t>Stock F</t>
  </si>
  <si>
    <t>V S I HT</t>
  </si>
  <si>
    <t>V S F HT</t>
  </si>
  <si>
    <t>Total V HT</t>
  </si>
  <si>
    <t>Total V TTC</t>
  </si>
  <si>
    <t>test</t>
  </si>
  <si>
    <t>DOUDOU MAILEG LAPIN ROSE ANGEL DANS UNE CHAUSSETTE MINI PANTIN</t>
  </si>
  <si>
    <t>YU-IS91-HIZS</t>
  </si>
  <si>
    <t>Doudou et Compagnie Lapin Celeste Boule DC2399</t>
  </si>
  <si>
    <t>news</t>
  </si>
  <si>
    <t>Doudou et compagnie ours plat arc en ciel nuage de couleur DC1031</t>
  </si>
  <si>
    <t>M47</t>
  </si>
  <si>
    <t>Doudou Kaloo  Perle ours Ourson marionnette bleu</t>
  </si>
  <si>
    <t>VALEUR STOCK</t>
  </si>
  <si>
    <t>Par Ref</t>
  </si>
  <si>
    <t>Stock H.T</t>
  </si>
  <si>
    <t>Stock V H.T</t>
  </si>
  <si>
    <t>Plateforme</t>
  </si>
  <si>
    <t>N° de commande</t>
  </si>
  <si>
    <t>230-258</t>
  </si>
  <si>
    <t>Nom Pdt</t>
  </si>
  <si>
    <t>Quantité</t>
  </si>
  <si>
    <t>Prix total</t>
  </si>
  <si>
    <t>Sock initial</t>
  </si>
  <si>
    <t>Stock restant</t>
  </si>
  <si>
    <t>Total commande</t>
  </si>
  <si>
    <t>TVA Applicable</t>
  </si>
  <si>
    <t>Réduction</t>
  </si>
  <si>
    <t>Frais de Port</t>
  </si>
  <si>
    <t>Transporteur</t>
  </si>
  <si>
    <t>Pas au-delà</t>
  </si>
  <si>
    <t/>
  </si>
  <si>
    <t>TOTAL TTC PAYE</t>
  </si>
  <si>
    <t>HT</t>
  </si>
  <si>
    <t>Type de règlement</t>
  </si>
  <si>
    <t>Fiche de vente</t>
  </si>
  <si>
    <t>2021-313</t>
  </si>
  <si>
    <t>LIBELLE</t>
  </si>
  <si>
    <t>QTE</t>
  </si>
  <si>
    <t>PU</t>
  </si>
  <si>
    <t>TOTAL</t>
  </si>
  <si>
    <t>Total Commandé</t>
  </si>
  <si>
    <t>TOTAL EUR</t>
  </si>
  <si>
    <t>Merci pour votre achat</t>
  </si>
  <si>
    <t>Fdv</t>
  </si>
  <si>
    <t>Règlement</t>
  </si>
  <si>
    <t>TOTAL PAYE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</si>
</sst>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1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.00\ [$€-40C]_-;\-* #,##0.00\ [$€-40C]_-;_-* &quot;-&quot;??\ [$€-40C]_-;_-@_-"/>
    <numFmt numFmtId="165" formatCode="#,##0.000000"/>
    <numFmt numFmtId="166" formatCode="#,###;\-#,###;;@"/>
    <numFmt numFmtId="167" formatCode="_-* #,##0\ _€_-;\-* #,##0\ _€_-;_-* &quot;-&quot;??\ _€_-;_-@_-"/>
    <numFmt numFmtId="168" formatCode="0;\-0;;@"/>
    <numFmt numFmtId="169" formatCode="0.00&quot; Eur&quot;;\-0.00&quot; Eur&quot;;;@"/>
    <numFmt numFmtId="170" formatCode="0&quot; articles&quot;"/>
    <numFmt numFmtId="171" formatCode="0.00&quot; Eur&quot;;0.00&quot; Eur&quot;;;@"/>
    <numFmt numFmtId="172" formatCode="_-* #,##0.00,&quot;Eur&quot;;\-* #,##0.00&quot; Eur&quot;_-;;_-@_-"/>
  </numFmts>
  <fonts count="2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1"/>
      <name val="Calibri"/>
      <family val="2"/>
      <scheme val="minor"/>
    </font>
    <font>
      <b/>
      <i/>
      <sz val="10"/>
      <color indexed="10"/>
      <name val="Baskerville Old Face"/>
      <family val="1"/>
    </font>
    <font>
      <i/>
      <sz val="10"/>
      <color indexed="8"/>
      <name val="Baskerville Old Face"/>
      <family val="1"/>
    </font>
    <font>
      <sz val="10"/>
      <name val="Arial"/>
      <family val="2"/>
    </font>
    <font>
      <sz val="9"/>
      <color theme="0"/>
      <name val="Calibri"/>
      <family val="2"/>
      <scheme val="minor"/>
    </font>
    <font>
      <sz val="15"/>
      <color rgb="FF000000"/>
      <name val="Calibri"/>
      <family val="2"/>
    </font>
    <font>
      <b/>
      <sz val="11"/>
      <color theme="0"/>
      <name val="Baskerville Old Face"/>
      <family val="1"/>
    </font>
    <font>
      <sz val="12"/>
      <color theme="1"/>
      <name val="Calibri"/>
      <family val="2"/>
      <scheme val="minor"/>
    </font>
    <font>
      <sz val="14"/>
      <color theme="0"/>
      <name val="Baskerville Old Face"/>
      <family val="1"/>
    </font>
    <font>
      <sz val="11"/>
      <color theme="0"/>
      <name val="Baskerville Old Face"/>
      <family val="1"/>
    </font>
    <font>
      <sz val="12"/>
      <color theme="1"/>
      <name val="Baskerville Old Face"/>
      <family val="1"/>
    </font>
    <font>
      <sz val="14"/>
      <color theme="1"/>
      <name val="Baskerville Old Face"/>
      <family val="1"/>
    </font>
    <font>
      <b/>
      <sz val="12"/>
      <color theme="0"/>
      <name val="Calibri"/>
      <family val="2"/>
      <scheme val="minor"/>
    </font>
    <font>
      <sz val="10"/>
      <color theme="0"/>
      <name val="Calibri"/>
      <family val="2"/>
      <scheme val="minor"/>
    </font>
    <font>
      <sz val="10"/>
      <color theme="1"/>
      <name val="Baskerville Old Face"/>
      <family val="1"/>
    </font>
    <font>
      <b/>
      <sz val="11"/>
      <color theme="1"/>
      <name val="Calibri Light"/>
      <family val="2"/>
      <scheme val="major"/>
    </font>
    <font>
      <sz val="9"/>
      <color theme="1"/>
      <name val="Arial"/>
      <family val="2"/>
    </font>
    <font>
      <sz val="9"/>
      <color theme="1"/>
      <name val="Calibri"/>
      <family val="2"/>
      <scheme val="minor"/>
    </font>
    <font>
      <b/>
      <sz val="9"/>
      <color theme="1"/>
      <name val="Arial"/>
      <family val="2"/>
    </font>
    <font>
      <sz val="7"/>
      <color theme="1"/>
      <name val="Arial"/>
      <family val="2"/>
    </font>
    <font>
      <sz val="7"/>
      <color theme="1"/>
      <name val="Calibri"/>
      <family val="2"/>
      <scheme val="minor"/>
    </font>
    <font>
      <b/>
      <sz val="10"/>
      <color theme="0"/>
      <name val="Baskerville Old Face"/>
      <family val="1"/>
    </font>
    <font>
      <b/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36">
    <border>
      <left/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indexed="64"/>
      </left>
      <right/>
      <top/>
      <bottom style="dotted">
        <color indexed="64"/>
      </bottom>
      <diagonal/>
    </border>
    <border>
      <left/>
      <right/>
      <top/>
      <bottom style="dotted">
        <color indexed="64"/>
      </bottom>
      <diagonal/>
    </border>
    <border>
      <left/>
      <right style="thin">
        <color auto="1"/>
      </right>
      <top/>
      <bottom style="dotted">
        <color indexed="64"/>
      </bottom>
      <diagonal/>
    </border>
    <border>
      <left style="thin">
        <color auto="1"/>
      </left>
      <right/>
      <top style="dotted">
        <color indexed="64"/>
      </top>
      <bottom/>
      <diagonal/>
    </border>
    <border>
      <left/>
      <right/>
      <top style="dotted">
        <color indexed="64"/>
      </top>
      <bottom/>
      <diagonal/>
    </border>
    <border>
      <left/>
      <right style="thin">
        <color auto="1"/>
      </right>
      <top style="dotted">
        <color indexed="64"/>
      </top>
      <bottom/>
      <diagonal/>
    </border>
    <border>
      <left style="thin">
        <color auto="1"/>
      </left>
      <right/>
      <top style="dotted">
        <color auto="1"/>
      </top>
      <bottom style="dotted">
        <color auto="1"/>
      </bottom>
      <diagonal/>
    </border>
    <border>
      <left/>
      <right/>
      <top style="dotted">
        <color auto="1"/>
      </top>
      <bottom style="dotted">
        <color auto="1"/>
      </bottom>
      <diagonal/>
    </border>
    <border>
      <left/>
      <right style="thin">
        <color auto="1"/>
      </right>
      <top style="dotted">
        <color auto="1"/>
      </top>
      <bottom style="dotted">
        <color auto="1"/>
      </bottom>
      <diagonal/>
    </border>
    <border>
      <left style="thin">
        <color indexed="64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n">
        <color indexed="64"/>
      </right>
      <top style="thick">
        <color auto="1"/>
      </top>
      <bottom style="thick">
        <color auto="1"/>
      </bottom>
      <diagonal/>
    </border>
    <border>
      <left style="thin">
        <color indexed="64"/>
      </left>
      <right/>
      <top style="thick">
        <color auto="1"/>
      </top>
      <bottom style="dotted">
        <color indexed="64"/>
      </bottom>
      <diagonal/>
    </border>
    <border>
      <left/>
      <right/>
      <top style="thick">
        <color auto="1"/>
      </top>
      <bottom style="dotted">
        <color indexed="64"/>
      </bottom>
      <diagonal/>
    </border>
    <border>
      <left/>
      <right style="thin">
        <color indexed="64"/>
      </right>
      <top style="thick">
        <color auto="1"/>
      </top>
      <bottom style="dotted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5">
    <xf numFmtId="0" fontId="0" fillId="0" borderId="0"/>
    <xf numFmtId="0" fontId="9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43">
    <xf numFmtId="0" fontId="0" fillId="0" borderId="0" xfId="0"/>
    <xf numFmtId="0" fontId="20" fillId="5" borderId="18" xfId="0" applyFont="1" applyFill="1" applyBorder="1" applyAlignment="1" applyProtection="1">
      <alignment horizontal="center" vertical="center" wrapText="1"/>
      <protection hidden="1"/>
    </xf>
    <xf numFmtId="49" fontId="0" fillId="0" borderId="1" xfId="0" applyNumberFormat="1" applyBorder="1"/>
    <xf numFmtId="0" fontId="0" fillId="0" borderId="2" xfId="0" applyBorder="1"/>
    <xf numFmtId="0" fontId="0" fillId="0" borderId="3" xfId="0" applyBorder="1"/>
    <xf numFmtId="0" fontId="0" fillId="0" borderId="4" xfId="0" quotePrefix="1" applyBorder="1"/>
    <xf numFmtId="0" fontId="0" fillId="0" borderId="5" xfId="0" applyBorder="1"/>
    <xf numFmtId="0" fontId="0" fillId="0" borderId="4" xfId="0" applyBorder="1"/>
    <xf numFmtId="9" fontId="0" fillId="0" borderId="4" xfId="4" applyFont="1" applyBorder="1"/>
    <xf numFmtId="0" fontId="0" fillId="0" borderId="6" xfId="0" applyBorder="1"/>
    <xf numFmtId="0" fontId="0" fillId="0" borderId="7" xfId="0" applyBorder="1"/>
    <xf numFmtId="0" fontId="0" fillId="2" borderId="0" xfId="0" applyFill="1"/>
    <xf numFmtId="0" fontId="3" fillId="2" borderId="0" xfId="0" applyFont="1" applyFill="1"/>
    <xf numFmtId="0" fontId="2" fillId="2" borderId="0" xfId="0" applyFont="1" applyFill="1"/>
    <xf numFmtId="14" fontId="5" fillId="2" borderId="0" xfId="0" applyNumberFormat="1" applyFont="1" applyFill="1" applyAlignment="1">
      <alignment vertical="center"/>
    </xf>
    <xf numFmtId="14" fontId="6" fillId="0" borderId="0" xfId="0" applyNumberFormat="1" applyFont="1" applyFill="1" applyBorder="1" applyAlignment="1">
      <alignment horizontal="center"/>
    </xf>
    <xf numFmtId="0" fontId="6" fillId="0" borderId="0" xfId="0" applyFont="1" applyFill="1" applyBorder="1" applyAlignment="1">
      <alignment horizontal="center"/>
    </xf>
    <xf numFmtId="14" fontId="0" fillId="0" borderId="0" xfId="0" applyNumberFormat="1"/>
    <xf numFmtId="0" fontId="2" fillId="2" borderId="11" xfId="0" applyFont="1" applyFill="1" applyBorder="1" applyAlignment="1">
      <alignment horizontal="center" vertical="center"/>
    </xf>
    <xf numFmtId="164" fontId="2" fillId="2" borderId="11" xfId="0" applyNumberFormat="1" applyFont="1" applyFill="1" applyBorder="1" applyAlignment="1">
      <alignment horizontal="center" vertical="center"/>
    </xf>
    <xf numFmtId="0" fontId="0" fillId="0" borderId="0" xfId="1" applyNumberFormat="1" applyFont="1" applyFill="1" applyBorder="1" applyAlignment="1" applyProtection="1">
      <alignment horizontal="left" vertical="center"/>
    </xf>
    <xf numFmtId="165" fontId="0" fillId="0" borderId="0" xfId="1" applyNumberFormat="1" applyFont="1" applyFill="1" applyBorder="1" applyAlignment="1" applyProtection="1">
      <alignment horizontal="right" vertical="center"/>
    </xf>
    <xf numFmtId="9" fontId="0" fillId="0" borderId="0" xfId="0" applyNumberFormat="1"/>
    <xf numFmtId="44" fontId="0" fillId="0" borderId="0" xfId="3" applyFont="1"/>
    <xf numFmtId="14" fontId="2" fillId="2" borderId="11" xfId="0" applyNumberFormat="1" applyFont="1" applyFill="1" applyBorder="1" applyAlignment="1">
      <alignment horizontal="center"/>
    </xf>
    <xf numFmtId="0" fontId="2" fillId="2" borderId="11" xfId="0" applyFont="1" applyFill="1" applyBorder="1" applyAlignment="1">
      <alignment horizontal="center"/>
    </xf>
    <xf numFmtId="164" fontId="0" fillId="0" borderId="0" xfId="2" applyNumberFormat="1" applyFont="1"/>
    <xf numFmtId="0" fontId="0" fillId="0" borderId="8" xfId="0" applyFill="1" applyBorder="1"/>
    <xf numFmtId="0" fontId="10" fillId="2" borderId="0" xfId="0" applyFont="1" applyFill="1"/>
    <xf numFmtId="0" fontId="0" fillId="0" borderId="8" xfId="0" applyFill="1" applyBorder="1" applyAlignment="1">
      <alignment horizontal="center"/>
    </xf>
    <xf numFmtId="44" fontId="0" fillId="0" borderId="8" xfId="3" applyFont="1" applyFill="1" applyBorder="1"/>
    <xf numFmtId="0" fontId="6" fillId="0" borderId="8" xfId="0" applyFont="1" applyFill="1" applyBorder="1"/>
    <xf numFmtId="0" fontId="12" fillId="2" borderId="0" xfId="0" applyFont="1" applyFill="1" applyBorder="1" applyAlignment="1" applyProtection="1">
      <alignment horizontal="left" vertical="center"/>
      <protection hidden="1"/>
    </xf>
    <xf numFmtId="0" fontId="13" fillId="0" borderId="0" xfId="0" applyFont="1"/>
    <xf numFmtId="0" fontId="14" fillId="2" borderId="7" xfId="0" applyFont="1" applyFill="1" applyBorder="1" applyAlignment="1" applyProtection="1">
      <alignment horizontal="center" vertical="center"/>
      <protection hidden="1"/>
    </xf>
    <xf numFmtId="0" fontId="14" fillId="2" borderId="0" xfId="0" applyFont="1" applyFill="1" applyBorder="1" applyAlignment="1" applyProtection="1">
      <alignment horizontal="center" vertical="center"/>
      <protection hidden="1"/>
    </xf>
    <xf numFmtId="0" fontId="15" fillId="2" borderId="0" xfId="0" applyFont="1" applyFill="1" applyBorder="1" applyAlignment="1" applyProtection="1">
      <alignment horizontal="left" vertical="center"/>
      <protection hidden="1"/>
    </xf>
    <xf numFmtId="164" fontId="3" fillId="2" borderId="0" xfId="0" applyNumberFormat="1" applyFont="1" applyFill="1" applyAlignment="1">
      <alignment horizontal="left"/>
    </xf>
    <xf numFmtId="0" fontId="0" fillId="3" borderId="13" xfId="1" applyNumberFormat="1" applyFont="1" applyFill="1" applyBorder="1" applyAlignment="1">
      <alignment horizontal="left" vertical="center"/>
    </xf>
    <xf numFmtId="0" fontId="13" fillId="3" borderId="13" xfId="1" applyNumberFormat="1" applyFont="1" applyFill="1" applyBorder="1" applyAlignment="1">
      <alignment horizontal="left" vertical="center"/>
    </xf>
    <xf numFmtId="0" fontId="13" fillId="3" borderId="13" xfId="1" applyNumberFormat="1" applyFont="1" applyFill="1" applyBorder="1" applyAlignment="1">
      <alignment horizontal="center" vertical="center"/>
    </xf>
    <xf numFmtId="44" fontId="13" fillId="3" borderId="13" xfId="3" applyFont="1" applyFill="1" applyBorder="1" applyAlignment="1">
      <alignment horizontal="left" vertical="center"/>
    </xf>
    <xf numFmtId="0" fontId="0" fillId="0" borderId="13" xfId="1" applyNumberFormat="1" applyFont="1" applyBorder="1" applyAlignment="1">
      <alignment horizontal="left" vertical="center"/>
    </xf>
    <xf numFmtId="0" fontId="13" fillId="0" borderId="13" xfId="1" applyNumberFormat="1" applyFont="1" applyBorder="1" applyAlignment="1">
      <alignment horizontal="left" vertical="center"/>
    </xf>
    <xf numFmtId="0" fontId="13" fillId="0" borderId="13" xfId="1" applyNumberFormat="1" applyFont="1" applyBorder="1" applyAlignment="1">
      <alignment horizontal="center" vertical="center"/>
    </xf>
    <xf numFmtId="44" fontId="13" fillId="0" borderId="13" xfId="3" applyFont="1" applyBorder="1" applyAlignment="1">
      <alignment horizontal="left" vertical="center"/>
    </xf>
    <xf numFmtId="0" fontId="13" fillId="4" borderId="0" xfId="0" applyFont="1" applyFill="1"/>
    <xf numFmtId="0" fontId="13" fillId="2" borderId="0" xfId="0" applyFont="1" applyFill="1"/>
    <xf numFmtId="164" fontId="0" fillId="4" borderId="0" xfId="0" applyNumberFormat="1" applyFont="1" applyFill="1" applyAlignment="1"/>
    <xf numFmtId="164" fontId="0" fillId="2" borderId="0" xfId="0" applyNumberFormat="1" applyFont="1" applyFill="1" applyAlignment="1">
      <alignment horizontal="left"/>
    </xf>
    <xf numFmtId="164" fontId="0" fillId="2" borderId="0" xfId="0" applyNumberFormat="1" applyFont="1" applyFill="1" applyAlignment="1"/>
    <xf numFmtId="164" fontId="0" fillId="4" borderId="0" xfId="2" applyNumberFormat="1" applyFont="1" applyFill="1" applyAlignment="1"/>
    <xf numFmtId="164" fontId="0" fillId="2" borderId="0" xfId="2" applyNumberFormat="1" applyFont="1" applyFill="1" applyAlignment="1">
      <alignment horizontal="left"/>
    </xf>
    <xf numFmtId="164" fontId="0" fillId="2" borderId="0" xfId="2" applyNumberFormat="1" applyFont="1" applyFill="1" applyAlignment="1"/>
    <xf numFmtId="0" fontId="0" fillId="4" borderId="0" xfId="0" applyFont="1" applyFill="1" applyAlignment="1">
      <alignment horizontal="left"/>
    </xf>
    <xf numFmtId="0" fontId="0" fillId="2" borderId="0" xfId="0" applyFont="1" applyFill="1" applyAlignment="1">
      <alignment horizontal="left"/>
    </xf>
    <xf numFmtId="0" fontId="16" fillId="0" borderId="0" xfId="0" applyFont="1" applyFill="1" applyBorder="1" applyProtection="1">
      <protection locked="0" hidden="1"/>
    </xf>
    <xf numFmtId="166" fontId="17" fillId="0" borderId="0" xfId="2" applyNumberFormat="1" applyFont="1" applyFill="1" applyBorder="1" applyProtection="1">
      <protection hidden="1"/>
    </xf>
    <xf numFmtId="164" fontId="17" fillId="0" borderId="0" xfId="0" applyNumberFormat="1" applyFont="1" applyFill="1" applyBorder="1" applyProtection="1">
      <protection hidden="1"/>
    </xf>
    <xf numFmtId="164" fontId="17" fillId="0" borderId="0" xfId="3" applyNumberFormat="1" applyFont="1" applyFill="1" applyBorder="1" applyProtection="1">
      <protection hidden="1"/>
    </xf>
    <xf numFmtId="167" fontId="17" fillId="0" borderId="0" xfId="2" applyNumberFormat="1" applyFont="1" applyFill="1" applyBorder="1" applyAlignment="1" applyProtection="1">
      <alignment horizontal="center" vertical="center"/>
      <protection hidden="1"/>
    </xf>
    <xf numFmtId="0" fontId="18" fillId="2" borderId="0" xfId="0" applyFont="1" applyFill="1"/>
    <xf numFmtId="164" fontId="2" fillId="2" borderId="0" xfId="0" applyNumberFormat="1" applyFont="1" applyFill="1"/>
    <xf numFmtId="0" fontId="19" fillId="2" borderId="0" xfId="0" applyFont="1" applyFill="1"/>
    <xf numFmtId="43" fontId="19" fillId="2" borderId="0" xfId="2" applyFont="1" applyFill="1"/>
    <xf numFmtId="43" fontId="3" fillId="2" borderId="0" xfId="0" applyNumberFormat="1" applyFont="1" applyFill="1"/>
    <xf numFmtId="0" fontId="20" fillId="4" borderId="16" xfId="0" applyFont="1" applyFill="1" applyBorder="1" applyAlignment="1" applyProtection="1">
      <protection hidden="1"/>
    </xf>
    <xf numFmtId="0" fontId="20" fillId="4" borderId="0" xfId="0" applyFont="1" applyFill="1" applyBorder="1" applyAlignment="1" applyProtection="1">
      <protection hidden="1"/>
    </xf>
    <xf numFmtId="0" fontId="20" fillId="4" borderId="17" xfId="0" applyFont="1" applyFill="1" applyBorder="1" applyAlignment="1" applyProtection="1">
      <protection hidden="1"/>
    </xf>
    <xf numFmtId="0" fontId="20" fillId="4" borderId="18" xfId="0" applyFont="1" applyFill="1" applyBorder="1" applyAlignment="1" applyProtection="1">
      <protection hidden="1"/>
    </xf>
    <xf numFmtId="0" fontId="20" fillId="4" borderId="19" xfId="0" applyFont="1" applyFill="1" applyBorder="1" applyAlignment="1" applyProtection="1">
      <protection hidden="1"/>
    </xf>
    <xf numFmtId="0" fontId="20" fillId="4" borderId="20" xfId="0" applyFont="1" applyFill="1" applyBorder="1" applyAlignment="1" applyProtection="1">
      <protection hidden="1"/>
    </xf>
    <xf numFmtId="0" fontId="22" fillId="0" borderId="24" xfId="0" applyFont="1" applyBorder="1" applyAlignment="1" applyProtection="1">
      <protection hidden="1"/>
    </xf>
    <xf numFmtId="0" fontId="22" fillId="0" borderId="25" xfId="0" applyFont="1" applyBorder="1" applyAlignment="1" applyProtection="1">
      <protection hidden="1"/>
    </xf>
    <xf numFmtId="0" fontId="22" fillId="0" borderId="26" xfId="0" applyFont="1" applyBorder="1" applyAlignment="1" applyProtection="1">
      <protection hidden="1"/>
    </xf>
    <xf numFmtId="0" fontId="22" fillId="0" borderId="16" xfId="0" applyFont="1" applyBorder="1" applyAlignment="1" applyProtection="1">
      <alignment horizontal="left"/>
      <protection hidden="1"/>
    </xf>
    <xf numFmtId="168" fontId="22" fillId="0" borderId="0" xfId="2" applyNumberFormat="1" applyFont="1" applyBorder="1" applyAlignment="1" applyProtection="1">
      <alignment horizontal="center"/>
      <protection hidden="1"/>
    </xf>
    <xf numFmtId="43" fontId="22" fillId="0" borderId="0" xfId="2" applyFont="1" applyBorder="1" applyAlignment="1" applyProtection="1">
      <alignment horizontal="left"/>
      <protection hidden="1"/>
    </xf>
    <xf numFmtId="169" fontId="0" fillId="0" borderId="17" xfId="0" applyNumberFormat="1" applyBorder="1"/>
    <xf numFmtId="0" fontId="22" fillId="0" borderId="16" xfId="0" applyFont="1" applyBorder="1" applyAlignment="1" applyProtection="1">
      <protection hidden="1"/>
    </xf>
    <xf numFmtId="43" fontId="22" fillId="0" borderId="0" xfId="2" applyFont="1" applyBorder="1" applyAlignment="1" applyProtection="1">
      <protection hidden="1"/>
    </xf>
    <xf numFmtId="0" fontId="22" fillId="0" borderId="0" xfId="0" applyFont="1" applyBorder="1" applyAlignment="1" applyProtection="1">
      <protection hidden="1"/>
    </xf>
    <xf numFmtId="0" fontId="22" fillId="0" borderId="17" xfId="0" applyFont="1" applyBorder="1" applyAlignment="1" applyProtection="1">
      <protection hidden="1"/>
    </xf>
    <xf numFmtId="170" fontId="23" fillId="0" borderId="18" xfId="0" applyNumberFormat="1" applyFont="1" applyBorder="1" applyAlignment="1"/>
    <xf numFmtId="170" fontId="23" fillId="0" borderId="19" xfId="0" applyNumberFormat="1" applyFont="1" applyBorder="1" applyAlignment="1"/>
    <xf numFmtId="170" fontId="23" fillId="0" borderId="19" xfId="0" applyNumberFormat="1" applyFont="1" applyBorder="1" applyAlignment="1">
      <alignment horizontal="left"/>
    </xf>
    <xf numFmtId="0" fontId="0" fillId="0" borderId="20" xfId="0" applyBorder="1"/>
    <xf numFmtId="0" fontId="0" fillId="0" borderId="16" xfId="0" applyBorder="1"/>
    <xf numFmtId="0" fontId="0" fillId="0" borderId="0" xfId="0" applyBorder="1"/>
    <xf numFmtId="171" fontId="22" fillId="0" borderId="17" xfId="2" applyNumberFormat="1" applyFont="1" applyBorder="1" applyAlignment="1" applyProtection="1">
      <alignment horizontal="right"/>
      <protection hidden="1"/>
    </xf>
    <xf numFmtId="169" fontId="22" fillId="0" borderId="17" xfId="2" applyNumberFormat="1" applyFont="1" applyBorder="1" applyAlignment="1" applyProtection="1">
      <alignment horizontal="right"/>
      <protection hidden="1"/>
    </xf>
    <xf numFmtId="0" fontId="24" fillId="0" borderId="27" xfId="0" applyFont="1" applyBorder="1" applyAlignment="1" applyProtection="1">
      <protection hidden="1"/>
    </xf>
    <xf numFmtId="0" fontId="0" fillId="0" borderId="28" xfId="0" applyBorder="1"/>
    <xf numFmtId="169" fontId="24" fillId="0" borderId="29" xfId="2" applyNumberFormat="1" applyFont="1" applyBorder="1" applyAlignment="1" applyProtection="1">
      <alignment horizontal="right"/>
      <protection hidden="1"/>
    </xf>
    <xf numFmtId="0" fontId="22" fillId="5" borderId="30" xfId="0" applyFont="1" applyFill="1" applyBorder="1" applyAlignment="1" applyProtection="1">
      <protection hidden="1"/>
    </xf>
    <xf numFmtId="0" fontId="0" fillId="5" borderId="31" xfId="0" applyFill="1" applyBorder="1"/>
    <xf numFmtId="169" fontId="22" fillId="5" borderId="32" xfId="2" applyNumberFormat="1" applyFont="1" applyFill="1" applyBorder="1" applyAlignment="1" applyProtection="1">
      <alignment horizontal="right"/>
      <protection hidden="1"/>
    </xf>
    <xf numFmtId="172" fontId="25" fillId="0" borderId="16" xfId="2" applyNumberFormat="1" applyFont="1" applyBorder="1" applyAlignment="1" applyProtection="1">
      <protection hidden="1"/>
    </xf>
    <xf numFmtId="172" fontId="25" fillId="0" borderId="0" xfId="2" applyNumberFormat="1" applyFont="1" applyBorder="1" applyAlignment="1" applyProtection="1">
      <protection hidden="1"/>
    </xf>
    <xf numFmtId="172" fontId="25" fillId="0" borderId="0" xfId="2" applyNumberFormat="1" applyFont="1" applyBorder="1" applyAlignment="1" applyProtection="1">
      <alignment horizontal="center"/>
      <protection hidden="1"/>
    </xf>
    <xf numFmtId="169" fontId="25" fillId="0" borderId="17" xfId="2" applyNumberFormat="1" applyFont="1" applyBorder="1" applyAlignment="1" applyProtection="1">
      <alignment horizontal="right"/>
      <protection hidden="1"/>
    </xf>
    <xf numFmtId="172" fontId="25" fillId="0" borderId="16" xfId="2" applyNumberFormat="1" applyFont="1" applyBorder="1" applyAlignment="1" applyProtection="1">
      <alignment horizontal="left"/>
      <protection hidden="1"/>
    </xf>
    <xf numFmtId="169" fontId="25" fillId="0" borderId="0" xfId="2" applyNumberFormat="1" applyFont="1" applyBorder="1" applyAlignment="1" applyProtection="1">
      <alignment horizontal="right"/>
      <protection hidden="1"/>
    </xf>
    <xf numFmtId="0" fontId="26" fillId="0" borderId="0" xfId="0" applyFont="1" applyBorder="1"/>
    <xf numFmtId="172" fontId="25" fillId="0" borderId="17" xfId="2" applyNumberFormat="1" applyFont="1" applyBorder="1" applyAlignment="1" applyProtection="1">
      <alignment horizontal="left"/>
      <protection hidden="1"/>
    </xf>
    <xf numFmtId="0" fontId="20" fillId="5" borderId="19" xfId="0" applyFont="1" applyFill="1" applyBorder="1" applyAlignment="1" applyProtection="1">
      <alignment horizontal="center" vertical="center" wrapText="1"/>
      <protection hidden="1"/>
    </xf>
    <xf numFmtId="0" fontId="20" fillId="5" borderId="20" xfId="0" applyFont="1" applyFill="1" applyBorder="1" applyAlignment="1" applyProtection="1">
      <alignment horizontal="center" vertical="center" wrapText="1"/>
      <protection hidden="1"/>
    </xf>
    <xf numFmtId="0" fontId="21" fillId="0" borderId="21" xfId="0" applyFont="1" applyBorder="1" applyAlignment="1">
      <alignment horizontal="center"/>
    </xf>
    <xf numFmtId="0" fontId="21" fillId="0" borderId="22" xfId="0" applyFont="1" applyBorder="1" applyAlignment="1">
      <alignment horizontal="center"/>
    </xf>
    <xf numFmtId="0" fontId="21" fillId="0" borderId="23" xfId="0" applyFont="1" applyBorder="1" applyAlignment="1">
      <alignment horizontal="center"/>
    </xf>
    <xf numFmtId="0" fontId="20" fillId="4" borderId="16" xfId="0" applyFont="1" applyFill="1" applyBorder="1" applyAlignment="1" applyProtection="1">
      <alignment horizontal="center"/>
      <protection hidden="1"/>
    </xf>
    <xf numFmtId="0" fontId="20" fillId="4" borderId="0" xfId="0" applyFont="1" applyFill="1" applyBorder="1" applyAlignment="1" applyProtection="1">
      <alignment horizontal="center"/>
      <protection hidden="1"/>
    </xf>
    <xf numFmtId="0" fontId="20" fillId="4" borderId="17" xfId="0" applyFont="1" applyFill="1" applyBorder="1" applyAlignment="1" applyProtection="1">
      <alignment horizontal="center"/>
      <protection hidden="1"/>
    </xf>
    <xf numFmtId="22" fontId="20" fillId="0" borderId="16" xfId="0" applyNumberFormat="1" applyFont="1" applyBorder="1" applyAlignment="1" applyProtection="1">
      <alignment horizontal="left"/>
      <protection hidden="1"/>
    </xf>
    <xf numFmtId="22" fontId="20" fillId="0" borderId="0" xfId="0" applyNumberFormat="1" applyFont="1" applyBorder="1" applyAlignment="1" applyProtection="1">
      <alignment horizontal="left"/>
      <protection hidden="1"/>
    </xf>
    <xf numFmtId="22" fontId="20" fillId="0" borderId="17" xfId="0" applyNumberFormat="1" applyFont="1" applyBorder="1" applyAlignment="1" applyProtection="1">
      <alignment horizontal="left"/>
      <protection hidden="1"/>
    </xf>
    <xf numFmtId="0" fontId="20" fillId="5" borderId="16" xfId="0" applyFont="1" applyFill="1" applyBorder="1" applyAlignment="1" applyProtection="1">
      <alignment horizontal="center"/>
      <protection hidden="1"/>
    </xf>
    <xf numFmtId="0" fontId="20" fillId="5" borderId="0" xfId="0" applyFont="1" applyFill="1" applyBorder="1" applyAlignment="1" applyProtection="1">
      <alignment horizontal="center"/>
      <protection hidden="1"/>
    </xf>
    <xf numFmtId="0" fontId="20" fillId="5" borderId="17" xfId="0" applyFont="1" applyFill="1" applyBorder="1" applyAlignment="1" applyProtection="1">
      <alignment horizontal="center"/>
      <protection hidden="1"/>
    </xf>
    <xf numFmtId="0" fontId="23" fillId="0" borderId="33" xfId="0" applyFont="1" applyBorder="1" applyAlignment="1">
      <alignment horizontal="center"/>
    </xf>
    <xf numFmtId="0" fontId="23" fillId="0" borderId="34" xfId="0" applyFont="1" applyBorder="1" applyAlignment="1">
      <alignment horizontal="center"/>
    </xf>
    <xf numFmtId="0" fontId="23" fillId="0" borderId="35" xfId="0" applyFont="1" applyBorder="1" applyAlignment="1">
      <alignment horizontal="center"/>
    </xf>
    <xf numFmtId="0" fontId="12" fillId="2" borderId="0" xfId="0" applyFont="1" applyFill="1" applyBorder="1" applyAlignment="1" applyProtection="1">
      <alignment horizontal="left" vertical="center"/>
      <protection hidden="1"/>
    </xf>
    <xf numFmtId="0" fontId="0" fillId="0" borderId="0" xfId="0" applyAlignment="1">
      <alignment horizontal="left"/>
    </xf>
    <xf numFmtId="0" fontId="20" fillId="5" borderId="14" xfId="0" applyFont="1" applyFill="1" applyBorder="1" applyAlignment="1" applyProtection="1">
      <alignment horizontal="center" vertical="center" wrapText="1"/>
      <protection hidden="1"/>
    </xf>
    <xf numFmtId="0" fontId="20" fillId="5" borderId="12" xfId="0" applyFont="1" applyFill="1" applyBorder="1" applyAlignment="1" applyProtection="1">
      <alignment horizontal="center" vertical="center" wrapText="1"/>
      <protection hidden="1"/>
    </xf>
    <xf numFmtId="0" fontId="20" fillId="5" borderId="15" xfId="0" applyFont="1" applyFill="1" applyBorder="1" applyAlignment="1" applyProtection="1">
      <alignment horizontal="center" vertical="center" wrapText="1"/>
      <protection hidden="1"/>
    </xf>
    <xf numFmtId="0" fontId="20" fillId="5" borderId="16" xfId="0" applyFont="1" applyFill="1" applyBorder="1" applyAlignment="1" applyProtection="1">
      <alignment horizontal="center" vertical="center" wrapText="1"/>
      <protection hidden="1"/>
    </xf>
    <xf numFmtId="0" fontId="20" fillId="5" borderId="0" xfId="0" applyFont="1" applyFill="1" applyBorder="1" applyAlignment="1" applyProtection="1">
      <alignment horizontal="center" vertical="center" wrapText="1"/>
      <protection hidden="1"/>
    </xf>
    <xf numFmtId="0" fontId="20" fillId="5" borderId="17" xfId="0" applyFont="1" applyFill="1" applyBorder="1" applyAlignment="1" applyProtection="1">
      <alignment horizontal="center" vertical="center" wrapText="1"/>
      <protection hidden="1"/>
    </xf>
    <xf numFmtId="0" fontId="6" fillId="0" borderId="9" xfId="0" applyFont="1" applyFill="1" applyBorder="1" applyAlignment="1">
      <alignment horizontal="left"/>
    </xf>
    <xf numFmtId="0" fontId="6" fillId="0" borderId="10" xfId="0" applyFont="1" applyFill="1" applyBorder="1" applyAlignment="1">
      <alignment horizontal="left"/>
    </xf>
    <xf numFmtId="0" fontId="4" fillId="2" borderId="0" xfId="0" applyFont="1" applyFill="1" applyAlignment="1">
      <alignment horizontal="center" vertical="center"/>
    </xf>
    <xf numFmtId="0" fontId="0" fillId="0" borderId="5" xfId="0" applyFill="1" applyBorder="1"/>
    <xf numFmtId="0" fontId="15" fillId="2" borderId="0" xfId="0" applyFont="1" applyFill="1" applyBorder="1" applyAlignment="1" applyProtection="1">
      <alignment horizontal="left" vertical="center"/>
      <protection hidden="1"/>
    </xf>
    <xf numFmtId="0" fontId="0" fillId="0" borderId="0" xfId="0" applyFont="1" applyAlignment="1">
      <alignment horizontal="left"/>
    </xf>
    <xf numFmtId="0" fontId="27" fillId="2" borderId="0" xfId="0" applyFont="1" applyFill="1" applyBorder="1" applyAlignment="1" applyProtection="1">
      <alignment horizontal="left" vertical="center"/>
      <protection hidden="1"/>
    </xf>
    <xf numFmtId="0" fontId="27" fillId="2" borderId="0" xfId="0" applyFont="1" applyFill="1" applyBorder="1" applyAlignment="1" applyProtection="1">
      <alignment vertical="center"/>
      <protection hidden="1"/>
    </xf>
    <xf numFmtId="0" fontId="27" fillId="2" borderId="7" xfId="0" applyFont="1" applyFill="1" applyBorder="1" applyAlignment="1" applyProtection="1">
      <alignment horizontal="center" vertical="center"/>
      <protection hidden="1"/>
    </xf>
    <xf numFmtId="0" fontId="27" fillId="2" borderId="0" xfId="0" applyFont="1" applyFill="1" applyBorder="1" applyAlignment="1" applyProtection="1">
      <alignment horizontal="center" vertical="center"/>
      <protection hidden="1"/>
    </xf>
    <xf numFmtId="0" fontId="28" fillId="0" borderId="0" xfId="0" applyFont="1"/>
    <xf numFmtId="22" fontId="0" fillId="0" borderId="0" xfId="0" applyNumberFormat="1"/>
    <xf numFmtId="44" fontId="0" fillId="0" borderId="0" xfId="0" applyNumberFormat="1"/>
  </cellXfs>
  <cellStyles count="5">
    <cellStyle name="Milliers" xfId="2" builtinId="3"/>
    <cellStyle name="Monétaire" xfId="3" builtinId="4"/>
    <cellStyle name="NiveauLigne_4" xfId="1" builtinId="1" iLevel="3"/>
    <cellStyle name="Normal" xfId="0" builtinId="0"/>
    <cellStyle name="Pourcentage" xfId="4" builtinId="5"/>
  </cellStyles>
  <dxfs count="18">
    <dxf>
      <font>
        <b/>
        <i val="0"/>
        <color rgb="FFFF0000"/>
      </font>
      <fill>
        <patternFill>
          <bgColor rgb="FFFFC7CE"/>
        </patternFill>
      </fill>
    </dxf>
    <dxf>
      <font>
        <b/>
        <i val="0"/>
        <color rgb="FFFF0000"/>
      </font>
      <fill>
        <patternFill>
          <bgColor rgb="FFFFC7CE"/>
        </patternFill>
      </fill>
    </dxf>
    <dxf>
      <numFmt numFmtId="164" formatCode="_-* #,##0.00\ [$€-40C]_-;\-* #,##0.00\ [$€-40C]_-;_-* &quot;-&quot;??\ [$€-40C]_-;_-@_-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#,##0.000000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#,##0.000000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border outline="0">
        <top style="thin">
          <color auto="1"/>
        </top>
      </border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164" formatCode="_-* #,##0.00\ [$€-40C]_-;\-* #,##0.00\ [$€-40C]_-;_-* &quot;-&quot;??\ [$€-40C]_-;_-@_-"/>
      <fill>
        <patternFill patternType="solid">
          <fgColor indexed="64"/>
          <bgColor theme="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numFmt numFmtId="19" formatCode="dd/mm/yyyy"/>
    </dxf>
    <dxf>
      <border outline="0">
        <top style="thin">
          <color auto="1"/>
        </top>
      </border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3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106680</xdr:colOff>
          <xdr:row>4</xdr:row>
          <xdr:rowOff>68580</xdr:rowOff>
        </xdr:from>
        <xdr:to>
          <xdr:col>7</xdr:col>
          <xdr:colOff>693420</xdr:colOff>
          <xdr:row>7</xdr:row>
          <xdr:rowOff>160020</xdr:rowOff>
        </xdr:to>
        <xdr:sp macro="" textlink="">
          <xdr:nvSpPr>
            <xdr:cNvPr id="4104" name="Button 8" hidden="1">
              <a:extLst>
                <a:ext uri="{63B3BB69-23CF-44E3-9099-C40C66FF867C}">
                  <a14:compatExt spid="_x0000_s4104"/>
                </a:ext>
                <a:ext uri="{FF2B5EF4-FFF2-40B4-BE49-F238E27FC236}">
                  <a16:creationId xmlns:a16="http://schemas.microsoft.com/office/drawing/2014/main" id="{00000000-0008-0000-0300-000008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5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Reassort </a:t>
              </a:r>
            </a:p>
            <a:p>
              <a:pPr algn="ctr" rtl="0">
                <a:defRPr sz="1000"/>
              </a:pPr>
              <a:r>
                <a:rPr lang="fr-FR" sz="15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Destockage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8D11E35-378A-45A8-9DA2-B2DA319BD67A}" name="journal" displayName="journal" ref="A1:G2" totalsRowShown="0" headerRowDxfId="17" headerRowBorderDxfId="16" tableBorderDxfId="15">
  <autoFilter ref="A1:G2" xr:uid="{F02BF6C9-7F7D-4622-8962-551DB2B999AB}"/>
  <tableColumns count="7">
    <tableColumn id="1" xr3:uid="{AEF8A40E-7F5D-4B84-87B2-1CB62EF5AF67}" name="Date" dataDxfId="14"/>
    <tableColumn id="2" xr3:uid="{557A9389-A189-4885-A229-1BCE178BFE4D}" name="FdV"/>
    <tableColumn id="3" xr3:uid="{C799ECCF-233C-42E1-9443-B97E05D26D23}" name="Ref"/>
    <tableColumn id="4" xr3:uid="{956047C0-20D5-4312-9EEF-C242903AA62A}" name="Entrée"/>
    <tableColumn id="5" xr3:uid="{4E59B1F4-5AEB-4C73-B856-BA361BE4F2F5}" name="Sortie"/>
    <tableColumn id="6" xr3:uid="{5D48884E-5F78-4288-B7C4-DF26EC4B556E}" name="Destockage"/>
    <tableColumn id="7" xr3:uid="{D66F49B6-8C7B-4A0E-A7CE-D174417573AE}" name="Description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C028008-40DC-4600-8EB2-887533AE3271}" name="Stock" displayName="Stock" ref="A13:O17" totalsRowShown="0" headerRowDxfId="13" headerRowBorderDxfId="12" tableBorderDxfId="11">
  <autoFilter ref="A13:O17" xr:uid="{7593A713-B65E-4790-8E9D-54DBB6C02090}"/>
  <tableColumns count="15">
    <tableColumn id="1" xr3:uid="{B65858D5-EFD9-4A43-9A08-BF8C3810E0D6}" name="Produits" dataDxfId="10" dataCellStyle="NiveauLigne_4"/>
    <tableColumn id="2" xr3:uid="{C6E89694-65A2-46E5-A2F4-EAEF98B4BEB0}" name="Nom" dataDxfId="9" dataCellStyle="NiveauLigne_4"/>
    <tableColumn id="3" xr3:uid="{560E977F-A23F-41F9-88F0-A347F7258857}" name="Prix A HT" dataDxfId="8" dataCellStyle="NiveauLigne_4"/>
    <tableColumn id="4" xr3:uid="{59005A39-5846-484B-B5D4-2D143C2FC527}" name="Prix U HT" dataDxfId="7" dataCellStyle="NiveauLigne_4"/>
    <tableColumn id="5" xr3:uid="{38610600-DFC0-421D-83A0-77263BE8E72B}" name="TVA"/>
    <tableColumn id="6" xr3:uid="{1303C0BC-F542-44A4-A236-9ABEF3E287D0}" name="Prix U TTC" dataCellStyle="Monétaire">
      <calculatedColumnFormula>+Stock[[#This Row],[TVA]]*Stock[[#This Row],[Prix U HT]]+Stock[[#This Row],[Prix U HT]]</calculatedColumnFormula>
    </tableColumn>
    <tableColumn id="7" xr3:uid="{0097201F-5913-4F92-9552-5879D933C748}" name="Stock I"/>
    <tableColumn id="8" xr3:uid="{AF2CC88E-AC97-46F9-89F9-1A8B48383D8E}" name="Entrée" dataDxfId="6">
      <calculatedColumnFormula>+SUMIFS(journal[[#All],[Entrée]],journal[[#All],[Ref]],A14)</calculatedColumnFormula>
    </tableColumn>
    <tableColumn id="9" xr3:uid="{F97B8446-ACA5-497A-8E7B-A7827B4A8695}" name="Sortie" dataDxfId="5">
      <calculatedColumnFormula>+SUMIFS(journal[[#All],[Sortie]],journal[[#All],[Ref]],A14)</calculatedColumnFormula>
    </tableColumn>
    <tableColumn id="10" xr3:uid="{C4A625DD-B1DA-4A30-8C18-FD8D99E235B4}" name="Destockage" dataDxfId="4">
      <calculatedColumnFormula>+SUMIFS(journal[[#All],[Destockage]],journal[[#All],[Ref]],A14)</calculatedColumnFormula>
    </tableColumn>
    <tableColumn id="11" xr3:uid="{7A9B18F4-C3E4-4532-AB8B-C1F85D94354A}" name="Stock F" dataDxfId="3">
      <calculatedColumnFormula>+Stock[[#This Row],[Stock I]]+Stock[[#This Row],[Entrée]]-Stock[[#This Row],[Sortie]]-Stock[[#This Row],[Destockage]]</calculatedColumnFormula>
    </tableColumn>
    <tableColumn id="12" xr3:uid="{543FDFAF-1CD0-4BB2-B55E-48F900CCC8BC}" name="V S I HT" dataDxfId="2" dataCellStyle="Milliers">
      <calculatedColumnFormula>+Stock[[#This Row],[Stock I]]*Stock[[#This Row],[Prix A HT]]</calculatedColumnFormula>
    </tableColumn>
    <tableColumn id="13" xr3:uid="{F12356E4-1A00-451B-9F81-E7AABD22EAC3}" name="V S F HT" dataCellStyle="Monétaire">
      <calculatedColumnFormula>+Stock[[#This Row],[Stock F]]*Stock[[#This Row],[Prix A HT]]</calculatedColumnFormula>
    </tableColumn>
    <tableColumn id="14" xr3:uid="{E2FDE816-E5ED-49D3-A9F5-8A477BA725E3}" name="Total V HT" dataCellStyle="Monétaire">
      <calculatedColumnFormula>+Stock[[#This Row],[Stock F]]*Stock[[#This Row],[Prix U HT]]</calculatedColumnFormula>
    </tableColumn>
    <tableColumn id="15" xr3:uid="{14FC2EED-AB84-418E-8771-A7936BD4262C}" name="Total V TTC" dataCellStyle="Monétaire">
      <calculatedColumnFormula>+Stock[[#This Row],[Stock F]]*Stock[[#This Row],[Prix U TTC]]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table" Target="../tables/table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K7"/>
  <sheetViews>
    <sheetView workbookViewId="0">
      <selection activeCell="G20" sqref="G20"/>
    </sheetView>
  </sheetViews>
  <sheetFormatPr baseColWidth="10" defaultRowHeight="14.4" x14ac:dyDescent="0.3"/>
  <cols>
    <col min="2" max="2" width="18.44140625" bestFit="1" customWidth="1"/>
    <col min="3" max="3" width="2.5546875" customWidth="1"/>
    <col min="5" max="5" width="4.44140625" bestFit="1" customWidth="1"/>
    <col min="6" max="6" width="1.6640625" customWidth="1"/>
    <col min="7" max="7" width="14.77734375" bestFit="1" customWidth="1"/>
    <col min="8" max="8" width="2.21875" customWidth="1"/>
    <col min="10" max="10" width="4" customWidth="1"/>
    <col min="11" max="11" width="12.5546875" bestFit="1" customWidth="1"/>
  </cols>
  <sheetData>
    <row r="1" spans="1:11" x14ac:dyDescent="0.3">
      <c r="A1" s="10" t="s">
        <v>30</v>
      </c>
      <c r="B1" s="9" t="s">
        <v>29</v>
      </c>
      <c r="D1" s="6" t="s">
        <v>28</v>
      </c>
      <c r="E1" s="8">
        <v>0.2</v>
      </c>
      <c r="G1" s="4" t="s">
        <v>27</v>
      </c>
      <c r="I1" s="4" t="s">
        <v>26</v>
      </c>
      <c r="K1" s="4" t="s">
        <v>25</v>
      </c>
    </row>
    <row r="2" spans="1:11" x14ac:dyDescent="0.3">
      <c r="A2" s="6" t="s">
        <v>24</v>
      </c>
      <c r="B2" s="7" t="s">
        <v>23</v>
      </c>
      <c r="D2" s="6" t="s">
        <v>22</v>
      </c>
      <c r="E2" s="8">
        <v>0.2</v>
      </c>
      <c r="G2" s="4" t="s">
        <v>21</v>
      </c>
      <c r="I2" s="4" t="s">
        <v>20</v>
      </c>
      <c r="K2" s="4" t="s">
        <v>19</v>
      </c>
    </row>
    <row r="3" spans="1:11" x14ac:dyDescent="0.3">
      <c r="A3" s="6" t="s">
        <v>18</v>
      </c>
      <c r="B3" s="7" t="s">
        <v>17</v>
      </c>
      <c r="D3" s="6" t="s">
        <v>16</v>
      </c>
      <c r="E3" s="8">
        <v>0</v>
      </c>
      <c r="G3" s="4" t="s">
        <v>15</v>
      </c>
      <c r="I3" s="4" t="s">
        <v>14</v>
      </c>
      <c r="K3" s="4" t="s">
        <v>13</v>
      </c>
    </row>
    <row r="4" spans="1:11" x14ac:dyDescent="0.3">
      <c r="A4" s="6" t="s">
        <v>12</v>
      </c>
      <c r="B4" s="7" t="s">
        <v>11</v>
      </c>
      <c r="D4" s="6" t="s">
        <v>10</v>
      </c>
      <c r="E4" s="8">
        <v>0</v>
      </c>
      <c r="G4" s="4" t="s">
        <v>9</v>
      </c>
      <c r="I4" s="4" t="s">
        <v>8</v>
      </c>
      <c r="K4" s="4" t="s">
        <v>7</v>
      </c>
    </row>
    <row r="5" spans="1:11" x14ac:dyDescent="0.3">
      <c r="A5" s="6" t="s">
        <v>6</v>
      </c>
      <c r="B5" s="7" t="s">
        <v>5</v>
      </c>
      <c r="D5" s="133"/>
      <c r="G5" s="4"/>
      <c r="I5" s="4" t="s">
        <v>4</v>
      </c>
      <c r="K5" s="4"/>
    </row>
    <row r="6" spans="1:11" x14ac:dyDescent="0.3">
      <c r="A6" s="6" t="s">
        <v>3</v>
      </c>
      <c r="B6" s="5" t="s">
        <v>2</v>
      </c>
      <c r="I6" s="4"/>
      <c r="K6" s="4"/>
    </row>
    <row r="7" spans="1:11" ht="15" thickBot="1" x14ac:dyDescent="0.35">
      <c r="A7" s="3" t="s">
        <v>1</v>
      </c>
      <c r="B7" s="2" t="s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9E61E7-D1FE-4B8E-A5D7-9ABFB86CA748}">
  <sheetPr codeName="Feuil2"/>
  <dimension ref="A1:P31"/>
  <sheetViews>
    <sheetView showGridLines="0" workbookViewId="0">
      <selection activeCell="E30" sqref="E30"/>
    </sheetView>
  </sheetViews>
  <sheetFormatPr baseColWidth="10" defaultRowHeight="14.4" x14ac:dyDescent="0.3"/>
  <cols>
    <col min="8" max="8" width="3.88671875" customWidth="1"/>
    <col min="9" max="9" width="16.44140625" bestFit="1" customWidth="1"/>
  </cols>
  <sheetData>
    <row r="1" spans="1:16" ht="15.6" x14ac:dyDescent="0.3">
      <c r="A1" s="32" t="s">
        <v>66</v>
      </c>
      <c r="B1" s="122" t="s">
        <v>67</v>
      </c>
      <c r="C1" s="122"/>
      <c r="I1" s="33"/>
      <c r="M1" s="124" t="str">
        <f>+BDD!B1</f>
        <v>STE ABC</v>
      </c>
      <c r="N1" s="125"/>
      <c r="O1" s="125"/>
      <c r="P1" s="126"/>
    </row>
    <row r="2" spans="1:16" ht="15.6" x14ac:dyDescent="0.3">
      <c r="A2" s="33" t="s">
        <v>14</v>
      </c>
      <c r="B2" s="123" t="s">
        <v>68</v>
      </c>
      <c r="C2" s="123"/>
      <c r="I2" s="33"/>
      <c r="M2" s="127" t="str">
        <f>+BDD!B2</f>
        <v>Addr1</v>
      </c>
      <c r="N2" s="128"/>
      <c r="O2" s="128"/>
      <c r="P2" s="129"/>
    </row>
    <row r="3" spans="1:16" ht="16.2" thickBot="1" x14ac:dyDescent="0.35">
      <c r="I3" s="33"/>
      <c r="M3" s="127" t="str">
        <f>+BDD!B3</f>
        <v>Addr 2</v>
      </c>
      <c r="N3" s="128"/>
      <c r="O3" s="128"/>
      <c r="P3" s="129"/>
    </row>
    <row r="4" spans="1:16" ht="18" x14ac:dyDescent="0.3">
      <c r="A4" s="34" t="s">
        <v>33</v>
      </c>
      <c r="B4" s="35" t="s">
        <v>69</v>
      </c>
      <c r="C4" s="35" t="s">
        <v>70</v>
      </c>
      <c r="D4" s="35" t="s">
        <v>47</v>
      </c>
      <c r="E4" s="35" t="s">
        <v>71</v>
      </c>
      <c r="F4" s="35" t="s">
        <v>72</v>
      </c>
      <c r="G4" s="35" t="s">
        <v>73</v>
      </c>
      <c r="I4" s="36" t="s">
        <v>74</v>
      </c>
      <c r="J4" s="37">
        <f>+SUM(E5:E14)</f>
        <v>227.01200000000003</v>
      </c>
      <c r="K4" s="37"/>
      <c r="M4" s="127" t="str">
        <f>+BDD!B4&amp;" "&amp;BDD!B5</f>
        <v>CP1 Ville1</v>
      </c>
      <c r="N4" s="128"/>
      <c r="O4" s="128"/>
      <c r="P4" s="129"/>
    </row>
    <row r="5" spans="1:16" ht="15.6" x14ac:dyDescent="0.3">
      <c r="A5" s="38" t="s">
        <v>58</v>
      </c>
      <c r="B5" s="39" t="str">
        <f>+IFERROR(VLOOKUP(A5,Stock[[#All],[Produits]:[Nom]],2,FALSE),"")</f>
        <v>Doudou et compagnie ours plat arc en ciel nuage de couleur DC1031</v>
      </c>
      <c r="C5" s="40">
        <v>1</v>
      </c>
      <c r="D5" s="41">
        <f>+IFERROR(VLOOKUP(A5,Stock[[#All],[Produits]:[Prix U TTC]],6,FALSE),"")</f>
        <v>13</v>
      </c>
      <c r="E5" s="41">
        <f t="shared" ref="E5:E13" si="0">IFERROR(IF(C5=0,0,D5*C5),"")</f>
        <v>13</v>
      </c>
      <c r="F5" s="40">
        <f>+SUMIFS(Stock[[#All],[Stock I]],Stock[[#All],[Produits]],A5)</f>
        <v>13</v>
      </c>
      <c r="G5" s="40">
        <f t="shared" ref="G5:G14" si="1">+IFERROR(F5-C5,"")</f>
        <v>12</v>
      </c>
      <c r="I5" s="36"/>
      <c r="J5" s="37"/>
      <c r="K5" s="37"/>
      <c r="M5" s="1" t="str">
        <f>+BDD!B6</f>
        <v>+33 6 12 34 56 78</v>
      </c>
      <c r="N5" s="105"/>
      <c r="O5" s="105"/>
      <c r="P5" s="106"/>
    </row>
    <row r="6" spans="1:16" ht="15.6" x14ac:dyDescent="0.3">
      <c r="A6" s="42" t="s">
        <v>54</v>
      </c>
      <c r="B6" s="43" t="str">
        <f>+IFERROR(VLOOKUP(A6,Stock[[#All],[Produits]:[Nom]],2,FALSE),"")</f>
        <v>DOUDOU MAILEG LAPIN ROSE ANGEL DANS UNE CHAUSSETTE MINI PANTIN</v>
      </c>
      <c r="C6" s="44">
        <v>1</v>
      </c>
      <c r="D6" s="45">
        <f>+IFERROR(VLOOKUP(A6,Stock[[#All],[Produits]:[Prix U TTC]],6,FALSE),"")</f>
        <v>28.716000000000001</v>
      </c>
      <c r="E6" s="45">
        <f t="shared" si="0"/>
        <v>28.716000000000001</v>
      </c>
      <c r="F6" s="44">
        <f>+SUMIFS(Stock[[#All],[Stock I]],Stock[[#All],[Produits]],A6)</f>
        <v>23</v>
      </c>
      <c r="G6" s="44">
        <f t="shared" si="1"/>
        <v>22</v>
      </c>
      <c r="I6" s="36" t="s">
        <v>75</v>
      </c>
      <c r="J6" s="46" t="s">
        <v>22</v>
      </c>
      <c r="K6" s="47"/>
      <c r="M6" s="107" t="s">
        <v>84</v>
      </c>
      <c r="N6" s="108"/>
      <c r="O6" s="108"/>
      <c r="P6" s="109"/>
    </row>
    <row r="7" spans="1:16" ht="15.6" x14ac:dyDescent="0.3">
      <c r="A7" s="38" t="s">
        <v>54</v>
      </c>
      <c r="B7" s="39" t="str">
        <f>+IFERROR(VLOOKUP(A7,Stock[[#All],[Produits]:[Nom]],2,FALSE),"")</f>
        <v>DOUDOU MAILEG LAPIN ROSE ANGEL DANS UNE CHAUSSETTE MINI PANTIN</v>
      </c>
      <c r="C7" s="40">
        <v>1</v>
      </c>
      <c r="D7" s="41">
        <f>+IFERROR(VLOOKUP(A7,Stock[[#All],[Produits]:[Prix U TTC]],6,FALSE),"")</f>
        <v>28.716000000000001</v>
      </c>
      <c r="E7" s="41">
        <f t="shared" si="0"/>
        <v>28.716000000000001</v>
      </c>
      <c r="F7" s="40">
        <f>+SUMIFS(Stock[[#All],[Stock I]],Stock[[#All],[Produits]],A7)</f>
        <v>23</v>
      </c>
      <c r="G7" s="40">
        <f t="shared" si="1"/>
        <v>22</v>
      </c>
      <c r="I7" s="36"/>
      <c r="J7" s="47"/>
      <c r="K7" s="47"/>
      <c r="M7" s="110" t="s">
        <v>85</v>
      </c>
      <c r="N7" s="111"/>
      <c r="O7" s="111"/>
      <c r="P7" s="112"/>
    </row>
    <row r="8" spans="1:16" ht="15.6" x14ac:dyDescent="0.3">
      <c r="A8" s="42" t="s">
        <v>58</v>
      </c>
      <c r="B8" s="43" t="str">
        <f>+IFERROR(VLOOKUP(A8,Stock[[#All],[Produits]:[Nom]],2,FALSE),"")</f>
        <v>Doudou et compagnie ours plat arc en ciel nuage de couleur DC1031</v>
      </c>
      <c r="C8" s="44">
        <v>1</v>
      </c>
      <c r="D8" s="45">
        <f>+IFERROR(VLOOKUP(A8,Stock[[#All],[Produits]:[Prix U TTC]],6,FALSE),"")</f>
        <v>13</v>
      </c>
      <c r="E8" s="45">
        <f t="shared" si="0"/>
        <v>13</v>
      </c>
      <c r="F8" s="44">
        <f>+SUMIFS(Stock[[#All],[Stock I]],Stock[[#All],[Produits]],A8)</f>
        <v>13</v>
      </c>
      <c r="G8" s="44">
        <f t="shared" si="1"/>
        <v>12</v>
      </c>
      <c r="I8" s="36" t="s">
        <v>76</v>
      </c>
      <c r="J8" s="48">
        <v>2</v>
      </c>
      <c r="K8" s="49"/>
      <c r="M8" s="113">
        <f ca="1">NOW()</f>
        <v>44264.472053124999</v>
      </c>
      <c r="N8" s="114"/>
      <c r="O8" s="114"/>
      <c r="P8" s="115"/>
    </row>
    <row r="9" spans="1:16" ht="15.6" x14ac:dyDescent="0.3">
      <c r="A9" s="38" t="s">
        <v>54</v>
      </c>
      <c r="B9" s="39" t="str">
        <f>+IFERROR(VLOOKUP(A9,Stock[[#All],[Produits]:[Nom]],2,FALSE),"")</f>
        <v>DOUDOU MAILEG LAPIN ROSE ANGEL DANS UNE CHAUSSETTE MINI PANTIN</v>
      </c>
      <c r="C9" s="40">
        <v>1</v>
      </c>
      <c r="D9" s="41">
        <f>+IFERROR(VLOOKUP(A9,Stock[[#All],[Produits]:[Prix U TTC]],6,FALSE),"")</f>
        <v>28.716000000000001</v>
      </c>
      <c r="E9" s="41">
        <f t="shared" si="0"/>
        <v>28.716000000000001</v>
      </c>
      <c r="F9" s="40">
        <f>+SUMIFS(Stock[[#All],[Stock I]],Stock[[#All],[Produits]],A9)</f>
        <v>23</v>
      </c>
      <c r="G9" s="40">
        <f t="shared" si="1"/>
        <v>22</v>
      </c>
      <c r="I9" s="36"/>
      <c r="J9" s="50"/>
      <c r="K9" s="49"/>
      <c r="M9" s="66" t="str">
        <f>IF(A2="","",A1&amp;" : "&amp;A2)</f>
        <v>Plateforme : Cdiscount</v>
      </c>
      <c r="N9" s="67"/>
      <c r="O9" s="67"/>
      <c r="P9" s="68"/>
    </row>
    <row r="10" spans="1:16" ht="15.6" x14ac:dyDescent="0.3">
      <c r="A10" s="42" t="s">
        <v>54</v>
      </c>
      <c r="B10" s="43" t="str">
        <f>+IFERROR(VLOOKUP(A10,Stock[[#All],[Produits]:[Nom]],2,FALSE),"")</f>
        <v>DOUDOU MAILEG LAPIN ROSE ANGEL DANS UNE CHAUSSETTE MINI PANTIN</v>
      </c>
      <c r="C10" s="44">
        <v>1</v>
      </c>
      <c r="D10" s="45">
        <f>+IFERROR(VLOOKUP(A10,Stock[[#All],[Produits]:[Prix U TTC]],6,FALSE),"")</f>
        <v>28.716000000000001</v>
      </c>
      <c r="E10" s="45">
        <f t="shared" si="0"/>
        <v>28.716000000000001</v>
      </c>
      <c r="F10" s="44">
        <f>+SUMIFS(Stock[[#All],[Stock I]],Stock[[#All],[Produits]],A10)</f>
        <v>23</v>
      </c>
      <c r="G10" s="44">
        <f t="shared" si="1"/>
        <v>22</v>
      </c>
      <c r="I10" s="36" t="s">
        <v>77</v>
      </c>
      <c r="J10" s="51"/>
      <c r="K10" s="52"/>
      <c r="M10" s="69" t="str">
        <f>IF(B2="","",B1&amp;" : "&amp;B2)</f>
        <v>N° de commande : 230-258</v>
      </c>
      <c r="N10" s="70"/>
      <c r="O10" s="70"/>
      <c r="P10" s="71"/>
    </row>
    <row r="11" spans="1:16" ht="15.6" x14ac:dyDescent="0.3">
      <c r="A11" s="38" t="s">
        <v>54</v>
      </c>
      <c r="B11" s="39" t="str">
        <f>+IFERROR(VLOOKUP(A11,Stock[[#All],[Produits]:[Nom]],2,FALSE),"")</f>
        <v>DOUDOU MAILEG LAPIN ROSE ANGEL DANS UNE CHAUSSETTE MINI PANTIN</v>
      </c>
      <c r="C11" s="40">
        <v>1</v>
      </c>
      <c r="D11" s="41">
        <f>+IFERROR(VLOOKUP(A11,Stock[[#All],[Produits]:[Prix U TTC]],6,FALSE),"")</f>
        <v>28.716000000000001</v>
      </c>
      <c r="E11" s="41">
        <f t="shared" si="0"/>
        <v>28.716000000000001</v>
      </c>
      <c r="F11" s="40">
        <f>+SUMIFS(Stock[[#All],[Stock I]],Stock[[#All],[Produits]],A11)</f>
        <v>23</v>
      </c>
      <c r="G11" s="40">
        <f t="shared" si="1"/>
        <v>22</v>
      </c>
      <c r="I11" s="36"/>
      <c r="J11" s="53"/>
      <c r="K11" s="52"/>
      <c r="M11" s="72" t="s">
        <v>86</v>
      </c>
      <c r="N11" s="73" t="s">
        <v>87</v>
      </c>
      <c r="O11" s="73" t="s">
        <v>88</v>
      </c>
      <c r="P11" s="74" t="s">
        <v>89</v>
      </c>
    </row>
    <row r="12" spans="1:16" ht="15.6" x14ac:dyDescent="0.3">
      <c r="A12" s="42" t="s">
        <v>54</v>
      </c>
      <c r="B12" s="43" t="str">
        <f>+IFERROR(VLOOKUP(A12,Stock[[#All],[Produits]:[Nom]],2,FALSE),"")</f>
        <v>DOUDOU MAILEG LAPIN ROSE ANGEL DANS UNE CHAUSSETTE MINI PANTIN</v>
      </c>
      <c r="C12" s="44">
        <v>1</v>
      </c>
      <c r="D12" s="45">
        <f>+IFERROR(VLOOKUP(A12,Stock[[#All],[Produits]:[Prix U TTC]],6,FALSE),"")</f>
        <v>28.716000000000001</v>
      </c>
      <c r="E12" s="45">
        <f t="shared" si="0"/>
        <v>28.716000000000001</v>
      </c>
      <c r="F12" s="44">
        <f>+SUMIFS(Stock[[#All],[Stock I]],Stock[[#All],[Produits]],A12)</f>
        <v>23</v>
      </c>
      <c r="G12" s="44">
        <f t="shared" si="1"/>
        <v>22</v>
      </c>
      <c r="I12" s="36" t="s">
        <v>78</v>
      </c>
      <c r="J12" s="54" t="s">
        <v>7</v>
      </c>
      <c r="K12" s="55"/>
      <c r="M12" s="75" t="str">
        <f t="shared" ref="M12:P20" si="2">+B4</f>
        <v>Nom Pdt</v>
      </c>
      <c r="N12" s="76" t="str">
        <f t="shared" si="2"/>
        <v>Quantité</v>
      </c>
      <c r="O12" s="77" t="str">
        <f t="shared" si="2"/>
        <v>Prix U TTC</v>
      </c>
      <c r="P12" s="78" t="str">
        <f t="shared" si="2"/>
        <v>Prix total</v>
      </c>
    </row>
    <row r="13" spans="1:16" ht="15.6" x14ac:dyDescent="0.3">
      <c r="A13" s="38" t="s">
        <v>54</v>
      </c>
      <c r="B13" s="39" t="str">
        <f>+IFERROR(VLOOKUP(A13,Stock[[#All],[Produits]:[Nom]],2,FALSE),"")</f>
        <v>DOUDOU MAILEG LAPIN ROSE ANGEL DANS UNE CHAUSSETTE MINI PANTIN</v>
      </c>
      <c r="C13" s="40">
        <v>1</v>
      </c>
      <c r="D13" s="41">
        <f>+IFERROR(VLOOKUP(A13,Stock[[#All],[Produits]:[Prix U TTC]],6,FALSE),"")</f>
        <v>28.716000000000001</v>
      </c>
      <c r="E13" s="41">
        <f t="shared" si="0"/>
        <v>28.716000000000001</v>
      </c>
      <c r="F13" s="40">
        <f>+SUMIFS(Stock[[#All],[Stock I]],Stock[[#All],[Produits]],A13)</f>
        <v>23</v>
      </c>
      <c r="G13" s="40">
        <f t="shared" si="1"/>
        <v>22</v>
      </c>
      <c r="I13" s="47"/>
      <c r="J13" s="11"/>
      <c r="K13" s="11"/>
      <c r="M13" s="79" t="str">
        <f t="shared" si="2"/>
        <v>Doudou et compagnie ours plat arc en ciel nuage de couleur DC1031</v>
      </c>
      <c r="N13" s="76">
        <f t="shared" si="2"/>
        <v>1</v>
      </c>
      <c r="O13" s="80">
        <f t="shared" si="2"/>
        <v>13</v>
      </c>
      <c r="P13" s="78">
        <f t="shared" si="2"/>
        <v>13</v>
      </c>
    </row>
    <row r="14" spans="1:16" ht="18" x14ac:dyDescent="0.35">
      <c r="A14" s="42" t="s">
        <v>79</v>
      </c>
      <c r="B14" s="56"/>
      <c r="C14" s="57"/>
      <c r="D14" s="58" t="s">
        <v>80</v>
      </c>
      <c r="E14" s="59" t="str">
        <f t="shared" ref="E14" si="3">+IFERROR(D14*C14,"")</f>
        <v/>
      </c>
      <c r="F14" s="60" t="s">
        <v>80</v>
      </c>
      <c r="G14" s="60" t="str">
        <f t="shared" si="1"/>
        <v/>
      </c>
      <c r="I14" s="61" t="s">
        <v>81</v>
      </c>
      <c r="J14" s="62">
        <f>+J4-J8+J10</f>
        <v>225.01200000000003</v>
      </c>
      <c r="K14" s="62"/>
      <c r="M14" s="79" t="str">
        <f t="shared" si="2"/>
        <v>DOUDOU MAILEG LAPIN ROSE ANGEL DANS UNE CHAUSSETTE MINI PANTIN</v>
      </c>
      <c r="N14" s="76">
        <f t="shared" si="2"/>
        <v>1</v>
      </c>
      <c r="O14" s="80">
        <f t="shared" si="2"/>
        <v>28.716000000000001</v>
      </c>
      <c r="P14" s="78">
        <f t="shared" si="2"/>
        <v>28.716000000000001</v>
      </c>
    </row>
    <row r="15" spans="1:16" ht="18" x14ac:dyDescent="0.35">
      <c r="A15" s="56"/>
      <c r="B15" s="56"/>
      <c r="C15" s="57"/>
      <c r="D15" s="58"/>
      <c r="E15" s="59"/>
      <c r="F15" s="60"/>
      <c r="G15" s="60"/>
      <c r="I15" s="63" t="s">
        <v>82</v>
      </c>
      <c r="J15" s="64">
        <f>+IF(J6=BDD!D1,J14/(1+BDD!E1),IF(J6=BDD!D2,J14/(1+BDD!E2),J14))</f>
        <v>187.51000000000002</v>
      </c>
      <c r="K15" s="64"/>
      <c r="M15" s="79" t="str">
        <f t="shared" si="2"/>
        <v>DOUDOU MAILEG LAPIN ROSE ANGEL DANS UNE CHAUSSETTE MINI PANTIN</v>
      </c>
      <c r="N15" s="76">
        <f t="shared" si="2"/>
        <v>1</v>
      </c>
      <c r="O15" s="80">
        <f t="shared" si="2"/>
        <v>28.716000000000001</v>
      </c>
      <c r="P15" s="78">
        <f t="shared" si="2"/>
        <v>28.716000000000001</v>
      </c>
    </row>
    <row r="16" spans="1:16" x14ac:dyDescent="0.3">
      <c r="I16" s="63" t="s">
        <v>46</v>
      </c>
      <c r="J16" s="65">
        <f>+J14-J15</f>
        <v>37.50200000000001</v>
      </c>
      <c r="K16" s="65"/>
      <c r="M16" s="79" t="str">
        <f t="shared" si="2"/>
        <v>Doudou et compagnie ours plat arc en ciel nuage de couleur DC1031</v>
      </c>
      <c r="N16" s="76">
        <f t="shared" si="2"/>
        <v>1</v>
      </c>
      <c r="O16" s="80">
        <f t="shared" si="2"/>
        <v>13</v>
      </c>
      <c r="P16" s="78">
        <f t="shared" si="2"/>
        <v>13</v>
      </c>
    </row>
    <row r="17" spans="9:16" ht="15.6" x14ac:dyDescent="0.3">
      <c r="I17" s="33"/>
      <c r="M17" s="79" t="str">
        <f t="shared" si="2"/>
        <v>DOUDOU MAILEG LAPIN ROSE ANGEL DANS UNE CHAUSSETTE MINI PANTIN</v>
      </c>
      <c r="N17" s="76">
        <f t="shared" si="2"/>
        <v>1</v>
      </c>
      <c r="O17" s="80">
        <f t="shared" si="2"/>
        <v>28.716000000000001</v>
      </c>
      <c r="P17" s="78">
        <f t="shared" si="2"/>
        <v>28.716000000000001</v>
      </c>
    </row>
    <row r="18" spans="9:16" x14ac:dyDescent="0.3">
      <c r="I18" s="134" t="s">
        <v>83</v>
      </c>
      <c r="J18" s="134"/>
      <c r="M18" s="79" t="str">
        <f t="shared" si="2"/>
        <v>DOUDOU MAILEG LAPIN ROSE ANGEL DANS UNE CHAUSSETTE MINI PANTIN</v>
      </c>
      <c r="N18" s="76">
        <f t="shared" si="2"/>
        <v>1</v>
      </c>
      <c r="O18" s="80">
        <f t="shared" si="2"/>
        <v>28.716000000000001</v>
      </c>
      <c r="P18" s="78">
        <f t="shared" si="2"/>
        <v>28.716000000000001</v>
      </c>
    </row>
    <row r="19" spans="9:16" x14ac:dyDescent="0.3">
      <c r="I19" s="135" t="s">
        <v>15</v>
      </c>
      <c r="J19" s="135"/>
      <c r="M19" s="79" t="str">
        <f t="shared" si="2"/>
        <v>DOUDOU MAILEG LAPIN ROSE ANGEL DANS UNE CHAUSSETTE MINI PANTIN</v>
      </c>
      <c r="N19" s="76">
        <f t="shared" si="2"/>
        <v>1</v>
      </c>
      <c r="O19" s="80">
        <f t="shared" si="2"/>
        <v>28.716000000000001</v>
      </c>
      <c r="P19" s="78">
        <f t="shared" si="2"/>
        <v>28.716000000000001</v>
      </c>
    </row>
    <row r="20" spans="9:16" x14ac:dyDescent="0.3">
      <c r="M20" s="79" t="str">
        <f t="shared" si="2"/>
        <v>DOUDOU MAILEG LAPIN ROSE ANGEL DANS UNE CHAUSSETTE MINI PANTIN</v>
      </c>
      <c r="N20" s="76">
        <f t="shared" si="2"/>
        <v>1</v>
      </c>
      <c r="O20" s="80">
        <f t="shared" si="2"/>
        <v>28.716000000000001</v>
      </c>
      <c r="P20" s="78">
        <f t="shared" si="2"/>
        <v>28.716000000000001</v>
      </c>
    </row>
    <row r="21" spans="9:16" x14ac:dyDescent="0.3">
      <c r="M21" s="79"/>
      <c r="N21" s="81"/>
      <c r="O21" s="81"/>
      <c r="P21" s="82"/>
    </row>
    <row r="22" spans="9:16" x14ac:dyDescent="0.3">
      <c r="M22" s="83">
        <f>+SUM(N12:N20)</f>
        <v>8</v>
      </c>
      <c r="N22" s="84"/>
      <c r="O22" s="85"/>
      <c r="P22" s="86"/>
    </row>
    <row r="23" spans="9:16" x14ac:dyDescent="0.3">
      <c r="M23" s="87" t="s">
        <v>90</v>
      </c>
      <c r="N23" s="88"/>
      <c r="O23" s="88"/>
      <c r="P23" s="78">
        <f>+SUM(P12:P20)</f>
        <v>198.29600000000002</v>
      </c>
    </row>
    <row r="24" spans="9:16" x14ac:dyDescent="0.3">
      <c r="M24" s="79" t="str">
        <f>+IF(J8="","",I8)</f>
        <v>Réduction</v>
      </c>
      <c r="N24" s="88"/>
      <c r="O24" s="88"/>
      <c r="P24" s="89">
        <f>J8</f>
        <v>2</v>
      </c>
    </row>
    <row r="25" spans="9:16" ht="15" thickBot="1" x14ac:dyDescent="0.35">
      <c r="M25" s="79" t="str">
        <f>+IF(J10="","",I10)</f>
        <v/>
      </c>
      <c r="N25" s="88"/>
      <c r="O25" s="88"/>
      <c r="P25" s="90">
        <f>+J10</f>
        <v>0</v>
      </c>
    </row>
    <row r="26" spans="9:16" ht="15.6" thickTop="1" thickBot="1" x14ac:dyDescent="0.35">
      <c r="M26" s="91" t="s">
        <v>91</v>
      </c>
      <c r="N26" s="92"/>
      <c r="O26" s="92"/>
      <c r="P26" s="93">
        <f>+P25+P23-P24</f>
        <v>196.29600000000002</v>
      </c>
    </row>
    <row r="27" spans="9:16" ht="15" thickTop="1" x14ac:dyDescent="0.3">
      <c r="M27" s="94" t="str">
        <f>+I18</f>
        <v>Type de règlement</v>
      </c>
      <c r="N27" s="95"/>
      <c r="O27" s="95"/>
      <c r="P27" s="96">
        <f>+P26</f>
        <v>196.29600000000002</v>
      </c>
    </row>
    <row r="28" spans="9:16" x14ac:dyDescent="0.3">
      <c r="M28" s="97" t="str">
        <f>+IF(J6="FR","Dont Tva",IF(J6="UE","Dont Tva","Non soumis à TVA : export H.UE"))</f>
        <v>Dont Tva</v>
      </c>
      <c r="N28" s="98"/>
      <c r="O28" s="99"/>
      <c r="P28" s="100">
        <f>+J15</f>
        <v>187.51000000000002</v>
      </c>
    </row>
    <row r="29" spans="9:16" x14ac:dyDescent="0.3">
      <c r="M29" s="101" t="str">
        <f>+IF(J12=BDD!K1,"Retrait magasin","Transporteur : ")</f>
        <v xml:space="preserve">Transporteur : </v>
      </c>
      <c r="N29" s="102"/>
      <c r="O29" s="103" t="str">
        <f>+IF(J12=BDD!K1,"",J12)</f>
        <v>Mondial Relay</v>
      </c>
      <c r="P29" s="104"/>
    </row>
    <row r="30" spans="9:16" x14ac:dyDescent="0.3">
      <c r="M30" s="116" t="s">
        <v>92</v>
      </c>
      <c r="N30" s="117"/>
      <c r="O30" s="117"/>
      <c r="P30" s="118"/>
    </row>
    <row r="31" spans="9:16" x14ac:dyDescent="0.3">
      <c r="M31" s="119" t="str">
        <f>+BDD!$A$7&amp;" "&amp;BDD!$B$7</f>
        <v>Siret : A afficher</v>
      </c>
      <c r="N31" s="120"/>
      <c r="O31" s="120"/>
      <c r="P31" s="121"/>
    </row>
  </sheetData>
  <mergeCells count="14">
    <mergeCell ref="M31:P31"/>
    <mergeCell ref="B1:C1"/>
    <mergeCell ref="B2:C2"/>
    <mergeCell ref="M1:P1"/>
    <mergeCell ref="M2:P2"/>
    <mergeCell ref="M3:P3"/>
    <mergeCell ref="M4:P4"/>
    <mergeCell ref="I18:J18"/>
    <mergeCell ref="I19:J19"/>
    <mergeCell ref="M5:P5"/>
    <mergeCell ref="M6:P6"/>
    <mergeCell ref="M7:P7"/>
    <mergeCell ref="M8:P8"/>
    <mergeCell ref="M30:P30"/>
  </mergeCells>
  <conditionalFormatting sqref="F5:F13">
    <cfRule type="cellIs" dxfId="1" priority="2" operator="equal">
      <formula>0</formula>
    </cfRule>
  </conditionalFormatting>
  <conditionalFormatting sqref="G5:G13">
    <cfRule type="cellIs" dxfId="0" priority="1" operator="lessThan">
      <formula>0</formula>
    </cfRule>
  </conditionalFormatting>
  <dataValidations disablePrompts="1" count="2">
    <dataValidation type="list" allowBlank="1" showInputMessage="1" showErrorMessage="1" sqref="J6" xr:uid="{E35B633C-0BD7-4AD3-AEF1-F175947C6E41}">
      <formula1>TVA</formula1>
    </dataValidation>
    <dataValidation type="list" allowBlank="1" showInputMessage="1" showErrorMessage="1" sqref="J12" xr:uid="{DD49A04A-2AAF-44DF-9925-0F1F0BC36FC5}">
      <formula1>transporteur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disablePrompts="1" count="2">
        <x14:dataValidation type="list" allowBlank="1" showInputMessage="1" showErrorMessage="1" xr:uid="{7F7CB404-E64C-4C3A-9DB1-C0E0637A5372}">
          <x14:formula1>
            <xm:f>BDD!$I$1:$I$6</xm:f>
          </x14:formula1>
          <xm:sqref>A2</xm:sqref>
        </x14:dataValidation>
        <x14:dataValidation type="list" allowBlank="1" showInputMessage="1" showErrorMessage="1" xr:uid="{945D52F7-4394-44B6-9FA1-488F8E55D899}">
          <x14:formula1>
            <xm:f>BDD!$G$1:$G$4</xm:f>
          </x14:formula1>
          <xm:sqref>I19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8E6D15-D3CE-48B8-A859-C3D96A3FEAE0}">
  <sheetPr codeName="Feuil3"/>
  <dimension ref="A1:G2"/>
  <sheetViews>
    <sheetView tabSelected="1" workbookViewId="0"/>
  </sheetViews>
  <sheetFormatPr baseColWidth="10" defaultRowHeight="14.4" x14ac:dyDescent="0.3"/>
  <cols>
    <col min="1" max="1" width="11.5546875" style="17"/>
    <col min="6" max="6" width="12.5546875" customWidth="1"/>
    <col min="7" max="7" width="12.33203125" customWidth="1"/>
  </cols>
  <sheetData>
    <row r="1" spans="1:7" x14ac:dyDescent="0.3">
      <c r="A1" s="24" t="s">
        <v>31</v>
      </c>
      <c r="B1" s="25" t="s">
        <v>32</v>
      </c>
      <c r="C1" s="25" t="s">
        <v>33</v>
      </c>
      <c r="D1" s="25" t="s">
        <v>34</v>
      </c>
      <c r="E1" s="25" t="s">
        <v>35</v>
      </c>
      <c r="F1" s="25" t="s">
        <v>36</v>
      </c>
      <c r="G1" s="25" t="s">
        <v>37</v>
      </c>
    </row>
    <row r="2" spans="1:7" x14ac:dyDescent="0.3">
      <c r="A2" s="17">
        <v>44264</v>
      </c>
      <c r="C2" t="s">
        <v>58</v>
      </c>
      <c r="D2">
        <v>25</v>
      </c>
      <c r="F2">
        <v>0</v>
      </c>
      <c r="G2">
        <v>0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841161-2771-4DF9-80BE-981CC27B4F39}">
  <sheetPr codeName="Feuil4"/>
  <dimension ref="A1:O17"/>
  <sheetViews>
    <sheetView showGridLines="0" workbookViewId="0">
      <selection activeCell="A2" sqref="A2:G2"/>
    </sheetView>
  </sheetViews>
  <sheetFormatPr baseColWidth="10" defaultRowHeight="14.4" x14ac:dyDescent="0.3"/>
  <cols>
    <col min="1" max="1" width="11.21875" bestFit="1" customWidth="1"/>
    <col min="2" max="2" width="15.5546875" bestFit="1" customWidth="1"/>
    <col min="6" max="6" width="12.21875" customWidth="1"/>
    <col min="10" max="10" width="12.5546875" customWidth="1"/>
    <col min="11" max="11" width="11.44140625" bestFit="1" customWidth="1"/>
    <col min="14" max="14" width="12.33203125" customWidth="1"/>
    <col min="15" max="15" width="13.21875" customWidth="1"/>
  </cols>
  <sheetData>
    <row r="1" spans="1:15" x14ac:dyDescent="0.3">
      <c r="A1" s="15" t="s">
        <v>31</v>
      </c>
      <c r="B1" s="16" t="s">
        <v>32</v>
      </c>
      <c r="C1" s="16" t="s">
        <v>33</v>
      </c>
      <c r="D1" s="16" t="s">
        <v>34</v>
      </c>
      <c r="E1" s="16" t="s">
        <v>35</v>
      </c>
      <c r="F1" s="16" t="s">
        <v>36</v>
      </c>
      <c r="G1" s="16" t="s">
        <v>37</v>
      </c>
    </row>
    <row r="2" spans="1:15" x14ac:dyDescent="0.3">
      <c r="A2" s="17">
        <f ca="1">+A3</f>
        <v>44264</v>
      </c>
      <c r="C2">
        <f>+B4</f>
        <v>0</v>
      </c>
      <c r="D2">
        <f>+B6</f>
        <v>0</v>
      </c>
      <c r="F2">
        <f>+B8</f>
        <v>0</v>
      </c>
      <c r="G2">
        <f>+D8</f>
        <v>0</v>
      </c>
    </row>
    <row r="3" spans="1:15" ht="25.8" customHeight="1" x14ac:dyDescent="0.3">
      <c r="A3" s="14">
        <f ca="1">+TODAY()</f>
        <v>44264</v>
      </c>
      <c r="B3" s="132" t="s">
        <v>39</v>
      </c>
      <c r="C3" s="132"/>
      <c r="D3" s="132"/>
      <c r="E3" s="132"/>
      <c r="F3" s="132"/>
      <c r="I3" s="132" t="s">
        <v>62</v>
      </c>
      <c r="J3" s="132"/>
      <c r="K3" s="132"/>
      <c r="L3" s="132"/>
      <c r="M3" s="132"/>
      <c r="N3" s="132"/>
      <c r="O3" s="132"/>
    </row>
    <row r="4" spans="1:15" x14ac:dyDescent="0.3">
      <c r="A4" s="13" t="s">
        <v>33</v>
      </c>
      <c r="B4" s="31"/>
      <c r="C4" s="28" t="str">
        <f>+IFERROR(VLOOKUP(B4,Stock[[#All],[Produits]:[Nom]],2,FALSE),"")</f>
        <v/>
      </c>
      <c r="D4" s="12"/>
      <c r="E4" s="12"/>
      <c r="F4" s="11"/>
      <c r="I4" s="13" t="s">
        <v>63</v>
      </c>
      <c r="J4" s="27"/>
      <c r="K4" s="11"/>
      <c r="L4" s="11"/>
      <c r="M4" s="11"/>
      <c r="N4" s="11"/>
      <c r="O4" s="11"/>
    </row>
    <row r="5" spans="1:15" x14ac:dyDescent="0.3">
      <c r="A5" s="12"/>
      <c r="B5" s="12"/>
      <c r="C5" s="12"/>
      <c r="D5" s="12"/>
      <c r="E5" s="12"/>
      <c r="F5" s="11"/>
      <c r="I5" s="11"/>
      <c r="J5" s="11"/>
      <c r="K5" s="11"/>
      <c r="L5" s="11"/>
      <c r="M5" s="11"/>
      <c r="N5" s="11"/>
      <c r="O5" s="11"/>
    </row>
    <row r="6" spans="1:15" x14ac:dyDescent="0.3">
      <c r="A6" s="13" t="s">
        <v>38</v>
      </c>
      <c r="B6" s="31"/>
      <c r="C6" s="12"/>
      <c r="D6" s="12"/>
      <c r="E6" s="12"/>
      <c r="F6" s="11"/>
      <c r="I6" s="13" t="s">
        <v>48</v>
      </c>
      <c r="J6" s="29">
        <f>+IFERROR(VLOOKUP(J4,Stock[[#All],[Produits]:[Total V HT]],7,FALSE),SUM(Stock[Stock I]))</f>
        <v>38</v>
      </c>
      <c r="K6" s="13" t="s">
        <v>44</v>
      </c>
      <c r="L6" s="30" t="str">
        <f>+IFERROR(VLOOKUP(J4,Stock[[#All],[Produits]:[Prix U HT]],3,FALSE),"")</f>
        <v/>
      </c>
      <c r="M6" s="13" t="s">
        <v>64</v>
      </c>
      <c r="N6" s="30">
        <f>+IFERROR(VLOOKUP(J4,Stock[[#All],[Produits]:[V S F HT]],13,FALSE),SUM(Stock[V S F HT]))</f>
        <v>202</v>
      </c>
      <c r="O6" s="11"/>
    </row>
    <row r="7" spans="1:15" x14ac:dyDescent="0.3">
      <c r="A7" s="12"/>
      <c r="B7" s="12"/>
      <c r="C7" s="12"/>
      <c r="D7" s="12"/>
      <c r="E7" s="12"/>
      <c r="F7" s="11"/>
      <c r="I7" s="11"/>
      <c r="J7" s="11"/>
      <c r="K7" s="11"/>
      <c r="L7" s="11"/>
      <c r="M7" s="11"/>
      <c r="N7" s="11"/>
      <c r="O7" s="11"/>
    </row>
    <row r="8" spans="1:15" x14ac:dyDescent="0.3">
      <c r="A8" s="13" t="s">
        <v>41</v>
      </c>
      <c r="B8" s="31"/>
      <c r="C8" s="13" t="s">
        <v>40</v>
      </c>
      <c r="D8" s="130"/>
      <c r="E8" s="131"/>
      <c r="F8" s="11"/>
      <c r="I8" s="13" t="s">
        <v>49</v>
      </c>
      <c r="J8" s="29">
        <f>+IFERROR(VLOOKUP(J4,Stock[[#All],[Produits]:[Total V HT]],11,FALSE),SUM(Stock[Stock F]))</f>
        <v>63</v>
      </c>
      <c r="K8" s="13" t="s">
        <v>45</v>
      </c>
      <c r="L8" s="30" t="str">
        <f>+IFERROR(VLOOKUP(J4,Stock[[#All],[Produits]:[Prix U HT]],4,FALSE),"")</f>
        <v/>
      </c>
      <c r="M8" s="13" t="s">
        <v>65</v>
      </c>
      <c r="N8" s="30">
        <f>+IFERROR(VLOOKUP(J4,Stock[[#All],[Produits]:[Total V HT]],14,FALSE),SUM(Stock[Total V HT]))</f>
        <v>995.30666666666662</v>
      </c>
      <c r="O8" s="11"/>
    </row>
    <row r="9" spans="1:15" x14ac:dyDescent="0.3">
      <c r="A9" s="12"/>
      <c r="B9" s="12"/>
      <c r="C9" s="12"/>
      <c r="D9" s="12"/>
      <c r="E9" s="12"/>
      <c r="F9" s="11"/>
      <c r="I9" s="11"/>
      <c r="J9" s="11"/>
      <c r="K9" s="11"/>
      <c r="L9" s="11"/>
      <c r="M9" s="11"/>
      <c r="N9" s="11"/>
      <c r="O9" s="11"/>
    </row>
    <row r="13" spans="1:15" x14ac:dyDescent="0.3">
      <c r="A13" s="18" t="s">
        <v>42</v>
      </c>
      <c r="B13" s="18" t="s">
        <v>43</v>
      </c>
      <c r="C13" s="19" t="s">
        <v>44</v>
      </c>
      <c r="D13" s="19" t="s">
        <v>45</v>
      </c>
      <c r="E13" s="18" t="s">
        <v>46</v>
      </c>
      <c r="F13" s="19" t="s">
        <v>47</v>
      </c>
      <c r="G13" s="18" t="s">
        <v>48</v>
      </c>
      <c r="H13" s="18" t="s">
        <v>34</v>
      </c>
      <c r="I13" s="18" t="s">
        <v>35</v>
      </c>
      <c r="J13" s="18" t="s">
        <v>36</v>
      </c>
      <c r="K13" s="18" t="s">
        <v>49</v>
      </c>
      <c r="L13" s="19" t="s">
        <v>50</v>
      </c>
      <c r="M13" s="19" t="s">
        <v>51</v>
      </c>
      <c r="N13" s="19" t="s">
        <v>52</v>
      </c>
      <c r="O13" s="19" t="s">
        <v>53</v>
      </c>
    </row>
    <row r="14" spans="1:15" x14ac:dyDescent="0.3">
      <c r="A14" s="20" t="s">
        <v>54</v>
      </c>
      <c r="B14" s="20" t="s">
        <v>55</v>
      </c>
      <c r="C14" s="21">
        <v>4</v>
      </c>
      <c r="D14" s="21">
        <v>23.93</v>
      </c>
      <c r="E14" s="22">
        <v>0.2</v>
      </c>
      <c r="F14" s="23">
        <f>+Stock[[#This Row],[TVA]]*Stock[[#This Row],[Prix U HT]]+Stock[[#This Row],[Prix U HT]]</f>
        <v>28.716000000000001</v>
      </c>
      <c r="G14">
        <v>23</v>
      </c>
      <c r="H14">
        <f>+SUMIFS(journal[[#All],[Entrée]],journal[[#All],[Ref]],A14)</f>
        <v>0</v>
      </c>
      <c r="I14">
        <f>+SUMIFS(journal[[#All],[Sortie]],journal[[#All],[Ref]],A14)</f>
        <v>0</v>
      </c>
      <c r="J14">
        <f>+SUMIFS(journal[[#All],[Destockage]],journal[[#All],[Ref]],A14)</f>
        <v>0</v>
      </c>
      <c r="K14">
        <f>+Stock[[#This Row],[Stock I]]+Stock[[#This Row],[Entrée]]-Stock[[#This Row],[Sortie]]-Stock[[#This Row],[Destockage]]</f>
        <v>23</v>
      </c>
      <c r="L14" s="26">
        <f>+Stock[[#This Row],[Stock I]]*Stock[[#This Row],[Prix A HT]]</f>
        <v>92</v>
      </c>
      <c r="M14" s="23">
        <f>+Stock[[#This Row],[Stock F]]*Stock[[#This Row],[Prix A HT]]</f>
        <v>92</v>
      </c>
      <c r="N14" s="23">
        <f>+Stock[[#This Row],[Stock F]]*Stock[[#This Row],[Prix U HT]]</f>
        <v>550.39</v>
      </c>
      <c r="O14" s="23">
        <f>+Stock[[#This Row],[Stock F]]*Stock[[#This Row],[Prix U TTC]]</f>
        <v>660.46800000000007</v>
      </c>
    </row>
    <row r="15" spans="1:15" x14ac:dyDescent="0.3">
      <c r="A15" s="20" t="s">
        <v>56</v>
      </c>
      <c r="B15" s="20" t="s">
        <v>57</v>
      </c>
      <c r="C15" s="21">
        <v>7.5</v>
      </c>
      <c r="D15" s="21">
        <v>16.625</v>
      </c>
      <c r="E15" s="22">
        <v>0.2</v>
      </c>
      <c r="F15" s="23">
        <f>+Stock[[#This Row],[TVA]]*Stock[[#This Row],[Prix U HT]]+Stock[[#This Row],[Prix U HT]]</f>
        <v>19.95</v>
      </c>
      <c r="G15">
        <v>2</v>
      </c>
      <c r="H15">
        <f>+SUMIFS(journal[[#All],[Entrée]],journal[[#All],[Ref]],A15)</f>
        <v>0</v>
      </c>
      <c r="I15">
        <f>+SUMIFS(journal[[#All],[Sortie]],journal[[#All],[Ref]],A15)</f>
        <v>0</v>
      </c>
      <c r="J15">
        <f>+SUMIFS(journal[[#All],[Destockage]],journal[[#All],[Ref]],A15)</f>
        <v>0</v>
      </c>
      <c r="K15">
        <f>+Stock[[#This Row],[Stock I]]+Stock[[#This Row],[Entrée]]-Stock[[#This Row],[Sortie]]-Stock[[#This Row],[Destockage]]</f>
        <v>2</v>
      </c>
      <c r="L15" s="26">
        <f>+Stock[[#This Row],[Stock I]]*Stock[[#This Row],[Prix A HT]]</f>
        <v>15</v>
      </c>
      <c r="M15" s="23">
        <f>+Stock[[#This Row],[Stock F]]*Stock[[#This Row],[Prix A HT]]</f>
        <v>15</v>
      </c>
      <c r="N15" s="23">
        <f>+Stock[[#This Row],[Stock F]]*Stock[[#This Row],[Prix U HT]]</f>
        <v>33.25</v>
      </c>
      <c r="O15" s="23">
        <f>+Stock[[#This Row],[Stock F]]*Stock[[#This Row],[Prix U TTC]]</f>
        <v>39.9</v>
      </c>
    </row>
    <row r="16" spans="1:15" x14ac:dyDescent="0.3">
      <c r="A16" s="20" t="s">
        <v>58</v>
      </c>
      <c r="B16" s="20" t="s">
        <v>59</v>
      </c>
      <c r="C16" s="21">
        <v>2.5</v>
      </c>
      <c r="D16" s="21">
        <v>10.833333333333334</v>
      </c>
      <c r="E16" s="22">
        <v>0.2</v>
      </c>
      <c r="F16" s="23">
        <f>+Stock[[#This Row],[TVA]]*Stock[[#This Row],[Prix U HT]]+Stock[[#This Row],[Prix U HT]]</f>
        <v>13</v>
      </c>
      <c r="G16">
        <v>13</v>
      </c>
      <c r="H16">
        <f>+SUMIFS(journal[[#All],[Entrée]],journal[[#All],[Ref]],A16)</f>
        <v>25</v>
      </c>
      <c r="I16">
        <f>+SUMIFS(journal[[#All],[Sortie]],journal[[#All],[Ref]],A16)</f>
        <v>0</v>
      </c>
      <c r="J16">
        <f>+SUMIFS(journal[[#All],[Destockage]],journal[[#All],[Ref]],A16)</f>
        <v>0</v>
      </c>
      <c r="K16">
        <f>+Stock[[#This Row],[Stock I]]+Stock[[#This Row],[Entrée]]-Stock[[#This Row],[Sortie]]-Stock[[#This Row],[Destockage]]</f>
        <v>38</v>
      </c>
      <c r="L16" s="26">
        <f>+Stock[[#This Row],[Stock I]]*Stock[[#This Row],[Prix A HT]]</f>
        <v>32.5</v>
      </c>
      <c r="M16" s="23">
        <f>+Stock[[#This Row],[Stock F]]*Stock[[#This Row],[Prix A HT]]</f>
        <v>95</v>
      </c>
      <c r="N16" s="23">
        <f>+Stock[[#This Row],[Stock F]]*Stock[[#This Row],[Prix U HT]]</f>
        <v>411.66666666666669</v>
      </c>
      <c r="O16" s="23">
        <f>+Stock[[#This Row],[Stock F]]*Stock[[#This Row],[Prix U TTC]]</f>
        <v>494</v>
      </c>
    </row>
    <row r="17" spans="1:15" x14ac:dyDescent="0.3">
      <c r="A17" s="20" t="s">
        <v>60</v>
      </c>
      <c r="B17" s="20" t="s">
        <v>61</v>
      </c>
      <c r="C17" s="21">
        <v>9.5750000000000011</v>
      </c>
      <c r="D17" s="21">
        <v>19.958333333333332</v>
      </c>
      <c r="E17" s="22">
        <v>0.2</v>
      </c>
      <c r="F17" s="23">
        <f>+Stock[[#This Row],[TVA]]*Stock[[#This Row],[Prix U HT]]+Stock[[#This Row],[Prix U HT]]</f>
        <v>23.95</v>
      </c>
      <c r="G17">
        <v>0</v>
      </c>
      <c r="H17">
        <f>+SUMIFS(journal[[#All],[Entrée]],journal[[#All],[Ref]],A17)</f>
        <v>0</v>
      </c>
      <c r="I17">
        <f>+SUMIFS(journal[[#All],[Sortie]],journal[[#All],[Ref]],A17)</f>
        <v>0</v>
      </c>
      <c r="J17">
        <f>+SUMIFS(journal[[#All],[Destockage]],journal[[#All],[Ref]],A17)</f>
        <v>0</v>
      </c>
      <c r="K17">
        <f>+Stock[[#This Row],[Stock I]]+Stock[[#This Row],[Entrée]]-Stock[[#This Row],[Sortie]]-Stock[[#This Row],[Destockage]]</f>
        <v>0</v>
      </c>
      <c r="L17" s="26">
        <f>+Stock[[#This Row],[Stock I]]*Stock[[#This Row],[Prix A HT]]</f>
        <v>0</v>
      </c>
      <c r="M17" s="23">
        <f>+Stock[[#This Row],[Stock F]]*Stock[[#This Row],[Prix A HT]]</f>
        <v>0</v>
      </c>
      <c r="N17" s="23">
        <f>+Stock[[#This Row],[Stock F]]*Stock[[#This Row],[Prix U HT]]</f>
        <v>0</v>
      </c>
      <c r="O17" s="23">
        <f>+Stock[[#This Row],[Stock F]]*Stock[[#This Row],[Prix U TTC]]</f>
        <v>0</v>
      </c>
    </row>
  </sheetData>
  <mergeCells count="3">
    <mergeCell ref="D8:E8"/>
    <mergeCell ref="B3:F3"/>
    <mergeCell ref="I3:O3"/>
  </mergeCells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04" r:id="rId4" name="Button 8">
              <controlPr defaultSize="0" print="0" autoFill="0" autoPict="0" macro="[0]!rea_destock">
                <anchor moveWithCells="1" sizeWithCells="1">
                  <from>
                    <xdr:col>6</xdr:col>
                    <xdr:colOff>106680</xdr:colOff>
                    <xdr:row>4</xdr:row>
                    <xdr:rowOff>68580</xdr:rowOff>
                  </from>
                  <to>
                    <xdr:col>7</xdr:col>
                    <xdr:colOff>693420</xdr:colOff>
                    <xdr:row>7</xdr:row>
                    <xdr:rowOff>160020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641AEF-7A59-410E-AC76-DD0310A18BF8}">
  <sheetPr codeName="Feuil5"/>
  <dimension ref="A1:M10"/>
  <sheetViews>
    <sheetView workbookViewId="0">
      <selection activeCell="M2" sqref="M2"/>
    </sheetView>
  </sheetViews>
  <sheetFormatPr baseColWidth="10" defaultRowHeight="14.4" x14ac:dyDescent="0.3"/>
  <cols>
    <col min="1" max="1" width="15.5546875" bestFit="1" customWidth="1"/>
    <col min="6" max="6" width="10.6640625" bestFit="1" customWidth="1"/>
    <col min="7" max="7" width="16.44140625" bestFit="1" customWidth="1"/>
  </cols>
  <sheetData>
    <row r="1" spans="1:13" s="140" customFormat="1" ht="13.8" x14ac:dyDescent="0.3">
      <c r="A1" s="138" t="s">
        <v>31</v>
      </c>
      <c r="B1" s="138" t="s">
        <v>93</v>
      </c>
      <c r="C1" s="138" t="s">
        <v>33</v>
      </c>
      <c r="D1" s="139" t="s">
        <v>70</v>
      </c>
      <c r="E1" s="139" t="s">
        <v>47</v>
      </c>
      <c r="F1" s="136" t="s">
        <v>66</v>
      </c>
      <c r="G1" s="137" t="s">
        <v>67</v>
      </c>
      <c r="H1" s="136" t="s">
        <v>75</v>
      </c>
      <c r="I1" s="136" t="s">
        <v>76</v>
      </c>
      <c r="J1" s="136" t="s">
        <v>77</v>
      </c>
      <c r="K1" s="136" t="s">
        <v>78</v>
      </c>
      <c r="L1" s="136" t="s">
        <v>94</v>
      </c>
      <c r="M1" s="140" t="s">
        <v>95</v>
      </c>
    </row>
    <row r="2" spans="1:13" x14ac:dyDescent="0.3">
      <c r="A2" s="141">
        <f ca="1">+FDV!M8</f>
        <v>44264.472053124999</v>
      </c>
      <c r="B2" t="str">
        <f>+FDV!M7</f>
        <v>2021-313</v>
      </c>
      <c r="C2" t="str">
        <f>+FDV!A5</f>
        <v>news</v>
      </c>
      <c r="D2">
        <f>+FDV!C5</f>
        <v>1</v>
      </c>
      <c r="E2" s="142">
        <f>+FDV!D5</f>
        <v>13</v>
      </c>
      <c r="F2" t="str">
        <f>+FDV!A2</f>
        <v>Cdiscount</v>
      </c>
      <c r="G2" t="str">
        <f>+FDV!B2</f>
        <v>230-258</v>
      </c>
      <c r="H2" t="str">
        <f>+FDV!J6</f>
        <v>UE</v>
      </c>
      <c r="I2">
        <f>+FDV!J8</f>
        <v>2</v>
      </c>
      <c r="J2">
        <f>+FDV!J10</f>
        <v>0</v>
      </c>
      <c r="K2" t="str">
        <f>+FDV!J12</f>
        <v>Mondial Relay</v>
      </c>
      <c r="L2" t="str">
        <f>+FDV!I19</f>
        <v>Carte Bancaire</v>
      </c>
      <c r="M2">
        <f>+FDV!P26</f>
        <v>196.29600000000002</v>
      </c>
    </row>
    <row r="3" spans="1:13" x14ac:dyDescent="0.3">
      <c r="C3" t="str">
        <f>+FDV!A6</f>
        <v>test</v>
      </c>
      <c r="D3">
        <f>+FDV!C6</f>
        <v>1</v>
      </c>
      <c r="E3" s="142">
        <f>+FDV!D6</f>
        <v>28.716000000000001</v>
      </c>
    </row>
    <row r="4" spans="1:13" x14ac:dyDescent="0.3">
      <c r="C4" t="str">
        <f>+FDV!A7</f>
        <v>test</v>
      </c>
      <c r="D4">
        <f>+FDV!C7</f>
        <v>1</v>
      </c>
      <c r="E4" s="142">
        <f>+FDV!D7</f>
        <v>28.716000000000001</v>
      </c>
    </row>
    <row r="5" spans="1:13" x14ac:dyDescent="0.3">
      <c r="C5" t="str">
        <f>+FDV!A8</f>
        <v>news</v>
      </c>
      <c r="D5">
        <f>+FDV!C8</f>
        <v>1</v>
      </c>
      <c r="E5" s="142">
        <f>+FDV!D8</f>
        <v>13</v>
      </c>
    </row>
    <row r="6" spans="1:13" x14ac:dyDescent="0.3">
      <c r="C6" t="str">
        <f>+FDV!A9</f>
        <v>test</v>
      </c>
      <c r="D6">
        <f>+FDV!C9</f>
        <v>1</v>
      </c>
      <c r="E6" s="142">
        <f>+FDV!D9</f>
        <v>28.716000000000001</v>
      </c>
    </row>
    <row r="7" spans="1:13" x14ac:dyDescent="0.3">
      <c r="C7" t="str">
        <f>+FDV!A10</f>
        <v>test</v>
      </c>
      <c r="D7">
        <f>+FDV!C10</f>
        <v>1</v>
      </c>
      <c r="E7" s="142">
        <f>+FDV!D10</f>
        <v>28.716000000000001</v>
      </c>
    </row>
    <row r="8" spans="1:13" x14ac:dyDescent="0.3">
      <c r="C8" t="str">
        <f>+FDV!A11</f>
        <v>test</v>
      </c>
      <c r="D8">
        <f>+FDV!C11</f>
        <v>1</v>
      </c>
      <c r="E8" s="142">
        <f>+FDV!D11</f>
        <v>28.716000000000001</v>
      </c>
    </row>
    <row r="9" spans="1:13" x14ac:dyDescent="0.3">
      <c r="C9" t="str">
        <f>+FDV!A12</f>
        <v>test</v>
      </c>
      <c r="D9">
        <f>+FDV!C12</f>
        <v>1</v>
      </c>
      <c r="E9" s="142">
        <f>+FDV!D12</f>
        <v>28.716000000000001</v>
      </c>
    </row>
    <row r="10" spans="1:13" x14ac:dyDescent="0.3">
      <c r="C10" t="str">
        <f>+FDV!A13</f>
        <v>test</v>
      </c>
      <c r="D10">
        <f>+FDV!C13</f>
        <v>1</v>
      </c>
      <c r="E10" s="142">
        <f>+FDV!D13</f>
        <v>28.716000000000001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BDD</vt:lpstr>
      <vt:lpstr>FDV</vt:lpstr>
      <vt:lpstr>J</vt:lpstr>
      <vt:lpstr>S</vt:lpstr>
      <vt:lpstr>A</vt:lpstr>
      <vt:lpstr>transporteur</vt:lpstr>
      <vt:lpstr>TVA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2015-06-05T18:17:20Z</dcterms:created>
  <dcterms:modified xsi:type="dcterms:W3CDTF">2021-03-09T10:20:27Z</dcterms:modified>
</cp:coreProperties>
</file>