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6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13_ncr:1_{25A55C7C-6C33-4787-9E87-3B6C643C0483}" xr6:coauthVersionLast="36" xr6:coauthVersionMax="36" xr10:uidLastSave="{00000000-0000-0000-0000-000000000000}"/>
  <bookViews>
    <workbookView xWindow="480" yWindow="36" windowWidth="22116" windowHeight="9552" activeTab="1" xr2:uid="{00000000-000D-0000-FFFF-FFFF00000000}"/>
  </bookViews>
  <sheets>
    <sheet name="Base" sheetId="5" r:id="rId1"/>
    <sheet name="Feuil4" sheetId="4" r:id="rId2"/>
    <sheet name="assiette" sheetId="2" state="hidden" r:id="rId3"/>
  </sheets>
  <externalReferences>
    <externalReference r:id="rId4"/>
  </externalReferences>
  <definedNames>
    <definedName name="cp">Base!$A$16</definedName>
    <definedName name="hs">Base!$A$13</definedName>
    <definedName name="maladie">Base!$A$15</definedName>
    <definedName name="prime">Base!$A$14</definedName>
    <definedName name="_xlnm.Print_Area" localSheetId="1">Feuil4!$A$1:$G$9</definedName>
  </definedNames>
  <calcPr calcId="191029"/>
</workbook>
</file>

<file path=xl/calcChain.xml><?xml version="1.0" encoding="utf-8"?>
<calcChain xmlns="http://schemas.openxmlformats.org/spreadsheetml/2006/main">
  <c r="D5" i="5" l="1"/>
  <c r="A4" i="4" l="1"/>
  <c r="D6" i="2"/>
  <c r="D41" i="2" s="1"/>
  <c r="C41" i="2" s="1"/>
  <c r="G41" i="2" s="1"/>
  <c r="G40" i="2"/>
  <c r="F40" i="2"/>
  <c r="C39" i="2"/>
  <c r="G39" i="2" s="1"/>
  <c r="C38" i="2"/>
  <c r="G38" i="2" s="1"/>
  <c r="C37" i="2"/>
  <c r="G37" i="2" s="1"/>
  <c r="C36" i="2"/>
  <c r="F36" i="2" s="1"/>
  <c r="C34" i="2"/>
  <c r="G34" i="2" s="1"/>
  <c r="C33" i="2"/>
  <c r="F33" i="2" s="1"/>
  <c r="E32" i="2"/>
  <c r="D32" i="2"/>
  <c r="C28" i="2"/>
  <c r="G28" i="2" s="1"/>
  <c r="C27" i="2"/>
  <c r="G27" i="2" s="1"/>
  <c r="C25" i="2"/>
  <c r="G25" i="2" s="1"/>
  <c r="C23" i="2"/>
  <c r="G23" i="2" s="1"/>
  <c r="C22" i="2"/>
  <c r="G22" i="2" s="1"/>
  <c r="G21" i="2"/>
  <c r="F21" i="2"/>
  <c r="G20" i="2"/>
  <c r="F20" i="2"/>
  <c r="M4" i="2"/>
  <c r="M5" i="2" s="1"/>
  <c r="M6" i="2" s="1"/>
  <c r="D6" i="4"/>
  <c r="D4" i="4"/>
  <c r="F6" i="4" l="1"/>
  <c r="D7" i="2"/>
  <c r="C18" i="2" s="1"/>
  <c r="F18" i="2" s="1"/>
  <c r="F22" i="2"/>
  <c r="C15" i="2" s="1"/>
  <c r="G15" i="2" s="1"/>
  <c r="F25" i="2"/>
  <c r="F28" i="2"/>
  <c r="G36" i="2"/>
  <c r="G35" i="2" s="1"/>
  <c r="F39" i="2"/>
  <c r="G33" i="2"/>
  <c r="G32" i="2" s="1"/>
  <c r="F27" i="2"/>
  <c r="F38" i="2"/>
  <c r="F23" i="2"/>
  <c r="F34" i="2"/>
  <c r="F32" i="2" s="1"/>
  <c r="F37" i="2"/>
  <c r="F41" i="2"/>
  <c r="A5" i="4"/>
  <c r="C26" i="2" l="1"/>
  <c r="G26" i="2" s="1"/>
  <c r="G24" i="2" s="1"/>
  <c r="C19" i="2"/>
  <c r="D8" i="2"/>
  <c r="C14" i="2"/>
  <c r="G14" i="2" s="1"/>
  <c r="F26" i="2"/>
  <c r="F24" i="2" s="1"/>
  <c r="G18" i="2"/>
  <c r="F35" i="2"/>
  <c r="C7" i="5"/>
  <c r="D7" i="5" s="1"/>
  <c r="E7" i="5" s="1"/>
  <c r="F7" i="5" s="1"/>
  <c r="G7" i="5" s="1"/>
  <c r="H7" i="5" s="1"/>
  <c r="I7" i="5" s="1"/>
  <c r="J7" i="5" s="1"/>
  <c r="K7" i="5" s="1"/>
  <c r="L7" i="5" s="1"/>
  <c r="M7" i="5" s="1"/>
  <c r="D5" i="4"/>
  <c r="F5" i="4" l="1"/>
  <c r="G19" i="2"/>
  <c r="G17" i="2" s="1"/>
  <c r="F19" i="2"/>
  <c r="F17" i="2" s="1"/>
  <c r="C31" i="2"/>
  <c r="C30" i="2"/>
  <c r="F45" i="2"/>
  <c r="F14" i="2"/>
  <c r="G31" i="2" l="1"/>
  <c r="F31" i="2"/>
  <c r="F46" i="2"/>
  <c r="G30" i="2"/>
  <c r="F30" i="2"/>
  <c r="A1" i="5"/>
  <c r="F29" i="2" l="1"/>
  <c r="F4" i="2" s="1"/>
  <c r="F6" i="2" s="1"/>
  <c r="G29" i="2"/>
  <c r="G4" i="2" s="1"/>
  <c r="G3" i="2" s="1"/>
  <c r="G42" i="2" s="1"/>
  <c r="B4" i="5"/>
  <c r="C4" i="5"/>
  <c r="E3" i="4"/>
  <c r="E4" i="4" s="1"/>
  <c r="F4" i="4" s="1"/>
  <c r="E4" i="5"/>
  <c r="F4" i="5"/>
  <c r="G4" i="5"/>
  <c r="H4" i="5"/>
  <c r="I4" i="5"/>
  <c r="J4" i="5"/>
  <c r="K4" i="5"/>
  <c r="L4" i="5"/>
  <c r="M4" i="5"/>
  <c r="B3" i="5"/>
  <c r="C3" i="5"/>
  <c r="E3" i="5"/>
  <c r="F3" i="5"/>
  <c r="G3" i="5"/>
  <c r="H3" i="5"/>
  <c r="I3" i="5"/>
  <c r="J3" i="5"/>
  <c r="K3" i="5"/>
  <c r="L3" i="5"/>
  <c r="M3" i="5"/>
  <c r="B5" i="5"/>
  <c r="D43" i="2" l="1"/>
  <c r="G43" i="2" s="1"/>
  <c r="G44" i="2" s="1"/>
  <c r="B12" i="5"/>
  <c r="K2" i="5"/>
  <c r="G2" i="5"/>
  <c r="C2" i="5"/>
  <c r="K5" i="5"/>
  <c r="K12" i="5" s="1"/>
  <c r="G5" i="5"/>
  <c r="G12" i="5" s="1"/>
  <c r="C5" i="5"/>
  <c r="C12" i="5" s="1"/>
  <c r="L2" i="5"/>
  <c r="H2" i="5"/>
  <c r="D3" i="4"/>
  <c r="L5" i="5"/>
  <c r="L12" i="5" s="1"/>
  <c r="H5" i="5"/>
  <c r="H12" i="5" s="1"/>
  <c r="D12" i="5"/>
  <c r="M2" i="5"/>
  <c r="I2" i="5"/>
  <c r="E2" i="5"/>
  <c r="M5" i="5"/>
  <c r="M12" i="5" s="1"/>
  <c r="I5" i="5"/>
  <c r="I12" i="5" s="1"/>
  <c r="E5" i="5"/>
  <c r="E12" i="5" s="1"/>
  <c r="J2" i="5"/>
  <c r="F2" i="5"/>
  <c r="B2" i="5"/>
  <c r="J5" i="5"/>
  <c r="J12" i="5" s="1"/>
  <c r="F5" i="5"/>
  <c r="F12" i="5" s="1"/>
  <c r="F3" i="4"/>
  <c r="F8" i="4" l="1"/>
</calcChain>
</file>

<file path=xl/sharedStrings.xml><?xml version="1.0" encoding="utf-8"?>
<sst xmlns="http://schemas.openxmlformats.org/spreadsheetml/2006/main" count="97" uniqueCount="84">
  <si>
    <t>Contribution au dialogue social</t>
  </si>
  <si>
    <t xml:space="preserve"> </t>
  </si>
  <si>
    <t>Base</t>
  </si>
  <si>
    <t/>
  </si>
  <si>
    <t>Total brut Mensuel</t>
  </si>
  <si>
    <t>SANTE</t>
  </si>
  <si>
    <t>RETRAITE</t>
  </si>
  <si>
    <t>PMSS</t>
  </si>
  <si>
    <t>Année</t>
  </si>
  <si>
    <t>Trimestre</t>
  </si>
  <si>
    <t>Mois</t>
  </si>
  <si>
    <t>Heure</t>
  </si>
  <si>
    <t>quinzaine</t>
  </si>
  <si>
    <t>semaine</t>
  </si>
  <si>
    <t>jour</t>
  </si>
  <si>
    <t>Horaire mensuel</t>
  </si>
  <si>
    <t>Horaire Hebdomadaire</t>
  </si>
  <si>
    <t>Base horaire (en euros)</t>
  </si>
  <si>
    <t>Salaire mensuel</t>
  </si>
  <si>
    <t>Debut du mois</t>
  </si>
  <si>
    <t>Fin du mois</t>
  </si>
  <si>
    <t>Jours ouvrés</t>
  </si>
  <si>
    <t>Salaire de base</t>
  </si>
  <si>
    <t>Primes, avantages</t>
  </si>
  <si>
    <t>Abs/Ind congés payés</t>
  </si>
  <si>
    <t>Abs/Ind Maladie 100%</t>
  </si>
  <si>
    <t>RTT pris</t>
  </si>
  <si>
    <t>Taux</t>
  </si>
  <si>
    <t>Rubriques</t>
  </si>
  <si>
    <t>A payer</t>
  </si>
  <si>
    <t>FNAL</t>
  </si>
  <si>
    <t>Heures supplémentaires 25%</t>
  </si>
  <si>
    <t>SB</t>
  </si>
  <si>
    <t>Charges</t>
  </si>
  <si>
    <t>SMIC Mensuel</t>
  </si>
  <si>
    <t>SMIC Horaire</t>
  </si>
  <si>
    <t>2,5 x SMIC</t>
  </si>
  <si>
    <t>3,5 x SMIC</t>
  </si>
  <si>
    <t>PMSS Mensuel</t>
  </si>
  <si>
    <t>PMSS Horaire</t>
  </si>
  <si>
    <t>Complementaire</t>
  </si>
  <si>
    <t>plafond</t>
  </si>
  <si>
    <t>Non Cadre</t>
  </si>
  <si>
    <t>Non Cadres</t>
  </si>
  <si>
    <t>Tx Patr</t>
  </si>
  <si>
    <t>Tx Sal</t>
  </si>
  <si>
    <t>Mt Pat</t>
  </si>
  <si>
    <t>Mt Sal</t>
  </si>
  <si>
    <t>CSG s/ Heures supp 25%</t>
  </si>
  <si>
    <t>Sécurité sociale-Maladie, Mat, Inv</t>
  </si>
  <si>
    <t>Prevoyance Tr A</t>
  </si>
  <si>
    <t>Prevoyance Tr B</t>
  </si>
  <si>
    <t>Complementaire Santé</t>
  </si>
  <si>
    <t>ACCIDENT DU TRAVAIL</t>
  </si>
  <si>
    <t>Retraite Déplafonné</t>
  </si>
  <si>
    <t>Retraite Plafonné</t>
  </si>
  <si>
    <t>Retraite compl Tr A</t>
  </si>
  <si>
    <t>AGIRC - ARCCO</t>
  </si>
  <si>
    <t>Retraite compl Tr B</t>
  </si>
  <si>
    <t xml:space="preserve">FAMILLE </t>
  </si>
  <si>
    <t>Allocation Familiales</t>
  </si>
  <si>
    <t>Compl Allocation familiale</t>
  </si>
  <si>
    <t>ASSURANCE CHOMAGE</t>
  </si>
  <si>
    <t>Chomage</t>
  </si>
  <si>
    <t>AGS</t>
  </si>
  <si>
    <t>AUTRES CONTRIBUTIONS</t>
  </si>
  <si>
    <t>Formation pro</t>
  </si>
  <si>
    <t>Taxe apprentissage</t>
  </si>
  <si>
    <t>ALLEGEMENT DES COTISATIONS</t>
  </si>
  <si>
    <t>Réduction Fillon</t>
  </si>
  <si>
    <t>Coefficient = (T / 0,6) x [(1,6 x SMIC annuel / Rémunération annuelle brute) – 1]</t>
  </si>
  <si>
    <t>T = 0,3205</t>
  </si>
  <si>
    <t>Net Imposable</t>
  </si>
  <si>
    <t>Impôt sur le revenu prélevé à la source</t>
  </si>
  <si>
    <t>Dont évolution de la rémunération liée à la suppression des cotisations salariales chômage et maladie</t>
  </si>
  <si>
    <t>Allegement cotisation Employeur</t>
  </si>
  <si>
    <t xml:space="preserve">TAUX COTISATION </t>
  </si>
  <si>
    <t>TOTAL CHARGE</t>
  </si>
  <si>
    <t>Net H Impot</t>
  </si>
  <si>
    <t>Base de prélèvement mensuel</t>
  </si>
  <si>
    <t>https://www.efl.fr/chiffres-taux/social/salaire/taux_cot.html</t>
  </si>
  <si>
    <t>CSG déductible</t>
  </si>
  <si>
    <t>CSG CRDS non déductible</t>
  </si>
  <si>
    <t>NET A PAYER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</si>
</sst>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70" formatCode="_(* #,##0.00_);_(* \(#,##0.00\);_(* &quot;-&quot;??_);_(@_)"/>
    <numFmt numFmtId="171" formatCode="0.00&quot; jr(s)&quot;"/>
    <numFmt numFmtId="172" formatCode="&quot;Heures supplémentaires &quot;\ 0&quot;%&quot;"/>
    <numFmt numFmtId="173" formatCode="0&quot; hr(s)&quot;"/>
    <numFmt numFmtId="175" formatCode="_(&quot;€&quot;* #,##0.00_);_(&quot;€&quot;* \(#,##0.00\);_(&quot;€&quot;* &quot;-&quot;??_);_(@_)"/>
    <numFmt numFmtId="177" formatCode="00"/>
    <numFmt numFmtId="179" formatCode="[$-40C]General"/>
    <numFmt numFmtId="184" formatCode="mmmm"/>
    <numFmt numFmtId="187" formatCode="_-* #,##0.0000\ _€_-;\-* #,##0.00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363636"/>
      <name val="Calibri"/>
      <family val="2"/>
      <scheme val="minor"/>
    </font>
    <font>
      <b/>
      <sz val="12"/>
      <color rgb="FF363636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0000"/>
      <name val="Arial"/>
      <family val="2"/>
    </font>
    <font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363636"/>
      <name val="Calibri"/>
      <family val="2"/>
      <scheme val="minor"/>
    </font>
    <font>
      <sz val="12"/>
      <name val="Arial"/>
      <family val="2"/>
    </font>
    <font>
      <sz val="12"/>
      <color rgb="FFFFFFFF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4A4A4A"/>
      <name val="Georgia"/>
      <family val="1"/>
    </font>
    <font>
      <sz val="11"/>
      <color rgb="FFFFFFFF"/>
      <name val="Times New Roman"/>
      <family val="1"/>
    </font>
    <font>
      <sz val="11"/>
      <color rgb="FF30303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E7EA8"/>
        <bgColor rgb="FF7F7F7F"/>
      </patternFill>
    </fill>
    <fill>
      <patternFill patternType="solid">
        <fgColor rgb="FFAE7EA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DDDDDD"/>
      </left>
      <right/>
      <top style="medium">
        <color rgb="FFDDDDDD"/>
      </top>
      <bottom style="medium">
        <color rgb="FFDDDDDD"/>
      </bottom>
      <diagonal/>
    </border>
    <border>
      <left/>
      <right style="medium">
        <color rgb="FFDDDDDD"/>
      </right>
      <top style="medium">
        <color rgb="FFDDDDDD"/>
      </top>
      <bottom style="medium">
        <color rgb="FFDDDDDD"/>
      </bottom>
      <diagonal/>
    </border>
    <border>
      <left/>
      <right/>
      <top style="medium">
        <color rgb="FFDDDDDD"/>
      </top>
      <bottom style="medium">
        <color rgb="FFDDDDDD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48494A"/>
      </left>
      <right style="medium">
        <color rgb="FF48494A"/>
      </right>
      <top style="medium">
        <color rgb="FF48494A"/>
      </top>
      <bottom style="medium">
        <color rgb="FF48494A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8" fillId="0" borderId="0" applyNumberFormat="0" applyFill="0" applyBorder="0" applyAlignment="0" applyProtection="0">
      <alignment vertical="top"/>
      <protection locked="0"/>
    </xf>
    <xf numFmtId="170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5" xfId="0" applyBorder="1"/>
    <xf numFmtId="0" fontId="0" fillId="0" borderId="8" xfId="0" applyBorder="1"/>
    <xf numFmtId="0" fontId="0" fillId="0" borderId="0" xfId="0" applyBorder="1"/>
    <xf numFmtId="0" fontId="0" fillId="0" borderId="7" xfId="0" applyBorder="1"/>
    <xf numFmtId="0" fontId="0" fillId="0" borderId="0" xfId="0"/>
    <xf numFmtId="0" fontId="10" fillId="2" borderId="1" xfId="3" applyFont="1" applyFill="1" applyBorder="1"/>
    <xf numFmtId="177" fontId="10" fillId="2" borderId="2" xfId="3" applyNumberFormat="1" applyFont="1" applyFill="1" applyBorder="1" applyAlignment="1">
      <alignment horizontal="center"/>
    </xf>
    <xf numFmtId="177" fontId="10" fillId="2" borderId="3" xfId="3" applyNumberFormat="1" applyFont="1" applyFill="1" applyBorder="1" applyAlignment="1">
      <alignment horizontal="center"/>
    </xf>
    <xf numFmtId="0" fontId="7" fillId="0" borderId="0" xfId="0" applyFont="1" applyBorder="1"/>
    <xf numFmtId="0" fontId="9" fillId="0" borderId="4" xfId="3" applyFont="1" applyBorder="1"/>
    <xf numFmtId="2" fontId="9" fillId="0" borderId="0" xfId="3" applyNumberFormat="1" applyFont="1" applyBorder="1" applyProtection="1">
      <protection locked="0"/>
    </xf>
    <xf numFmtId="2" fontId="9" fillId="0" borderId="5" xfId="3" applyNumberFormat="1" applyFont="1" applyBorder="1" applyProtection="1">
      <protection locked="0"/>
    </xf>
    <xf numFmtId="0" fontId="9" fillId="0" borderId="0" xfId="3" applyFont="1" applyBorder="1" applyProtection="1">
      <protection locked="0"/>
    </xf>
    <xf numFmtId="0" fontId="9" fillId="0" borderId="5" xfId="3" applyFont="1" applyBorder="1" applyProtection="1">
      <protection locked="0"/>
    </xf>
    <xf numFmtId="4" fontId="9" fillId="0" borderId="0" xfId="3" applyNumberFormat="1" applyFont="1" applyBorder="1" applyProtection="1">
      <protection locked="0"/>
    </xf>
    <xf numFmtId="4" fontId="9" fillId="0" borderId="5" xfId="3" applyNumberFormat="1" applyFont="1" applyBorder="1" applyProtection="1">
      <protection locked="0"/>
    </xf>
    <xf numFmtId="0" fontId="9" fillId="0" borderId="6" xfId="3" applyFont="1" applyBorder="1"/>
    <xf numFmtId="170" fontId="9" fillId="0" borderId="7" xfId="7" applyFont="1" applyBorder="1"/>
    <xf numFmtId="170" fontId="9" fillId="0" borderId="8" xfId="7" applyFont="1" applyBorder="1"/>
    <xf numFmtId="0" fontId="9" fillId="0" borderId="0" xfId="3" applyFont="1" applyBorder="1"/>
    <xf numFmtId="0" fontId="9" fillId="0" borderId="1" xfId="3" applyFont="1" applyBorder="1"/>
    <xf numFmtId="0" fontId="9" fillId="0" borderId="4" xfId="3" applyFont="1" applyFill="1" applyBorder="1"/>
    <xf numFmtId="0" fontId="9" fillId="0" borderId="6" xfId="3" applyFont="1" applyFill="1" applyBorder="1"/>
    <xf numFmtId="0" fontId="9" fillId="0" borderId="7" xfId="3" applyFont="1" applyBorder="1"/>
    <xf numFmtId="0" fontId="9" fillId="0" borderId="8" xfId="3" applyFont="1" applyBorder="1"/>
    <xf numFmtId="172" fontId="9" fillId="0" borderId="4" xfId="3" applyNumberFormat="1" applyFont="1" applyBorder="1" applyAlignment="1">
      <alignment horizontal="left"/>
    </xf>
    <xf numFmtId="171" fontId="9" fillId="0" borderId="0" xfId="3" applyNumberFormat="1" applyFont="1" applyBorder="1" applyProtection="1">
      <protection locked="0"/>
    </xf>
    <xf numFmtId="171" fontId="9" fillId="0" borderId="5" xfId="3" applyNumberFormat="1" applyFont="1" applyBorder="1" applyProtection="1">
      <protection locked="0"/>
    </xf>
    <xf numFmtId="171" fontId="9" fillId="0" borderId="0" xfId="3" applyNumberFormat="1" applyFont="1" applyBorder="1"/>
    <xf numFmtId="171" fontId="9" fillId="0" borderId="5" xfId="3" applyNumberFormat="1" applyFont="1" applyBorder="1"/>
    <xf numFmtId="171" fontId="9" fillId="0" borderId="7" xfId="3" applyNumberFormat="1" applyFont="1" applyBorder="1"/>
    <xf numFmtId="171" fontId="9" fillId="0" borderId="8" xfId="3" applyNumberFormat="1" applyFont="1" applyBorder="1"/>
    <xf numFmtId="171" fontId="9" fillId="0" borderId="2" xfId="3" applyNumberFormat="1" applyFont="1" applyBorder="1"/>
    <xf numFmtId="171" fontId="9" fillId="0" borderId="3" xfId="3" applyNumberFormat="1" applyFont="1" applyBorder="1"/>
    <xf numFmtId="14" fontId="12" fillId="0" borderId="2" xfId="3" applyNumberFormat="1" applyFont="1" applyBorder="1"/>
    <xf numFmtId="14" fontId="12" fillId="0" borderId="3" xfId="3" applyNumberFormat="1" applyFont="1" applyBorder="1"/>
    <xf numFmtId="14" fontId="12" fillId="0" borderId="0" xfId="3" applyNumberFormat="1" applyFont="1" applyBorder="1"/>
    <xf numFmtId="14" fontId="12" fillId="0" borderId="5" xfId="3" applyNumberFormat="1" applyFont="1" applyBorder="1"/>
    <xf numFmtId="0" fontId="13" fillId="0" borderId="0" xfId="0" applyFont="1"/>
    <xf numFmtId="4" fontId="5" fillId="0" borderId="0" xfId="3" applyNumberFormat="1" applyFont="1" applyBorder="1" applyProtection="1">
      <protection hidden="1"/>
    </xf>
    <xf numFmtId="4" fontId="5" fillId="0" borderId="0" xfId="3" applyNumberFormat="1" applyFont="1" applyBorder="1" applyProtection="1"/>
    <xf numFmtId="2" fontId="5" fillId="0" borderId="0" xfId="3" applyNumberFormat="1" applyFont="1" applyBorder="1" applyProtection="1"/>
    <xf numFmtId="171" fontId="5" fillId="0" borderId="0" xfId="3" applyNumberFormat="1" applyFont="1" applyBorder="1" applyProtection="1"/>
    <xf numFmtId="173" fontId="5" fillId="0" borderId="0" xfId="3" applyNumberFormat="1" applyFont="1" applyBorder="1" applyProtection="1"/>
    <xf numFmtId="170" fontId="5" fillId="0" borderId="0" xfId="1" applyNumberFormat="1" applyFont="1" applyBorder="1" applyProtection="1"/>
    <xf numFmtId="0" fontId="6" fillId="3" borderId="0" xfId="3" applyFont="1" applyFill="1" applyBorder="1" applyAlignment="1" applyProtection="1">
      <alignment horizontal="right"/>
      <protection hidden="1"/>
    </xf>
    <xf numFmtId="0" fontId="6" fillId="3" borderId="0" xfId="3" applyFont="1" applyFill="1" applyBorder="1" applyProtection="1">
      <protection hidden="1"/>
    </xf>
    <xf numFmtId="4" fontId="6" fillId="3" borderId="0" xfId="3" applyNumberFormat="1" applyFont="1" applyFill="1" applyBorder="1" applyProtection="1">
      <protection hidden="1"/>
    </xf>
    <xf numFmtId="2" fontId="6" fillId="3" borderId="0" xfId="3" applyNumberFormat="1" applyFont="1" applyFill="1" applyBorder="1" applyProtection="1">
      <protection hidden="1"/>
    </xf>
    <xf numFmtId="0" fontId="5" fillId="0" borderId="0" xfId="3" applyFont="1" applyBorder="1" applyProtection="1">
      <protection hidden="1"/>
    </xf>
    <xf numFmtId="2" fontId="5" fillId="0" borderId="0" xfId="4" applyNumberFormat="1" applyFont="1" applyBorder="1" applyProtection="1">
      <protection hidden="1"/>
    </xf>
    <xf numFmtId="2" fontId="5" fillId="0" borderId="0" xfId="3" applyNumberFormat="1" applyFont="1" applyBorder="1" applyProtection="1">
      <protection hidden="1"/>
    </xf>
    <xf numFmtId="0" fontId="5" fillId="0" borderId="0" xfId="3" applyFont="1" applyBorder="1" applyAlignment="1" applyProtection="1">
      <alignment horizontal="right"/>
      <protection hidden="1"/>
    </xf>
    <xf numFmtId="43" fontId="5" fillId="0" borderId="0" xfId="1" applyFont="1" applyFill="1" applyBorder="1" applyProtection="1"/>
    <xf numFmtId="171" fontId="5" fillId="0" borderId="0" xfId="3" applyNumberFormat="1" applyFont="1" applyFill="1" applyBorder="1" applyAlignment="1" applyProtection="1">
      <alignment horizontal="center"/>
    </xf>
    <xf numFmtId="0" fontId="5" fillId="0" borderId="0" xfId="3" applyFont="1" applyFill="1" applyBorder="1" applyProtection="1"/>
    <xf numFmtId="170" fontId="5" fillId="0" borderId="0" xfId="1" applyNumberFormat="1" applyFont="1" applyFill="1" applyBorder="1" applyProtection="1"/>
    <xf numFmtId="4" fontId="5" fillId="0" borderId="5" xfId="3" applyNumberFormat="1" applyFont="1" applyBorder="1" applyProtection="1"/>
    <xf numFmtId="0" fontId="6" fillId="3" borderId="6" xfId="3" applyFont="1" applyFill="1" applyBorder="1" applyAlignment="1" applyProtection="1">
      <alignment horizontal="right"/>
      <protection hidden="1"/>
    </xf>
    <xf numFmtId="0" fontId="6" fillId="3" borderId="7" xfId="3" applyFont="1" applyFill="1" applyBorder="1" applyProtection="1">
      <protection hidden="1"/>
    </xf>
    <xf numFmtId="4" fontId="6" fillId="3" borderId="7" xfId="3" applyNumberFormat="1" applyFont="1" applyFill="1" applyBorder="1" applyProtection="1">
      <protection hidden="1"/>
    </xf>
    <xf numFmtId="2" fontId="6" fillId="3" borderId="7" xfId="3" applyNumberFormat="1" applyFont="1" applyFill="1" applyBorder="1" applyProtection="1">
      <protection hidden="1"/>
    </xf>
    <xf numFmtId="4" fontId="6" fillId="3" borderId="8" xfId="3" applyNumberFormat="1" applyFont="1" applyFill="1" applyBorder="1" applyProtection="1">
      <protection hidden="1"/>
    </xf>
    <xf numFmtId="0" fontId="14" fillId="0" borderId="4" xfId="3" applyFont="1" applyBorder="1" applyAlignment="1" applyProtection="1">
      <alignment horizontal="left"/>
    </xf>
    <xf numFmtId="172" fontId="14" fillId="0" borderId="4" xfId="3" applyNumberFormat="1" applyFont="1" applyBorder="1" applyAlignment="1" applyProtection="1">
      <alignment horizontal="left"/>
    </xf>
    <xf numFmtId="43" fontId="5" fillId="0" borderId="0" xfId="3" applyNumberFormat="1" applyFont="1" applyBorder="1" applyProtection="1">
      <protection hidden="1"/>
    </xf>
    <xf numFmtId="43" fontId="5" fillId="0" borderId="0" xfId="3" applyNumberFormat="1" applyFont="1" applyBorder="1" applyProtection="1"/>
    <xf numFmtId="43" fontId="6" fillId="3" borderId="7" xfId="3" applyNumberFormat="1" applyFont="1" applyFill="1" applyBorder="1" applyProtection="1">
      <protection hidden="1"/>
    </xf>
    <xf numFmtId="184" fontId="10" fillId="2" borderId="2" xfId="3" applyNumberFormat="1" applyFont="1" applyFill="1" applyBorder="1" applyAlignment="1">
      <alignment horizontal="center"/>
    </xf>
    <xf numFmtId="184" fontId="10" fillId="2" borderId="3" xfId="3" applyNumberFormat="1" applyFont="1" applyFill="1" applyBorder="1" applyAlignment="1">
      <alignment horizontal="center"/>
    </xf>
    <xf numFmtId="184" fontId="9" fillId="0" borderId="0" xfId="3" applyNumberFormat="1" applyFont="1" applyBorder="1"/>
    <xf numFmtId="43" fontId="9" fillId="0" borderId="0" xfId="1" applyFont="1" applyBorder="1"/>
    <xf numFmtId="43" fontId="9" fillId="0" borderId="5" xfId="1" applyFont="1" applyBorder="1"/>
    <xf numFmtId="43" fontId="9" fillId="0" borderId="2" xfId="1" applyFont="1" applyBorder="1"/>
    <xf numFmtId="43" fontId="9" fillId="0" borderId="3" xfId="1" applyFont="1" applyBorder="1"/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43" fontId="0" fillId="0" borderId="0" xfId="1" applyFont="1" applyAlignment="1">
      <alignment wrapText="1"/>
    </xf>
    <xf numFmtId="43" fontId="0" fillId="0" borderId="0" xfId="1" applyFont="1"/>
    <xf numFmtId="0" fontId="0" fillId="0" borderId="16" xfId="0" applyBorder="1"/>
    <xf numFmtId="0" fontId="0" fillId="0" borderId="17" xfId="0" applyBorder="1"/>
    <xf numFmtId="43" fontId="0" fillId="0" borderId="17" xfId="1" applyFont="1" applyBorder="1"/>
    <xf numFmtId="43" fontId="0" fillId="0" borderId="17" xfId="0" applyNumberFormat="1" applyBorder="1"/>
    <xf numFmtId="0" fontId="0" fillId="0" borderId="10" xfId="0" applyBorder="1"/>
    <xf numFmtId="43" fontId="0" fillId="0" borderId="0" xfId="1" applyFont="1" applyBorder="1"/>
    <xf numFmtId="43" fontId="0" fillId="6" borderId="0" xfId="1" applyFont="1" applyFill="1" applyBorder="1"/>
    <xf numFmtId="43" fontId="0" fillId="0" borderId="11" xfId="1" applyFont="1" applyBorder="1"/>
    <xf numFmtId="0" fontId="0" fillId="0" borderId="18" xfId="0" applyBorder="1"/>
    <xf numFmtId="0" fontId="0" fillId="0" borderId="19" xfId="0" applyBorder="1"/>
    <xf numFmtId="43" fontId="0" fillId="0" borderId="19" xfId="1" applyFont="1" applyBorder="1"/>
    <xf numFmtId="43" fontId="0" fillId="0" borderId="12" xfId="1" applyFont="1" applyBorder="1"/>
    <xf numFmtId="43" fontId="0" fillId="0" borderId="4" xfId="1" applyFont="1" applyBorder="1"/>
    <xf numFmtId="0" fontId="0" fillId="0" borderId="0" xfId="0" applyFill="1" applyBorder="1"/>
    <xf numFmtId="43" fontId="0" fillId="0" borderId="5" xfId="1" applyFont="1" applyBorder="1"/>
    <xf numFmtId="43" fontId="17" fillId="0" borderId="4" xfId="1" applyFont="1" applyBorder="1"/>
    <xf numFmtId="0" fontId="17" fillId="0" borderId="5" xfId="0" applyFont="1" applyBorder="1"/>
    <xf numFmtId="43" fontId="17" fillId="0" borderId="0" xfId="1" applyFont="1" applyBorder="1"/>
    <xf numFmtId="43" fontId="17" fillId="0" borderId="0" xfId="1" applyFont="1" applyFill="1" applyBorder="1"/>
    <xf numFmtId="43" fontId="0" fillId="0" borderId="4" xfId="1" applyFont="1" applyBorder="1" applyAlignment="1">
      <alignment horizontal="right"/>
    </xf>
    <xf numFmtId="43" fontId="0" fillId="0" borderId="7" xfId="1" applyFont="1" applyBorder="1"/>
    <xf numFmtId="43" fontId="0" fillId="0" borderId="6" xfId="1" applyFont="1" applyBorder="1" applyAlignment="1">
      <alignment horizontal="right"/>
    </xf>
    <xf numFmtId="43" fontId="0" fillId="0" borderId="6" xfId="1" applyFont="1" applyBorder="1"/>
    <xf numFmtId="43" fontId="0" fillId="0" borderId="8" xfId="1" applyFont="1" applyBorder="1"/>
    <xf numFmtId="0" fontId="0" fillId="0" borderId="4" xfId="0" applyFill="1" applyBorder="1"/>
    <xf numFmtId="0" fontId="0" fillId="0" borderId="7" xfId="0" applyFill="1" applyBorder="1"/>
    <xf numFmtId="187" fontId="0" fillId="0" borderId="6" xfId="1" applyNumberFormat="1" applyFont="1" applyBorder="1"/>
    <xf numFmtId="0" fontId="18" fillId="0" borderId="0" xfId="0" applyFont="1" applyAlignment="1">
      <alignment horizontal="left" vertical="center"/>
    </xf>
    <xf numFmtId="43" fontId="0" fillId="0" borderId="0" xfId="1" applyFont="1" applyFill="1" applyBorder="1"/>
    <xf numFmtId="43" fontId="0" fillId="0" borderId="19" xfId="1" applyFont="1" applyFill="1" applyBorder="1"/>
    <xf numFmtId="43" fontId="7" fillId="0" borderId="17" xfId="1" applyFont="1" applyBorder="1" applyAlignment="1">
      <alignment horizontal="left"/>
    </xf>
    <xf numFmtId="0" fontId="20" fillId="7" borderId="24" xfId="0" applyFont="1" applyFill="1" applyBorder="1" applyAlignment="1">
      <alignment vertical="top"/>
    </xf>
    <xf numFmtId="0" fontId="3" fillId="0" borderId="0" xfId="2"/>
    <xf numFmtId="10" fontId="19" fillId="8" borderId="23" xfId="14" applyNumberFormat="1" applyFont="1" applyFill="1" applyBorder="1" applyAlignment="1">
      <alignment horizontal="left" vertical="top"/>
    </xf>
    <xf numFmtId="10" fontId="20" fillId="7" borderId="24" xfId="14" applyNumberFormat="1" applyFont="1" applyFill="1" applyBorder="1" applyAlignment="1">
      <alignment horizontal="right" vertical="top"/>
    </xf>
    <xf numFmtId="10" fontId="0" fillId="0" borderId="0" xfId="14" applyNumberFormat="1" applyFont="1" applyAlignment="1">
      <alignment wrapText="1"/>
    </xf>
    <xf numFmtId="0" fontId="17" fillId="0" borderId="10" xfId="0" applyFont="1" applyBorder="1"/>
    <xf numFmtId="0" fontId="17" fillId="0" borderId="0" xfId="0" applyFont="1" applyBorder="1"/>
    <xf numFmtId="43" fontId="17" fillId="0" borderId="11" xfId="1" applyFont="1" applyBorder="1"/>
    <xf numFmtId="0" fontId="0" fillId="0" borderId="29" xfId="0" applyBorder="1"/>
    <xf numFmtId="43" fontId="0" fillId="0" borderId="30" xfId="1" applyFont="1" applyBorder="1"/>
    <xf numFmtId="0" fontId="0" fillId="0" borderId="10" xfId="0" applyFill="1" applyBorder="1"/>
    <xf numFmtId="0" fontId="0" fillId="0" borderId="29" xfId="0" applyFill="1" applyBorder="1"/>
    <xf numFmtId="10" fontId="0" fillId="0" borderId="0" xfId="14" applyNumberFormat="1" applyFont="1" applyBorder="1"/>
    <xf numFmtId="43" fontId="17" fillId="0" borderId="17" xfId="1" applyFont="1" applyBorder="1" applyAlignment="1">
      <alignment vertical="center"/>
    </xf>
    <xf numFmtId="43" fontId="17" fillId="0" borderId="9" xfId="1" applyFont="1" applyBorder="1" applyAlignment="1">
      <alignment vertical="center"/>
    </xf>
    <xf numFmtId="43" fontId="17" fillId="0" borderId="0" xfId="1" applyFont="1" applyBorder="1" applyAlignment="1">
      <alignment vertical="center"/>
    </xf>
    <xf numFmtId="43" fontId="17" fillId="0" borderId="11" xfId="1" applyFont="1" applyBorder="1" applyAlignment="1">
      <alignment vertical="center"/>
    </xf>
    <xf numFmtId="0" fontId="17" fillId="9" borderId="27" xfId="0" applyFont="1" applyFill="1" applyBorder="1"/>
    <xf numFmtId="0" fontId="17" fillId="9" borderId="2" xfId="0" applyFont="1" applyFill="1" applyBorder="1"/>
    <xf numFmtId="43" fontId="17" fillId="9" borderId="2" xfId="1" applyFont="1" applyFill="1" applyBorder="1"/>
    <xf numFmtId="43" fontId="17" fillId="9" borderId="1" xfId="1" applyFont="1" applyFill="1" applyBorder="1" applyAlignment="1">
      <alignment horizontal="right"/>
    </xf>
    <xf numFmtId="0" fontId="17" fillId="9" borderId="3" xfId="0" applyFont="1" applyFill="1" applyBorder="1"/>
    <xf numFmtId="43" fontId="17" fillId="9" borderId="2" xfId="0" applyNumberFormat="1" applyFont="1" applyFill="1" applyBorder="1"/>
    <xf numFmtId="43" fontId="17" fillId="9" borderId="1" xfId="1" applyFont="1" applyFill="1" applyBorder="1"/>
    <xf numFmtId="43" fontId="17" fillId="9" borderId="28" xfId="1" applyFont="1" applyFill="1" applyBorder="1"/>
    <xf numFmtId="0" fontId="17" fillId="9" borderId="31" xfId="0" applyFont="1" applyFill="1" applyBorder="1"/>
    <xf numFmtId="0" fontId="17" fillId="9" borderId="21" xfId="0" applyFont="1" applyFill="1" applyBorder="1"/>
    <xf numFmtId="43" fontId="17" fillId="9" borderId="21" xfId="1" applyFont="1" applyFill="1" applyBorder="1"/>
    <xf numFmtId="43" fontId="17" fillId="9" borderId="20" xfId="1" applyFont="1" applyFill="1" applyBorder="1" applyAlignment="1">
      <alignment horizontal="right"/>
    </xf>
    <xf numFmtId="0" fontId="17" fillId="9" borderId="22" xfId="0" applyFont="1" applyFill="1" applyBorder="1"/>
    <xf numFmtId="43" fontId="17" fillId="9" borderId="20" xfId="1" applyFont="1" applyFill="1" applyBorder="1"/>
    <xf numFmtId="43" fontId="17" fillId="9" borderId="32" xfId="1" applyFont="1" applyFill="1" applyBorder="1"/>
    <xf numFmtId="43" fontId="17" fillId="9" borderId="3" xfId="0" applyNumberFormat="1" applyFont="1" applyFill="1" applyBorder="1"/>
    <xf numFmtId="43" fontId="17" fillId="9" borderId="3" xfId="1" applyFont="1" applyFill="1" applyBorder="1"/>
    <xf numFmtId="0" fontId="17" fillId="9" borderId="10" xfId="0" applyFont="1" applyFill="1" applyBorder="1"/>
    <xf numFmtId="0" fontId="0" fillId="9" borderId="0" xfId="0" applyFill="1" applyBorder="1"/>
    <xf numFmtId="43" fontId="0" fillId="9" borderId="0" xfId="1" applyFont="1" applyFill="1" applyBorder="1"/>
    <xf numFmtId="43" fontId="0" fillId="9" borderId="11" xfId="1" applyFont="1" applyFill="1" applyBorder="1"/>
    <xf numFmtId="0" fontId="17" fillId="9" borderId="18" xfId="0" applyFont="1" applyFill="1" applyBorder="1"/>
    <xf numFmtId="0" fontId="0" fillId="9" borderId="19" xfId="0" applyFill="1" applyBorder="1"/>
    <xf numFmtId="43" fontId="0" fillId="9" borderId="19" xfId="1" applyFont="1" applyFill="1" applyBorder="1"/>
    <xf numFmtId="10" fontId="0" fillId="9" borderId="19" xfId="14" applyNumberFormat="1" applyFont="1" applyFill="1" applyBorder="1"/>
    <xf numFmtId="43" fontId="0" fillId="9" borderId="12" xfId="1" applyFont="1" applyFill="1" applyBorder="1"/>
    <xf numFmtId="43" fontId="17" fillId="9" borderId="19" xfId="1" applyFont="1" applyFill="1" applyBorder="1"/>
    <xf numFmtId="43" fontId="17" fillId="9" borderId="0" xfId="1" applyFont="1" applyFill="1" applyBorder="1"/>
    <xf numFmtId="0" fontId="5" fillId="0" borderId="5" xfId="3" applyNumberFormat="1" applyFont="1" applyBorder="1" applyProtection="1"/>
    <xf numFmtId="179" fontId="16" fillId="4" borderId="0" xfId="0" applyNumberFormat="1" applyFont="1" applyFill="1" applyBorder="1" applyAlignment="1" applyProtection="1">
      <alignment horizontal="center" vertical="center"/>
      <protection hidden="1"/>
    </xf>
    <xf numFmtId="0" fontId="15" fillId="5" borderId="0" xfId="0" applyFont="1" applyFill="1" applyBorder="1" applyAlignment="1" applyProtection="1">
      <alignment vertical="center"/>
      <protection hidden="1"/>
    </xf>
    <xf numFmtId="0" fontId="0" fillId="0" borderId="2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43" fontId="0" fillId="0" borderId="25" xfId="1" applyFont="1" applyBorder="1" applyAlignment="1">
      <alignment horizontal="center"/>
    </xf>
    <xf numFmtId="43" fontId="0" fillId="0" borderId="9" xfId="1" applyFont="1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43" fontId="17" fillId="0" borderId="4" xfId="1" applyFont="1" applyBorder="1" applyAlignment="1">
      <alignment horizontal="center" vertical="center"/>
    </xf>
    <xf numFmtId="43" fontId="17" fillId="0" borderId="5" xfId="1" applyFont="1" applyBorder="1" applyAlignment="1">
      <alignment horizontal="center" vertical="center"/>
    </xf>
    <xf numFmtId="43" fontId="17" fillId="0" borderId="6" xfId="1" applyFont="1" applyBorder="1" applyAlignment="1">
      <alignment horizontal="center" vertical="center"/>
    </xf>
    <xf numFmtId="43" fontId="17" fillId="0" borderId="8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/>
    </xf>
    <xf numFmtId="43" fontId="0" fillId="0" borderId="3" xfId="1" applyFont="1" applyBorder="1" applyAlignment="1">
      <alignment horizontal="center"/>
    </xf>
  </cellXfs>
  <cellStyles count="15">
    <cellStyle name="Lien hypertexte" xfId="2" builtinId="8"/>
    <cellStyle name="Lien hypertexte 2" xfId="6" xr:uid="{00000000-0005-0000-0000-000001000000}"/>
    <cellStyle name="Milliers" xfId="1" builtinId="3"/>
    <cellStyle name="Milliers 2" xfId="9" xr:uid="{00000000-0005-0000-0000-000003000000}"/>
    <cellStyle name="Milliers 3" xfId="12" xr:uid="{00000000-0005-0000-0000-000004000000}"/>
    <cellStyle name="Milliers 4" xfId="7" xr:uid="{00000000-0005-0000-0000-000005000000}"/>
    <cellStyle name="Monétaire 2" xfId="10" xr:uid="{00000000-0005-0000-0000-000006000000}"/>
    <cellStyle name="Monétaire 3" xfId="13" xr:uid="{00000000-0005-0000-0000-000007000000}"/>
    <cellStyle name="Monétaire 4" xfId="8" xr:uid="{00000000-0005-0000-0000-000008000000}"/>
    <cellStyle name="Normal" xfId="0" builtinId="0"/>
    <cellStyle name="Normal 2" xfId="3" xr:uid="{00000000-0005-0000-0000-00000A000000}"/>
    <cellStyle name="Normal 3" xfId="5" xr:uid="{00000000-0005-0000-0000-00000B000000}"/>
    <cellStyle name="Normal 3 2" xfId="11" xr:uid="{00000000-0005-0000-0000-00000C000000}"/>
    <cellStyle name="Pourcentage" xfId="14" builtinId="5"/>
    <cellStyle name="Pourcentage 2" xfId="4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fl.fr/chiffres-taux/social/salaire/taux_cot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8"/>
  <sheetViews>
    <sheetView showGridLines="0" workbookViewId="0">
      <pane ySplit="7" topLeftCell="A8" activePane="bottomLeft" state="frozenSplit"/>
      <selection pane="bottomLeft" activeCell="D14" sqref="D14"/>
    </sheetView>
  </sheetViews>
  <sheetFormatPr baseColWidth="10" defaultRowHeight="13.8" x14ac:dyDescent="0.3"/>
  <cols>
    <col min="1" max="1" width="24.21875" style="11" bestFit="1" customWidth="1"/>
    <col min="2" max="16384" width="11.5546875" style="11"/>
  </cols>
  <sheetData>
    <row r="1" spans="1:13" x14ac:dyDescent="0.3">
      <c r="A1" s="8" t="e">
        <f>+#REF!&amp;" "&amp;#REF!</f>
        <v>#REF!</v>
      </c>
      <c r="B1" s="9">
        <v>1</v>
      </c>
      <c r="C1" s="9">
        <v>2</v>
      </c>
      <c r="D1" s="9">
        <v>3</v>
      </c>
      <c r="E1" s="9">
        <v>4</v>
      </c>
      <c r="F1" s="9">
        <v>5</v>
      </c>
      <c r="G1" s="9">
        <v>6</v>
      </c>
      <c r="H1" s="9">
        <v>7</v>
      </c>
      <c r="I1" s="9">
        <v>8</v>
      </c>
      <c r="J1" s="9">
        <v>9</v>
      </c>
      <c r="K1" s="9">
        <v>10</v>
      </c>
      <c r="L1" s="9">
        <v>11</v>
      </c>
      <c r="M1" s="10">
        <v>12</v>
      </c>
    </row>
    <row r="2" spans="1:13" x14ac:dyDescent="0.3">
      <c r="A2" s="12" t="s">
        <v>15</v>
      </c>
      <c r="B2" s="13" t="e">
        <f>+#REF!</f>
        <v>#REF!</v>
      </c>
      <c r="C2" s="13" t="e">
        <f>+#REF!</f>
        <v>#REF!</v>
      </c>
      <c r="D2" s="13">
        <v>151.66999999999999</v>
      </c>
      <c r="E2" s="13" t="e">
        <f>+#REF!</f>
        <v>#REF!</v>
      </c>
      <c r="F2" s="13" t="e">
        <f>+#REF!</f>
        <v>#REF!</v>
      </c>
      <c r="G2" s="13" t="e">
        <f>+#REF!</f>
        <v>#REF!</v>
      </c>
      <c r="H2" s="13" t="e">
        <f>+#REF!</f>
        <v>#REF!</v>
      </c>
      <c r="I2" s="13" t="e">
        <f>+#REF!</f>
        <v>#REF!</v>
      </c>
      <c r="J2" s="13" t="e">
        <f>+#REF!</f>
        <v>#REF!</v>
      </c>
      <c r="K2" s="13" t="e">
        <f>+#REF!</f>
        <v>#REF!</v>
      </c>
      <c r="L2" s="13" t="e">
        <f>+#REF!</f>
        <v>#REF!</v>
      </c>
      <c r="M2" s="14" t="e">
        <f>+#REF!</f>
        <v>#REF!</v>
      </c>
    </row>
    <row r="3" spans="1:13" x14ac:dyDescent="0.3">
      <c r="A3" s="12" t="s">
        <v>16</v>
      </c>
      <c r="B3" s="15" t="e">
        <f>+#REF!</f>
        <v>#REF!</v>
      </c>
      <c r="C3" s="15" t="e">
        <f>+#REF!</f>
        <v>#REF!</v>
      </c>
      <c r="D3" s="15">
        <v>35</v>
      </c>
      <c r="E3" s="15" t="e">
        <f>+#REF!</f>
        <v>#REF!</v>
      </c>
      <c r="F3" s="15" t="e">
        <f>+#REF!</f>
        <v>#REF!</v>
      </c>
      <c r="G3" s="15" t="e">
        <f>+#REF!</f>
        <v>#REF!</v>
      </c>
      <c r="H3" s="15" t="e">
        <f>+#REF!</f>
        <v>#REF!</v>
      </c>
      <c r="I3" s="15" t="e">
        <f>+#REF!</f>
        <v>#REF!</v>
      </c>
      <c r="J3" s="15" t="e">
        <f>+#REF!</f>
        <v>#REF!</v>
      </c>
      <c r="K3" s="15" t="e">
        <f>+#REF!</f>
        <v>#REF!</v>
      </c>
      <c r="L3" s="15" t="e">
        <f>+#REF!</f>
        <v>#REF!</v>
      </c>
      <c r="M3" s="16" t="e">
        <f>+#REF!</f>
        <v>#REF!</v>
      </c>
    </row>
    <row r="4" spans="1:13" x14ac:dyDescent="0.3">
      <c r="A4" s="12" t="s">
        <v>17</v>
      </c>
      <c r="B4" s="17" t="e">
        <f>+#REF!</f>
        <v>#REF!</v>
      </c>
      <c r="C4" s="17" t="e">
        <f>+#REF!</f>
        <v>#REF!</v>
      </c>
      <c r="D4" s="17">
        <v>19</v>
      </c>
      <c r="E4" s="17" t="e">
        <f>+#REF!</f>
        <v>#REF!</v>
      </c>
      <c r="F4" s="17" t="e">
        <f>+#REF!</f>
        <v>#REF!</v>
      </c>
      <c r="G4" s="17" t="e">
        <f>+#REF!</f>
        <v>#REF!</v>
      </c>
      <c r="H4" s="17" t="e">
        <f>+#REF!</f>
        <v>#REF!</v>
      </c>
      <c r="I4" s="17" t="e">
        <f>+#REF!</f>
        <v>#REF!</v>
      </c>
      <c r="J4" s="17" t="e">
        <f>+#REF!</f>
        <v>#REF!</v>
      </c>
      <c r="K4" s="17" t="e">
        <f>+#REF!</f>
        <v>#REF!</v>
      </c>
      <c r="L4" s="17" t="e">
        <f>+#REF!</f>
        <v>#REF!</v>
      </c>
      <c r="M4" s="18" t="e">
        <f>+#REF!</f>
        <v>#REF!</v>
      </c>
    </row>
    <row r="5" spans="1:13" x14ac:dyDescent="0.3">
      <c r="A5" s="19" t="s">
        <v>18</v>
      </c>
      <c r="B5" s="20" t="e">
        <f>+#REF!</f>
        <v>#REF!</v>
      </c>
      <c r="C5" s="20" t="e">
        <f>+#REF!</f>
        <v>#REF!</v>
      </c>
      <c r="D5" s="20">
        <f>+D4*D2</f>
        <v>2881.7299999999996</v>
      </c>
      <c r="E5" s="20" t="e">
        <f>+#REF!</f>
        <v>#REF!</v>
      </c>
      <c r="F5" s="20" t="e">
        <f>+#REF!</f>
        <v>#REF!</v>
      </c>
      <c r="G5" s="20" t="e">
        <f>+#REF!</f>
        <v>#REF!</v>
      </c>
      <c r="H5" s="20" t="e">
        <f>+#REF!</f>
        <v>#REF!</v>
      </c>
      <c r="I5" s="20" t="e">
        <f>+#REF!</f>
        <v>#REF!</v>
      </c>
      <c r="J5" s="20" t="e">
        <f>+#REF!</f>
        <v>#REF!</v>
      </c>
      <c r="K5" s="20" t="e">
        <f>+#REF!</f>
        <v>#REF!</v>
      </c>
      <c r="L5" s="20" t="e">
        <f>+#REF!</f>
        <v>#REF!</v>
      </c>
      <c r="M5" s="21" t="e">
        <f>+#REF!</f>
        <v>#REF!</v>
      </c>
    </row>
    <row r="6" spans="1:13" x14ac:dyDescent="0.3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3" x14ac:dyDescent="0.3">
      <c r="A7" s="8" t="s">
        <v>10</v>
      </c>
      <c r="B7" s="71">
        <v>43861</v>
      </c>
      <c r="C7" s="71">
        <f t="shared" ref="C7:M7" si="0">+EOMONTH(B7,1)</f>
        <v>43890</v>
      </c>
      <c r="D7" s="71">
        <f t="shared" si="0"/>
        <v>43921</v>
      </c>
      <c r="E7" s="71">
        <f t="shared" si="0"/>
        <v>43951</v>
      </c>
      <c r="F7" s="71">
        <f t="shared" si="0"/>
        <v>43982</v>
      </c>
      <c r="G7" s="71">
        <f t="shared" si="0"/>
        <v>44012</v>
      </c>
      <c r="H7" s="71">
        <f t="shared" si="0"/>
        <v>44043</v>
      </c>
      <c r="I7" s="71">
        <f t="shared" si="0"/>
        <v>44074</v>
      </c>
      <c r="J7" s="71">
        <f t="shared" si="0"/>
        <v>44104</v>
      </c>
      <c r="K7" s="71">
        <f t="shared" si="0"/>
        <v>44135</v>
      </c>
      <c r="L7" s="71">
        <f t="shared" si="0"/>
        <v>44165</v>
      </c>
      <c r="M7" s="72">
        <f t="shared" si="0"/>
        <v>44196</v>
      </c>
    </row>
    <row r="8" spans="1:13" x14ac:dyDescent="0.3">
      <c r="A8" s="23" t="s">
        <v>19</v>
      </c>
      <c r="B8" s="37">
        <v>43831</v>
      </c>
      <c r="C8" s="37">
        <v>43862</v>
      </c>
      <c r="D8" s="37">
        <v>43891</v>
      </c>
      <c r="E8" s="37">
        <v>43922</v>
      </c>
      <c r="F8" s="37">
        <v>43952</v>
      </c>
      <c r="G8" s="37">
        <v>43983</v>
      </c>
      <c r="H8" s="37">
        <v>44013</v>
      </c>
      <c r="I8" s="37">
        <v>44044</v>
      </c>
      <c r="J8" s="37">
        <v>44075</v>
      </c>
      <c r="K8" s="37">
        <v>44105</v>
      </c>
      <c r="L8" s="37">
        <v>44136</v>
      </c>
      <c r="M8" s="38">
        <v>44166</v>
      </c>
    </row>
    <row r="9" spans="1:13" x14ac:dyDescent="0.3">
      <c r="A9" s="24" t="s">
        <v>20</v>
      </c>
      <c r="B9" s="39">
        <v>43861</v>
      </c>
      <c r="C9" s="39">
        <v>43890</v>
      </c>
      <c r="D9" s="39">
        <v>43921</v>
      </c>
      <c r="E9" s="39">
        <v>43951</v>
      </c>
      <c r="F9" s="39">
        <v>43982</v>
      </c>
      <c r="G9" s="39">
        <v>44012</v>
      </c>
      <c r="H9" s="39">
        <v>44043</v>
      </c>
      <c r="I9" s="39">
        <v>44074</v>
      </c>
      <c r="J9" s="39">
        <v>44104</v>
      </c>
      <c r="K9" s="39">
        <v>44135</v>
      </c>
      <c r="L9" s="39">
        <v>44165</v>
      </c>
      <c r="M9" s="40">
        <v>44196</v>
      </c>
    </row>
    <row r="10" spans="1:13" x14ac:dyDescent="0.3">
      <c r="A10" s="25" t="s">
        <v>21</v>
      </c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7"/>
    </row>
    <row r="11" spans="1:13" x14ac:dyDescent="0.3">
      <c r="A11" s="22"/>
      <c r="B11" s="73"/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</row>
    <row r="12" spans="1:13" x14ac:dyDescent="0.3">
      <c r="A12" s="23" t="s">
        <v>22</v>
      </c>
      <c r="B12" s="76" t="e">
        <f t="shared" ref="B12:M12" si="1">+B5</f>
        <v>#REF!</v>
      </c>
      <c r="C12" s="76" t="e">
        <f t="shared" si="1"/>
        <v>#REF!</v>
      </c>
      <c r="D12" s="76">
        <f t="shared" si="1"/>
        <v>2881.7299999999996</v>
      </c>
      <c r="E12" s="76" t="e">
        <f t="shared" si="1"/>
        <v>#REF!</v>
      </c>
      <c r="F12" s="76" t="e">
        <f t="shared" si="1"/>
        <v>#REF!</v>
      </c>
      <c r="G12" s="76" t="e">
        <f t="shared" si="1"/>
        <v>#REF!</v>
      </c>
      <c r="H12" s="76" t="e">
        <f t="shared" si="1"/>
        <v>#REF!</v>
      </c>
      <c r="I12" s="76" t="e">
        <f t="shared" si="1"/>
        <v>#REF!</v>
      </c>
      <c r="J12" s="76" t="e">
        <f t="shared" si="1"/>
        <v>#REF!</v>
      </c>
      <c r="K12" s="76" t="e">
        <f t="shared" si="1"/>
        <v>#REF!</v>
      </c>
      <c r="L12" s="76" t="e">
        <f t="shared" si="1"/>
        <v>#REF!</v>
      </c>
      <c r="M12" s="77" t="e">
        <f t="shared" si="1"/>
        <v>#REF!</v>
      </c>
    </row>
    <row r="13" spans="1:13" x14ac:dyDescent="0.3">
      <c r="A13" s="28" t="s">
        <v>31</v>
      </c>
      <c r="B13" s="74"/>
      <c r="C13" s="74"/>
      <c r="D13" s="74">
        <v>10</v>
      </c>
      <c r="E13" s="74"/>
      <c r="F13" s="74"/>
      <c r="G13" s="74"/>
      <c r="H13" s="74"/>
      <c r="I13" s="74"/>
      <c r="J13" s="74"/>
      <c r="K13" s="74"/>
      <c r="L13" s="74"/>
      <c r="M13" s="75"/>
    </row>
    <row r="14" spans="1:13" x14ac:dyDescent="0.3">
      <c r="A14" s="11" t="s">
        <v>23</v>
      </c>
      <c r="B14" s="74"/>
      <c r="C14" s="74"/>
      <c r="D14" s="74">
        <v>200</v>
      </c>
      <c r="E14" s="74"/>
      <c r="F14" s="74"/>
      <c r="G14" s="74"/>
      <c r="H14" s="74"/>
      <c r="I14" s="74"/>
      <c r="J14" s="74"/>
      <c r="K14" s="74"/>
      <c r="L14" s="74"/>
      <c r="M14" s="75"/>
    </row>
    <row r="15" spans="1:13" x14ac:dyDescent="0.3">
      <c r="A15" s="12" t="s">
        <v>25</v>
      </c>
      <c r="B15" s="29"/>
      <c r="C15" s="29"/>
      <c r="D15" s="29">
        <v>2</v>
      </c>
      <c r="E15" s="29"/>
      <c r="F15" s="29"/>
      <c r="G15" s="29"/>
      <c r="H15" s="29"/>
      <c r="I15" s="29"/>
      <c r="J15" s="29"/>
      <c r="K15" s="29"/>
      <c r="L15" s="29"/>
      <c r="M15" s="30"/>
    </row>
    <row r="16" spans="1:13" x14ac:dyDescent="0.3">
      <c r="A16" s="12" t="s">
        <v>24</v>
      </c>
      <c r="B16" s="31"/>
      <c r="C16" s="31"/>
      <c r="D16" s="31">
        <v>3</v>
      </c>
      <c r="E16" s="31"/>
      <c r="F16" s="31"/>
      <c r="G16" s="31"/>
      <c r="H16" s="31"/>
      <c r="I16" s="31"/>
      <c r="J16" s="31"/>
      <c r="K16" s="31"/>
      <c r="L16" s="31"/>
      <c r="M16" s="32"/>
    </row>
    <row r="17" spans="1:13" x14ac:dyDescent="0.3">
      <c r="A17" s="19" t="s">
        <v>26</v>
      </c>
      <c r="B17" s="33">
        <v>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4"/>
    </row>
    <row r="18" spans="1:13" x14ac:dyDescent="0.3">
      <c r="A18" s="23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6"/>
    </row>
  </sheetData>
  <pageMargins left="0.7" right="0.7" top="0.75" bottom="0.75" header="0.3" footer="0.3"/>
  <ignoredErrors>
    <ignoredError sqref="B5:C5 B2:C2 E2:M2 B3:C3 E3:M3 B4:C4 E4:M4 E5:M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12"/>
  <sheetViews>
    <sheetView showGridLines="0" tabSelected="1" zoomScaleNormal="100" workbookViewId="0">
      <selection activeCell="A4" sqref="A4"/>
    </sheetView>
  </sheetViews>
  <sheetFormatPr baseColWidth="10" defaultRowHeight="15.6" x14ac:dyDescent="0.3"/>
  <cols>
    <col min="1" max="1" width="65.109375" style="41" customWidth="1"/>
    <col min="2" max="2" width="12.88671875" style="41" bestFit="1" customWidth="1"/>
    <col min="3" max="3" width="13.21875" style="41" bestFit="1" customWidth="1"/>
    <col min="4" max="4" width="13.21875" style="41" customWidth="1"/>
    <col min="5" max="5" width="28.44140625" style="41" bestFit="1" customWidth="1"/>
    <col min="6" max="6" width="15.44140625" style="41" bestFit="1" customWidth="1"/>
  </cols>
  <sheetData>
    <row r="1" spans="1:6" ht="14.4" customHeight="1" x14ac:dyDescent="0.3">
      <c r="A1" s="159" t="s">
        <v>28</v>
      </c>
      <c r="B1" s="159"/>
      <c r="C1" s="159"/>
      <c r="D1" s="159" t="s">
        <v>2</v>
      </c>
      <c r="E1" s="159" t="s">
        <v>27</v>
      </c>
      <c r="F1" s="159" t="s">
        <v>29</v>
      </c>
    </row>
    <row r="2" spans="1:6" ht="14.4" x14ac:dyDescent="0.3">
      <c r="A2" s="159"/>
      <c r="B2" s="159"/>
      <c r="C2" s="159"/>
      <c r="D2" s="160"/>
      <c r="E2" s="160"/>
      <c r="F2" s="160"/>
    </row>
    <row r="3" spans="1:6" x14ac:dyDescent="0.3">
      <c r="A3" s="66" t="s">
        <v>22</v>
      </c>
      <c r="B3" s="43" t="s">
        <v>3</v>
      </c>
      <c r="C3" s="43"/>
      <c r="D3" s="44">
        <f>+Base!D2</f>
        <v>151.66999999999999</v>
      </c>
      <c r="E3" s="68">
        <f>+Base!D4</f>
        <v>19</v>
      </c>
      <c r="F3" s="60" t="e">
        <f ca="1">+[1]!recherche_x(#REF!,Base!B7:M7,Base!B12:M12)</f>
        <v>#VALUE!</v>
      </c>
    </row>
    <row r="4" spans="1:6" s="7" customFormat="1" x14ac:dyDescent="0.3">
      <c r="A4" s="66" t="str">
        <f>+IF(Base!D13&gt;0,Base!A13,IF(Base!D14&gt;0,Base!A14,IF(Base!D15&gt;0,Base!A15,IF(Base!D16&gt;0,Base!A16,""))))</f>
        <v>Heures supplémentaires 25%</v>
      </c>
      <c r="B4" s="43"/>
      <c r="C4" s="43"/>
      <c r="D4" s="44">
        <f ca="1">+IFERROR([1]!recherche_x(A4,Base!A12:A17,Base!D12:D17),0)</f>
        <v>10</v>
      </c>
      <c r="E4" s="68">
        <f>+IF(A4=Base!A13,E3*1.25,IF(A4=Base!A14,1,IF(A4=Base!A15,E3*7,IF(A4=Base!A16,E3*7,0))))</f>
        <v>23.75</v>
      </c>
      <c r="F4" s="60">
        <f t="shared" ref="F4:F6" ca="1" si="0">+D4*E4</f>
        <v>237.5</v>
      </c>
    </row>
    <row r="5" spans="1:6" s="7" customFormat="1" x14ac:dyDescent="0.3">
      <c r="A5" s="66" t="str">
        <f ca="1">+[1]!recherche_x(D4,Base!D13:D16,Base!A13:A16)</f>
        <v>Heures supplémentaires 25%</v>
      </c>
      <c r="B5" s="43"/>
      <c r="C5" s="43"/>
      <c r="D5" s="44">
        <f ca="1">+IFERROR([1]!recherche_x(A5,Base!A13:A18,Base!D13:D18),0)</f>
        <v>10</v>
      </c>
      <c r="E5" s="68"/>
      <c r="F5" s="60">
        <f t="shared" ca="1" si="0"/>
        <v>0</v>
      </c>
    </row>
    <row r="6" spans="1:6" x14ac:dyDescent="0.3">
      <c r="A6" s="67" t="s">
        <v>3</v>
      </c>
      <c r="B6" s="46" t="s">
        <v>3</v>
      </c>
      <c r="C6" s="43"/>
      <c r="D6" s="47">
        <f ca="1">+IFERROR([1]!recherche_x(A6,Base!A14:A18,Base!D14:D18),0)</f>
        <v>0</v>
      </c>
      <c r="E6" s="69" t="s">
        <v>3</v>
      </c>
      <c r="F6" s="158" t="e">
        <f t="shared" ca="1" si="0"/>
        <v>#VALUE!</v>
      </c>
    </row>
    <row r="7" spans="1:6" x14ac:dyDescent="0.3">
      <c r="A7" s="66" t="s">
        <v>3</v>
      </c>
      <c r="B7" s="45" t="s">
        <v>3</v>
      </c>
      <c r="C7" s="43"/>
      <c r="D7" s="44" t="s">
        <v>1</v>
      </c>
      <c r="E7" s="69"/>
      <c r="F7" s="60" t="s">
        <v>3</v>
      </c>
    </row>
    <row r="8" spans="1:6" x14ac:dyDescent="0.3">
      <c r="A8" s="61" t="s">
        <v>4</v>
      </c>
      <c r="B8" s="62"/>
      <c r="C8" s="63"/>
      <c r="D8" s="64"/>
      <c r="E8" s="70"/>
      <c r="F8" s="65" t="e">
        <f ca="1">+SUM(F3:F7)</f>
        <v>#VALUE!</v>
      </c>
    </row>
    <row r="9" spans="1:6" s="7" customFormat="1" x14ac:dyDescent="0.3">
      <c r="A9" s="48"/>
      <c r="B9" s="49"/>
      <c r="C9" s="50"/>
      <c r="D9" s="51"/>
      <c r="E9" s="50"/>
      <c r="F9" s="50"/>
    </row>
    <row r="10" spans="1:6" x14ac:dyDescent="0.3">
      <c r="A10" s="55"/>
      <c r="B10" s="56"/>
      <c r="C10" s="57"/>
      <c r="D10" s="53"/>
      <c r="E10" s="58"/>
      <c r="F10" s="59"/>
    </row>
    <row r="11" spans="1:6" x14ac:dyDescent="0.3">
      <c r="A11" s="52"/>
      <c r="B11" s="58"/>
      <c r="C11" s="57"/>
      <c r="D11" s="53"/>
      <c r="E11" s="58"/>
      <c r="F11" s="59"/>
    </row>
    <row r="12" spans="1:6" x14ac:dyDescent="0.3">
      <c r="A12" s="52"/>
      <c r="B12" s="42"/>
      <c r="C12" s="42"/>
      <c r="D12" s="53"/>
      <c r="E12" s="54"/>
      <c r="F12" s="54"/>
    </row>
  </sheetData>
  <mergeCells count="5">
    <mergeCell ref="A1:B2"/>
    <mergeCell ref="C1:C2"/>
    <mergeCell ref="D1:D2"/>
    <mergeCell ref="E1:E2"/>
    <mergeCell ref="F1:F2"/>
  </mergeCells>
  <pageMargins left="0" right="0" top="0" bottom="0" header="0" footer="0"/>
  <pageSetup paperSize="9" scale="65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48"/>
  <sheetViews>
    <sheetView topLeftCell="A13" workbookViewId="0">
      <selection activeCell="L13" sqref="L13"/>
    </sheetView>
  </sheetViews>
  <sheetFormatPr baseColWidth="10" defaultRowHeight="14.4" x14ac:dyDescent="0.3"/>
  <cols>
    <col min="1" max="1" width="32.88671875" style="7" bestFit="1" customWidth="1"/>
    <col min="2" max="2" width="13.44140625" style="7" bestFit="1" customWidth="1"/>
    <col min="3" max="3" width="10.77734375" style="81" bestFit="1" customWidth="1"/>
    <col min="4" max="4" width="11.6640625" style="81" bestFit="1" customWidth="1"/>
    <col min="5" max="5" width="7.44140625" style="7" bestFit="1" customWidth="1"/>
    <col min="6" max="6" width="10.6640625" style="81" bestFit="1" customWidth="1"/>
    <col min="7" max="7" width="10.6640625" style="7" bestFit="1" customWidth="1"/>
    <col min="8" max="8" width="8.21875" style="81" bestFit="1" customWidth="1"/>
    <col min="9" max="9" width="7.21875" style="81" bestFit="1" customWidth="1"/>
    <col min="10" max="10" width="4.109375" style="7" customWidth="1"/>
    <col min="11" max="11" width="2.6640625" style="7" customWidth="1"/>
    <col min="12" max="13" width="11.5546875" style="1"/>
    <col min="14" max="14" width="2.5546875" style="80" customWidth="1"/>
    <col min="15" max="15" width="47.77734375" style="1" bestFit="1" customWidth="1"/>
    <col min="16" max="16" width="7.21875" style="117" bestFit="1" customWidth="1"/>
    <col min="17" max="16384" width="11.5546875" style="1"/>
  </cols>
  <sheetData>
    <row r="1" spans="1:16" ht="15" thickBot="1" x14ac:dyDescent="0.35">
      <c r="A1" s="166" t="s">
        <v>76</v>
      </c>
      <c r="B1" s="167"/>
      <c r="C1" s="167"/>
      <c r="D1" s="167"/>
      <c r="E1" s="167"/>
      <c r="F1" s="167"/>
      <c r="G1" s="167"/>
      <c r="H1" s="167"/>
      <c r="I1" s="167"/>
      <c r="L1" s="78" t="s">
        <v>7</v>
      </c>
      <c r="M1" s="79"/>
      <c r="O1" s="78" t="s">
        <v>79</v>
      </c>
      <c r="P1" s="115" t="s">
        <v>27</v>
      </c>
    </row>
    <row r="2" spans="1:16" ht="15" thickBot="1" x14ac:dyDescent="0.35">
      <c r="A2" s="114" t="s">
        <v>80</v>
      </c>
      <c r="M2" s="2"/>
      <c r="O2" s="113">
        <v>1418</v>
      </c>
      <c r="P2" s="116">
        <v>0</v>
      </c>
    </row>
    <row r="3" spans="1:16" ht="15" thickBot="1" x14ac:dyDescent="0.35">
      <c r="A3" s="82"/>
      <c r="B3" s="83"/>
      <c r="C3" s="84"/>
      <c r="D3" s="84"/>
      <c r="E3" s="83"/>
      <c r="F3" s="112" t="s">
        <v>78</v>
      </c>
      <c r="G3" s="85">
        <f>+D4-G4</f>
        <v>1244.616</v>
      </c>
      <c r="H3" s="126"/>
      <c r="I3" s="127"/>
      <c r="L3" s="1" t="s">
        <v>8</v>
      </c>
      <c r="M3" s="2">
        <v>41136</v>
      </c>
      <c r="O3" s="113">
        <v>1472</v>
      </c>
      <c r="P3" s="116">
        <v>5.0000000000000001E-3</v>
      </c>
    </row>
    <row r="4" spans="1:16" ht="15" thickBot="1" x14ac:dyDescent="0.35">
      <c r="A4" s="86" t="s">
        <v>32</v>
      </c>
      <c r="B4" s="5"/>
      <c r="C4" s="87"/>
      <c r="D4" s="88">
        <v>1600</v>
      </c>
      <c r="E4" s="5" t="s">
        <v>33</v>
      </c>
      <c r="F4" s="87">
        <f>+F17+F23+F24+F29+F32+F35+F41</f>
        <v>95.845639333333224</v>
      </c>
      <c r="G4" s="87">
        <f>+G17+G23+G24+G29+G32+G14+G15+G35</f>
        <v>355.38400000000001</v>
      </c>
      <c r="H4" s="128"/>
      <c r="I4" s="129"/>
      <c r="L4" s="1" t="s">
        <v>9</v>
      </c>
      <c r="M4" s="2">
        <f>+M3/4</f>
        <v>10284</v>
      </c>
      <c r="O4" s="113">
        <v>1567</v>
      </c>
      <c r="P4" s="116">
        <v>1.2999999999999999E-2</v>
      </c>
    </row>
    <row r="5" spans="1:16" ht="15" thickBot="1" x14ac:dyDescent="0.35">
      <c r="A5" s="86" t="s">
        <v>35</v>
      </c>
      <c r="B5" s="5"/>
      <c r="C5" s="87">
        <v>151.66999999999999</v>
      </c>
      <c r="D5" s="88">
        <v>10.15</v>
      </c>
      <c r="E5" s="5"/>
      <c r="F5" s="172" t="s">
        <v>77</v>
      </c>
      <c r="G5" s="173"/>
      <c r="H5" s="87"/>
      <c r="I5" s="89"/>
      <c r="L5" s="1" t="s">
        <v>10</v>
      </c>
      <c r="M5" s="2">
        <f>+M4/3</f>
        <v>3428</v>
      </c>
      <c r="O5" s="113">
        <v>1673</v>
      </c>
      <c r="P5" s="116">
        <v>2.1000000000000001E-2</v>
      </c>
    </row>
    <row r="6" spans="1:16" ht="15" thickBot="1" x14ac:dyDescent="0.35">
      <c r="A6" s="1" t="s">
        <v>34</v>
      </c>
      <c r="B6" s="5"/>
      <c r="C6" s="87"/>
      <c r="D6" s="110">
        <f>+C5*D5</f>
        <v>1539.4504999999999</v>
      </c>
      <c r="E6" s="5"/>
      <c r="F6" s="168">
        <f>+D4+F4</f>
        <v>1695.8456393333331</v>
      </c>
      <c r="G6" s="169"/>
      <c r="H6" s="87"/>
      <c r="I6" s="89"/>
      <c r="L6" s="1" t="s">
        <v>12</v>
      </c>
      <c r="M6" s="2">
        <f>+M5/2</f>
        <v>1714</v>
      </c>
      <c r="O6" s="113">
        <v>1787</v>
      </c>
      <c r="P6" s="116">
        <v>2.9000000000000001E-2</v>
      </c>
    </row>
    <row r="7" spans="1:16" ht="15" thickBot="1" x14ac:dyDescent="0.35">
      <c r="A7" s="86" t="s">
        <v>36</v>
      </c>
      <c r="B7" s="5"/>
      <c r="C7" s="87">
        <v>2.5</v>
      </c>
      <c r="D7" s="87">
        <f>+D6*C7</f>
        <v>3848.6262499999998</v>
      </c>
      <c r="E7" s="5"/>
      <c r="F7" s="170"/>
      <c r="G7" s="171"/>
      <c r="H7" s="87"/>
      <c r="I7" s="89"/>
      <c r="L7" s="1" t="s">
        <v>13</v>
      </c>
      <c r="M7" s="2">
        <v>791</v>
      </c>
      <c r="O7" s="113">
        <v>1883</v>
      </c>
      <c r="P7" s="116">
        <v>3.5000000000000003E-2</v>
      </c>
    </row>
    <row r="8" spans="1:16" ht="15" thickBot="1" x14ac:dyDescent="0.35">
      <c r="A8" s="86" t="s">
        <v>37</v>
      </c>
      <c r="B8" s="5"/>
      <c r="C8" s="87">
        <v>3.5</v>
      </c>
      <c r="D8" s="87">
        <f>+D7*C8</f>
        <v>13470.191874999999</v>
      </c>
      <c r="E8" s="5"/>
      <c r="F8" s="87"/>
      <c r="G8" s="5"/>
      <c r="H8" s="87"/>
      <c r="I8" s="89"/>
      <c r="L8" s="1" t="s">
        <v>14</v>
      </c>
      <c r="M8" s="2">
        <v>189</v>
      </c>
      <c r="O8" s="113">
        <v>2008</v>
      </c>
      <c r="P8" s="116">
        <v>4.1000000000000002E-2</v>
      </c>
    </row>
    <row r="9" spans="1:16" ht="15" thickBot="1" x14ac:dyDescent="0.35">
      <c r="A9" s="86" t="s">
        <v>38</v>
      </c>
      <c r="B9" s="5"/>
      <c r="C9" s="87"/>
      <c r="D9" s="110">
        <v>3428</v>
      </c>
      <c r="E9" s="5"/>
      <c r="F9" s="87"/>
      <c r="G9" s="5"/>
      <c r="H9" s="87"/>
      <c r="I9" s="89"/>
      <c r="L9" s="1" t="s">
        <v>11</v>
      </c>
      <c r="M9" s="2">
        <v>27</v>
      </c>
      <c r="O9" s="113">
        <v>2376</v>
      </c>
      <c r="P9" s="116">
        <v>5.2999999999999999E-2</v>
      </c>
    </row>
    <row r="10" spans="1:16" ht="15" thickBot="1" x14ac:dyDescent="0.35">
      <c r="A10" s="86" t="s">
        <v>39</v>
      </c>
      <c r="B10" s="5"/>
      <c r="C10" s="87"/>
      <c r="D10" s="110">
        <v>26</v>
      </c>
      <c r="E10" s="5"/>
      <c r="F10" s="87"/>
      <c r="G10" s="5"/>
      <c r="H10" s="87"/>
      <c r="I10" s="89"/>
      <c r="O10" s="113">
        <v>2720</v>
      </c>
      <c r="P10" s="116">
        <v>7.4999999999999997E-2</v>
      </c>
    </row>
    <row r="11" spans="1:16" ht="15" thickBot="1" x14ac:dyDescent="0.35">
      <c r="A11" s="90" t="s">
        <v>40</v>
      </c>
      <c r="B11" s="91"/>
      <c r="C11" s="92"/>
      <c r="D11" s="111">
        <v>40</v>
      </c>
      <c r="E11" s="91"/>
      <c r="F11" s="92"/>
      <c r="G11" s="91"/>
      <c r="H11" s="92"/>
      <c r="I11" s="93"/>
      <c r="O11" s="113">
        <v>3098</v>
      </c>
      <c r="P11" s="116">
        <v>9.9000000000000005E-2</v>
      </c>
    </row>
    <row r="12" spans="1:16" ht="15" thickBot="1" x14ac:dyDescent="0.35">
      <c r="A12" s="82"/>
      <c r="B12" s="83"/>
      <c r="C12" s="84" t="s">
        <v>41</v>
      </c>
      <c r="D12" s="161" t="s">
        <v>42</v>
      </c>
      <c r="E12" s="162"/>
      <c r="F12" s="162"/>
      <c r="G12" s="163"/>
      <c r="H12" s="164" t="s">
        <v>43</v>
      </c>
      <c r="I12" s="165"/>
      <c r="O12" s="113">
        <v>3487</v>
      </c>
      <c r="P12" s="116">
        <v>0.11899999999999999</v>
      </c>
    </row>
    <row r="13" spans="1:16" ht="15" thickBot="1" x14ac:dyDescent="0.35">
      <c r="A13" s="86"/>
      <c r="B13" s="5"/>
      <c r="C13" s="87"/>
      <c r="D13" s="94" t="s">
        <v>44</v>
      </c>
      <c r="E13" s="3" t="s">
        <v>45</v>
      </c>
      <c r="F13" s="87" t="s">
        <v>46</v>
      </c>
      <c r="G13" s="95" t="s">
        <v>47</v>
      </c>
      <c r="H13" s="94" t="s">
        <v>44</v>
      </c>
      <c r="I13" s="89" t="s">
        <v>45</v>
      </c>
      <c r="O13" s="113">
        <v>4069</v>
      </c>
      <c r="P13" s="116">
        <v>0.13800000000000001</v>
      </c>
    </row>
    <row r="14" spans="1:16" ht="15" thickBot="1" x14ac:dyDescent="0.35">
      <c r="A14" s="118" t="s">
        <v>81</v>
      </c>
      <c r="B14" s="119"/>
      <c r="C14" s="99">
        <f>98.25/100*D4+F22</f>
        <v>1592</v>
      </c>
      <c r="D14" s="97"/>
      <c r="E14" s="98">
        <v>6.8</v>
      </c>
      <c r="F14" s="99">
        <f t="shared" ref="F14" si="0">+C14*D14/100</f>
        <v>0</v>
      </c>
      <c r="G14" s="99">
        <f t="shared" ref="G14:G15" si="1">+C14*E14/100</f>
        <v>108.256</v>
      </c>
      <c r="H14" s="97"/>
      <c r="I14" s="120"/>
      <c r="N14" s="1"/>
      <c r="O14" s="113">
        <v>4878</v>
      </c>
      <c r="P14" s="116">
        <v>0.158</v>
      </c>
    </row>
    <row r="15" spans="1:16" ht="15" thickBot="1" x14ac:dyDescent="0.35">
      <c r="A15" s="118" t="s">
        <v>82</v>
      </c>
      <c r="B15" s="119"/>
      <c r="C15" s="99">
        <f>98.25/100*D4+F22</f>
        <v>1592</v>
      </c>
      <c r="D15" s="97"/>
      <c r="E15" s="98">
        <v>2.9</v>
      </c>
      <c r="F15" s="99"/>
      <c r="G15" s="100">
        <f t="shared" si="1"/>
        <v>46.167999999999999</v>
      </c>
      <c r="H15" s="97"/>
      <c r="I15" s="120"/>
      <c r="N15" s="1"/>
      <c r="O15" s="113">
        <v>6104</v>
      </c>
      <c r="P15" s="116">
        <v>0.17899999999999999</v>
      </c>
    </row>
    <row r="16" spans="1:16" ht="15" thickBot="1" x14ac:dyDescent="0.35">
      <c r="A16" s="118" t="s">
        <v>48</v>
      </c>
      <c r="B16" s="119"/>
      <c r="C16" s="99"/>
      <c r="D16" s="97"/>
      <c r="E16" s="98">
        <v>6.8</v>
      </c>
      <c r="F16" s="99"/>
      <c r="G16" s="100"/>
      <c r="H16" s="97"/>
      <c r="I16" s="120"/>
      <c r="N16" s="1"/>
      <c r="O16" s="113">
        <v>7625</v>
      </c>
      <c r="P16" s="116">
        <v>0.2</v>
      </c>
    </row>
    <row r="17" spans="1:16" ht="15" thickBot="1" x14ac:dyDescent="0.35">
      <c r="A17" s="130" t="s">
        <v>5</v>
      </c>
      <c r="B17" s="131"/>
      <c r="C17" s="132"/>
      <c r="D17" s="133"/>
      <c r="E17" s="134"/>
      <c r="F17" s="132">
        <f t="shared" ref="F17:G17" si="2">+SUM(F18:F22)</f>
        <v>136.80000000000001</v>
      </c>
      <c r="G17" s="135">
        <f t="shared" si="2"/>
        <v>20</v>
      </c>
      <c r="H17" s="136"/>
      <c r="I17" s="137"/>
      <c r="O17" s="113">
        <v>10583</v>
      </c>
      <c r="P17" s="116">
        <v>0.24</v>
      </c>
    </row>
    <row r="18" spans="1:16" ht="15" thickBot="1" x14ac:dyDescent="0.35">
      <c r="A18" s="86" t="s">
        <v>49</v>
      </c>
      <c r="B18" s="5"/>
      <c r="C18" s="87">
        <f>+IF(D4&lt;D7,D4,0)</f>
        <v>1600</v>
      </c>
      <c r="D18" s="101">
        <v>7.3</v>
      </c>
      <c r="E18" s="3"/>
      <c r="F18" s="87">
        <f t="shared" ref="F18:F40" si="3">+C18*D18/100</f>
        <v>116.8</v>
      </c>
      <c r="G18" s="87">
        <f t="shared" ref="G18:G41" si="4">+C18*E18/100</f>
        <v>0</v>
      </c>
      <c r="H18" s="94">
        <v>7.3</v>
      </c>
      <c r="I18" s="89"/>
      <c r="O18" s="113">
        <v>14333</v>
      </c>
      <c r="P18" s="116">
        <v>0.28000000000000003</v>
      </c>
    </row>
    <row r="19" spans="1:16" ht="15" thickBot="1" x14ac:dyDescent="0.35">
      <c r="A19" s="86" t="s">
        <v>49</v>
      </c>
      <c r="B19" s="5"/>
      <c r="C19" s="87">
        <f>+IF(D4&gt;D7,D4,0)</f>
        <v>0</v>
      </c>
      <c r="D19" s="101">
        <v>13.3</v>
      </c>
      <c r="E19" s="3"/>
      <c r="F19" s="87">
        <f t="shared" si="3"/>
        <v>0</v>
      </c>
      <c r="G19" s="87">
        <f t="shared" si="4"/>
        <v>0</v>
      </c>
      <c r="H19" s="94">
        <v>13.3</v>
      </c>
      <c r="I19" s="89"/>
      <c r="O19" s="113">
        <v>22500</v>
      </c>
      <c r="P19" s="116">
        <v>0.33</v>
      </c>
    </row>
    <row r="20" spans="1:16" ht="15" thickBot="1" x14ac:dyDescent="0.35">
      <c r="A20" s="86" t="s">
        <v>50</v>
      </c>
      <c r="B20" s="5"/>
      <c r="C20" s="87"/>
      <c r="D20" s="101"/>
      <c r="E20" s="3"/>
      <c r="F20" s="87">
        <f t="shared" si="3"/>
        <v>0</v>
      </c>
      <c r="G20" s="87">
        <f t="shared" si="4"/>
        <v>0</v>
      </c>
      <c r="H20" s="94"/>
      <c r="I20" s="89"/>
      <c r="O20" s="113">
        <v>48196</v>
      </c>
      <c r="P20" s="116">
        <v>0.38</v>
      </c>
    </row>
    <row r="21" spans="1:16" ht="15" thickBot="1" x14ac:dyDescent="0.35">
      <c r="A21" s="86" t="s">
        <v>51</v>
      </c>
      <c r="B21" s="5"/>
      <c r="C21" s="87"/>
      <c r="D21" s="101"/>
      <c r="E21" s="3"/>
      <c r="F21" s="87">
        <f t="shared" si="3"/>
        <v>0</v>
      </c>
      <c r="G21" s="87">
        <f t="shared" si="4"/>
        <v>0</v>
      </c>
      <c r="H21" s="94"/>
      <c r="I21" s="89"/>
      <c r="O21" s="113">
        <v>48196</v>
      </c>
      <c r="P21" s="116">
        <v>0.43</v>
      </c>
    </row>
    <row r="22" spans="1:16" x14ac:dyDescent="0.3">
      <c r="A22" s="121" t="s">
        <v>52</v>
      </c>
      <c r="B22" s="6"/>
      <c r="C22" s="102">
        <f>+D11</f>
        <v>40</v>
      </c>
      <c r="D22" s="103">
        <v>50</v>
      </c>
      <c r="E22" s="4">
        <v>50</v>
      </c>
      <c r="F22" s="102">
        <f t="shared" si="3"/>
        <v>20</v>
      </c>
      <c r="G22" s="102">
        <f t="shared" si="4"/>
        <v>20</v>
      </c>
      <c r="H22" s="104">
        <v>0.5</v>
      </c>
      <c r="I22" s="122">
        <v>0.5</v>
      </c>
    </row>
    <row r="23" spans="1:16" x14ac:dyDescent="0.3">
      <c r="A23" s="138" t="s">
        <v>53</v>
      </c>
      <c r="B23" s="139"/>
      <c r="C23" s="140">
        <f>+D4</f>
        <v>1600</v>
      </c>
      <c r="D23" s="141">
        <v>0.8</v>
      </c>
      <c r="E23" s="142"/>
      <c r="F23" s="140">
        <f t="shared" si="3"/>
        <v>12.8</v>
      </c>
      <c r="G23" s="140">
        <f t="shared" si="4"/>
        <v>0</v>
      </c>
      <c r="H23" s="143"/>
      <c r="I23" s="144"/>
    </row>
    <row r="24" spans="1:16" x14ac:dyDescent="0.3">
      <c r="A24" s="130" t="s">
        <v>6</v>
      </c>
      <c r="B24" s="131"/>
      <c r="C24" s="132"/>
      <c r="D24" s="133"/>
      <c r="E24" s="134"/>
      <c r="F24" s="132">
        <f t="shared" ref="F24:G24" si="5">+SUM(F25:F28)</f>
        <v>263.36</v>
      </c>
      <c r="G24" s="132">
        <f t="shared" si="5"/>
        <v>180.96</v>
      </c>
      <c r="H24" s="136"/>
      <c r="I24" s="137"/>
    </row>
    <row r="25" spans="1:16" x14ac:dyDescent="0.3">
      <c r="A25" s="86" t="s">
        <v>54</v>
      </c>
      <c r="B25" s="5"/>
      <c r="C25" s="87">
        <f>+D4</f>
        <v>1600</v>
      </c>
      <c r="D25" s="101">
        <v>1.9</v>
      </c>
      <c r="E25" s="3">
        <v>0.4</v>
      </c>
      <c r="F25" s="87">
        <f t="shared" si="3"/>
        <v>30.4</v>
      </c>
      <c r="G25" s="87">
        <f t="shared" si="4"/>
        <v>6.4</v>
      </c>
      <c r="H25" s="94"/>
      <c r="I25" s="89"/>
    </row>
    <row r="26" spans="1:16" x14ac:dyDescent="0.3">
      <c r="A26" s="86" t="s">
        <v>55</v>
      </c>
      <c r="B26" s="5"/>
      <c r="C26" s="87">
        <f>+IF(D4&lt;D7,D4,D7)</f>
        <v>1600</v>
      </c>
      <c r="D26" s="101">
        <v>8.5500000000000007</v>
      </c>
      <c r="E26" s="3">
        <v>6.9</v>
      </c>
      <c r="F26" s="87">
        <f t="shared" si="3"/>
        <v>136.80000000000001</v>
      </c>
      <c r="G26" s="87">
        <f t="shared" si="4"/>
        <v>110.4</v>
      </c>
      <c r="H26" s="94"/>
      <c r="I26" s="89"/>
    </row>
    <row r="27" spans="1:16" x14ac:dyDescent="0.3">
      <c r="A27" s="86" t="s">
        <v>56</v>
      </c>
      <c r="B27" s="5" t="s">
        <v>57</v>
      </c>
      <c r="C27" s="87">
        <f>+IF(D4&gt;D9,D9,D4)</f>
        <v>1600</v>
      </c>
      <c r="D27" s="101">
        <v>6.01</v>
      </c>
      <c r="E27" s="3">
        <v>4.01</v>
      </c>
      <c r="F27" s="87">
        <f t="shared" si="3"/>
        <v>96.16</v>
      </c>
      <c r="G27" s="87">
        <f t="shared" si="4"/>
        <v>64.16</v>
      </c>
      <c r="H27" s="94"/>
      <c r="I27" s="89"/>
    </row>
    <row r="28" spans="1:16" x14ac:dyDescent="0.3">
      <c r="A28" s="121" t="s">
        <v>58</v>
      </c>
      <c r="B28" s="6" t="s">
        <v>57</v>
      </c>
      <c r="C28" s="102">
        <f>+IF(D4&gt;D9,D4-D9,0)</f>
        <v>0</v>
      </c>
      <c r="D28" s="103">
        <v>14.57</v>
      </c>
      <c r="E28" s="4">
        <v>9.7200000000000006</v>
      </c>
      <c r="F28" s="102">
        <f t="shared" si="3"/>
        <v>0</v>
      </c>
      <c r="G28" s="102">
        <f t="shared" si="4"/>
        <v>0</v>
      </c>
      <c r="H28" s="104"/>
      <c r="I28" s="122"/>
    </row>
    <row r="29" spans="1:16" x14ac:dyDescent="0.3">
      <c r="A29" s="130" t="s">
        <v>59</v>
      </c>
      <c r="B29" s="131"/>
      <c r="C29" s="132"/>
      <c r="D29" s="133"/>
      <c r="E29" s="134"/>
      <c r="F29" s="132">
        <f>+SUM(F30:F31)</f>
        <v>55.2</v>
      </c>
      <c r="G29" s="132">
        <f>+SUM(G30:G31)</f>
        <v>0</v>
      </c>
      <c r="H29" s="136"/>
      <c r="I29" s="137"/>
    </row>
    <row r="30" spans="1:16" x14ac:dyDescent="0.3">
      <c r="A30" s="123" t="s">
        <v>60</v>
      </c>
      <c r="B30" s="95"/>
      <c r="C30" s="87">
        <f>+IF(D4&lt;D8,D4,0)</f>
        <v>1600</v>
      </c>
      <c r="D30" s="101">
        <v>3.45</v>
      </c>
      <c r="E30" s="3"/>
      <c r="F30" s="87">
        <f t="shared" si="3"/>
        <v>55.2</v>
      </c>
      <c r="G30" s="87">
        <f t="shared" si="4"/>
        <v>0</v>
      </c>
      <c r="H30" s="94"/>
      <c r="I30" s="89"/>
    </row>
    <row r="31" spans="1:16" x14ac:dyDescent="0.3">
      <c r="A31" s="123" t="s">
        <v>61</v>
      </c>
      <c r="B31" s="95"/>
      <c r="C31" s="87">
        <f>+IF(D4&gt;D8,D8,0)</f>
        <v>0</v>
      </c>
      <c r="D31" s="101">
        <v>5.25</v>
      </c>
      <c r="E31" s="3"/>
      <c r="F31" s="87">
        <f t="shared" si="3"/>
        <v>0</v>
      </c>
      <c r="G31" s="87">
        <f t="shared" si="4"/>
        <v>0</v>
      </c>
      <c r="H31" s="94"/>
      <c r="I31" s="89"/>
    </row>
    <row r="32" spans="1:16" x14ac:dyDescent="0.3">
      <c r="A32" s="130" t="s">
        <v>62</v>
      </c>
      <c r="B32" s="131"/>
      <c r="C32" s="132"/>
      <c r="D32" s="133">
        <f t="shared" ref="D32:G32" si="6">+D33+D34</f>
        <v>4.2</v>
      </c>
      <c r="E32" s="145">
        <f t="shared" si="6"/>
        <v>0</v>
      </c>
      <c r="F32" s="132">
        <f t="shared" si="6"/>
        <v>67.2</v>
      </c>
      <c r="G32" s="132">
        <f t="shared" si="6"/>
        <v>0</v>
      </c>
      <c r="H32" s="136"/>
      <c r="I32" s="137"/>
    </row>
    <row r="33" spans="1:11" x14ac:dyDescent="0.3">
      <c r="A33" s="123" t="s">
        <v>63</v>
      </c>
      <c r="B33" s="95"/>
      <c r="C33" s="87">
        <f>+D4</f>
        <v>1600</v>
      </c>
      <c r="D33" s="101">
        <v>4.05</v>
      </c>
      <c r="E33" s="3"/>
      <c r="F33" s="87">
        <f t="shared" si="3"/>
        <v>64.8</v>
      </c>
      <c r="G33" s="87">
        <f t="shared" si="4"/>
        <v>0</v>
      </c>
      <c r="H33" s="94"/>
      <c r="I33" s="89"/>
    </row>
    <row r="34" spans="1:11" x14ac:dyDescent="0.3">
      <c r="A34" s="124" t="s">
        <v>64</v>
      </c>
      <c r="B34" s="107"/>
      <c r="C34" s="102">
        <f>+D4</f>
        <v>1600</v>
      </c>
      <c r="D34" s="103">
        <v>0.15</v>
      </c>
      <c r="E34" s="4"/>
      <c r="F34" s="102">
        <f t="shared" si="3"/>
        <v>2.4</v>
      </c>
      <c r="G34" s="102">
        <f t="shared" si="4"/>
        <v>0</v>
      </c>
      <c r="H34" s="104"/>
      <c r="I34" s="122"/>
    </row>
    <row r="35" spans="1:11" x14ac:dyDescent="0.3">
      <c r="A35" s="130" t="s">
        <v>65</v>
      </c>
      <c r="B35" s="131"/>
      <c r="C35" s="132"/>
      <c r="D35" s="136"/>
      <c r="E35" s="134"/>
      <c r="F35" s="136">
        <f>+SUM(F36:F39)</f>
        <v>21.536000000000001</v>
      </c>
      <c r="G35" s="146">
        <f>+SUM(G36:G41)</f>
        <v>0</v>
      </c>
      <c r="H35" s="132"/>
      <c r="I35" s="137"/>
    </row>
    <row r="36" spans="1:11" x14ac:dyDescent="0.3">
      <c r="A36" s="123" t="s">
        <v>66</v>
      </c>
      <c r="B36" s="5"/>
      <c r="C36" s="87">
        <f>+D4</f>
        <v>1600</v>
      </c>
      <c r="D36" s="94">
        <v>0.55000000000000004</v>
      </c>
      <c r="E36" s="3"/>
      <c r="F36" s="94">
        <f t="shared" si="3"/>
        <v>8.8000000000000007</v>
      </c>
      <c r="G36" s="96">
        <f t="shared" si="4"/>
        <v>0</v>
      </c>
      <c r="H36" s="87"/>
      <c r="I36" s="89"/>
    </row>
    <row r="37" spans="1:11" x14ac:dyDescent="0.3">
      <c r="A37" s="123" t="s">
        <v>67</v>
      </c>
      <c r="B37" s="5"/>
      <c r="C37" s="87">
        <f>+D4</f>
        <v>1600</v>
      </c>
      <c r="D37" s="94">
        <v>0.68</v>
      </c>
      <c r="E37" s="3"/>
      <c r="F37" s="94">
        <f t="shared" si="3"/>
        <v>10.88</v>
      </c>
      <c r="G37" s="96">
        <f t="shared" si="4"/>
        <v>0</v>
      </c>
      <c r="H37" s="87"/>
      <c r="I37" s="89"/>
    </row>
    <row r="38" spans="1:11" x14ac:dyDescent="0.3">
      <c r="A38" s="123" t="s">
        <v>0</v>
      </c>
      <c r="B38" s="5"/>
      <c r="C38" s="87">
        <f>+D4</f>
        <v>1600</v>
      </c>
      <c r="D38" s="94">
        <v>1.6E-2</v>
      </c>
      <c r="E38" s="3"/>
      <c r="F38" s="94">
        <f t="shared" si="3"/>
        <v>0.25600000000000001</v>
      </c>
      <c r="G38" s="96">
        <f t="shared" si="4"/>
        <v>0</v>
      </c>
      <c r="H38" s="87"/>
      <c r="I38" s="89"/>
    </row>
    <row r="39" spans="1:11" x14ac:dyDescent="0.3">
      <c r="A39" s="124" t="s">
        <v>30</v>
      </c>
      <c r="B39" s="6"/>
      <c r="C39" s="102">
        <f>+D4</f>
        <v>1600</v>
      </c>
      <c r="D39" s="104">
        <v>0.1</v>
      </c>
      <c r="E39" s="4"/>
      <c r="F39" s="104">
        <f t="shared" si="3"/>
        <v>1.6</v>
      </c>
      <c r="G39" s="105">
        <f t="shared" si="4"/>
        <v>0</v>
      </c>
      <c r="H39" s="102"/>
      <c r="I39" s="122"/>
    </row>
    <row r="40" spans="1:11" x14ac:dyDescent="0.3">
      <c r="A40" s="130" t="s">
        <v>68</v>
      </c>
      <c r="B40" s="131"/>
      <c r="C40" s="132"/>
      <c r="D40" s="136"/>
      <c r="E40" s="134"/>
      <c r="F40" s="136">
        <f t="shared" si="3"/>
        <v>0</v>
      </c>
      <c r="G40" s="146">
        <f t="shared" si="4"/>
        <v>0</v>
      </c>
      <c r="H40" s="132"/>
      <c r="I40" s="137"/>
    </row>
    <row r="41" spans="1:11" x14ac:dyDescent="0.3">
      <c r="A41" s="124" t="s">
        <v>69</v>
      </c>
      <c r="B41" s="6"/>
      <c r="C41" s="102">
        <f>+IF(D41&gt;0,D4,0)</f>
        <v>1600</v>
      </c>
      <c r="D41" s="108">
        <f>+(0.3205/0.6)*(((1.6*D6)/D4)-1)</f>
        <v>0.28815647541666672</v>
      </c>
      <c r="E41" s="4"/>
      <c r="F41" s="104">
        <f>-C41*D41</f>
        <v>-461.05036066666673</v>
      </c>
      <c r="G41" s="105">
        <f t="shared" si="4"/>
        <v>0</v>
      </c>
      <c r="H41" s="102"/>
      <c r="I41" s="122"/>
      <c r="K41" s="109" t="s">
        <v>70</v>
      </c>
    </row>
    <row r="42" spans="1:11" x14ac:dyDescent="0.3">
      <c r="A42" s="147" t="s">
        <v>72</v>
      </c>
      <c r="B42" s="148"/>
      <c r="C42" s="149"/>
      <c r="D42" s="149"/>
      <c r="E42" s="148"/>
      <c r="F42" s="149"/>
      <c r="G42" s="157">
        <f>+G3+F22+G15</f>
        <v>1310.7839999999999</v>
      </c>
      <c r="H42" s="149"/>
      <c r="I42" s="150"/>
      <c r="K42" s="7" t="s">
        <v>71</v>
      </c>
    </row>
    <row r="43" spans="1:11" x14ac:dyDescent="0.3">
      <c r="A43" s="86" t="s">
        <v>73</v>
      </c>
      <c r="B43" s="5"/>
      <c r="C43" s="87"/>
      <c r="D43" s="125">
        <f>+IF(G42&lt;=O2,P2,IF(G42&lt;=O3,P3,IF(G42&lt;=O4,P4,IF(G42&lt;=O5,P5,IF(G42&lt;=O6,P6,IF(G42&lt;=O7,P7,IF(G42&lt;=O8,P8,IF(G42&lt;=O9,P9,IF(G42&lt;=O10,P10,IF(G42&lt;=O11,P11,IF(G42&lt;=O12,P12,IF(G42&lt;=O13,P13,IF(G42&lt;=O14,P14,IF(G42&lt;=O15,P15,IF(G42&lt;=O16,P16,IF(G42&lt;=O17,P17,IF(G42&lt;=O18,P18,IF(G42&lt;=O19,P19,IF(G42&lt;=O20,P20,P21)))))))))))))))))))</f>
        <v>0</v>
      </c>
      <c r="E43" s="5"/>
      <c r="F43" s="87"/>
      <c r="G43" s="87">
        <f>-G42*D43</f>
        <v>0</v>
      </c>
      <c r="H43" s="87"/>
      <c r="I43" s="89"/>
    </row>
    <row r="44" spans="1:11" ht="15" thickBot="1" x14ac:dyDescent="0.35">
      <c r="A44" s="151" t="s">
        <v>83</v>
      </c>
      <c r="B44" s="152"/>
      <c r="C44" s="153"/>
      <c r="D44" s="154"/>
      <c r="E44" s="152"/>
      <c r="F44" s="153"/>
      <c r="G44" s="156">
        <f>+G42+G43</f>
        <v>1310.7839999999999</v>
      </c>
      <c r="H44" s="153"/>
      <c r="I44" s="155"/>
    </row>
    <row r="45" spans="1:11" x14ac:dyDescent="0.3">
      <c r="A45" s="7" t="s">
        <v>74</v>
      </c>
      <c r="F45" s="81">
        <f>+D4*0.75%+C33*2.4%-C14*1.7%</f>
        <v>23.335999999999995</v>
      </c>
      <c r="G45" s="81"/>
    </row>
    <row r="46" spans="1:11" x14ac:dyDescent="0.3">
      <c r="A46" s="106" t="s">
        <v>75</v>
      </c>
      <c r="F46" s="81">
        <f>-IF(C31=0,D4*1.8%,0)-IF(C19=0,D4*6%,0)+F41</f>
        <v>-585.8503606666668</v>
      </c>
      <c r="G46" s="81"/>
    </row>
    <row r="47" spans="1:11" x14ac:dyDescent="0.3">
      <c r="G47" s="81"/>
    </row>
    <row r="48" spans="1:11" x14ac:dyDescent="0.3">
      <c r="G48" s="81"/>
    </row>
  </sheetData>
  <mergeCells count="5">
    <mergeCell ref="D12:G12"/>
    <mergeCell ref="H12:I12"/>
    <mergeCell ref="A1:I1"/>
    <mergeCell ref="F6:G7"/>
    <mergeCell ref="F5:G5"/>
  </mergeCells>
  <hyperlinks>
    <hyperlink ref="A2" r:id="rId1" xr:uid="{1C61F136-0E60-4945-B072-9D3AB7EC027C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</vt:lpstr>
      <vt:lpstr>Feuil4</vt:lpstr>
      <vt:lpstr>assiette</vt:lpstr>
      <vt:lpstr>cp</vt:lpstr>
      <vt:lpstr>hs</vt:lpstr>
      <vt:lpstr>maladie</vt:lpstr>
      <vt:lpstr>prime</vt:lpstr>
      <vt:lpstr>Feuil4!Zone_d_impression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2020-12-16T10:33:03Z</cp:lastPrinted>
  <dcterms:created xsi:type="dcterms:W3CDTF">2020-06-29T12:03:51Z</dcterms:created>
  <dcterms:modified xsi:type="dcterms:W3CDTF">2020-12-18T11:08:38Z</dcterms:modified>
</cp:coreProperties>
</file>