
<file path=[Content_Types].xml><?xml version="1.0" encoding="utf-8"?>
<Types xmlns="http://schemas.openxmlformats.org/package/2006/content-types">
  <Default Extension="bin" ContentType="application/vnd.openxmlformats-officedocument.spreadsheetml.printerSettings"/>
  <Override PartName="/xl/macrosheets/sheet1.xml" ContentType="application/vnd.ms-excel.macrosheet+xml"/>
  <Override PartName="/xl/externalLinks/externalLink8.xml" ContentType="application/vnd.openxmlformats-officedocument.spreadsheetml.externalLink+xml"/>
  <Override PartName="/xl/externalLinks/externalLink9.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externalLinks/externalLink6.xml" ContentType="application/vnd.openxmlformats-officedocument.spreadsheetml.externalLink+xml"/>
  <Override PartName="/xl/externalLinks/externalLink7.xml" ContentType="application/vnd.openxmlformats-officedocument.spreadsheetml.externalLink+xml"/>
  <Default Extension="jpeg" ContentType="image/jpeg"/>
  <Default Extension="emf" ContentType="image/x-emf"/>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Default Extension="vml" ContentType="application/vnd.openxmlformats-officedocument.vmlDrawing"/>
  <Override PartName="/xl/calcChain.xml" ContentType="application/vnd.openxmlformats-officedocument.spreadsheetml.calcChain+xml"/>
  <Override PartName="/xl/externalLinks/externalLink10.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codeName="{B7FE6334-C1A2-E50D-BD3D-5F4D41BBC2E3}"/>
  <workbookPr updateLinks="always" codeName="ThisWorkbook"/>
  <bookViews>
    <workbookView xWindow="13725" yWindow="0" windowWidth="15120" windowHeight="14715" tabRatio="181"/>
  </bookViews>
  <sheets>
    <sheet name="TABLEAU" sheetId="1" r:id="rId1"/>
    <sheet name="ATTEINDRE" sheetId="5" r:id="rId2"/>
    <sheet name="SUITE" sheetId="7" r:id="rId3"/>
    <sheet name="MACRO" sheetId="6" r:id="rId4"/>
  </sheets>
  <functionGroups/>
  <externalReferences>
    <externalReference r:id="rId5"/>
    <externalReference r:id="rId6"/>
    <externalReference r:id="rId7"/>
    <externalReference r:id="rId8"/>
    <externalReference r:id="rId9"/>
    <externalReference r:id="rId10"/>
    <externalReference r:id="rId11"/>
    <externalReference r:id="rId12"/>
    <externalReference r:id="rId13"/>
    <externalReference r:id="rId14"/>
  </externalReferences>
  <definedNames>
    <definedName name="A">TABLEAU!$L$12</definedName>
    <definedName name="A.OUVRIR">TABLEAU!$A$33</definedName>
    <definedName name="A.VERIFIER">TABLEAU!$B$18</definedName>
    <definedName name="ADV.CHAMPIONS.LEAGUE">TABLEAU!$D$1</definedName>
    <definedName name="ADV.COUPE.FRANCE">TABLEAU!$P$177</definedName>
    <definedName name="ADV.COUPE.LIGUE">TABLEAU!$W$177</definedName>
    <definedName name="ADV.EURO">TABLEAU!$A$47</definedName>
    <definedName name="ADV.UEFA">TABLEAU!$Y$177</definedName>
    <definedName name="AN">TABLEAU!$L$10</definedName>
    <definedName name="AN.2">TABLEAU!$AB$10</definedName>
    <definedName name="AN.3">TABLEAU!$A$31</definedName>
    <definedName name="AN.4">TABLEAU!$AB$13</definedName>
    <definedName name="ANNEE">TABLEAU!$C$205</definedName>
    <definedName name="ANNEE.EFFACE">TABLEAU!$R$1</definedName>
    <definedName name="AQW">TABLEAU!$AL$144</definedName>
    <definedName name="ATTEINDRE">TABLEAU!$B$3:$F$32</definedName>
    <definedName name="ATTEINDRE.2">SUITE!$A$2:$C$20</definedName>
    <definedName name="ATTEINDRE.3">TABLEAU!$B$33:$E$47</definedName>
    <definedName name="ATTEINDRE.99">TABLEAU!$B$1:$E$32</definedName>
    <definedName name="ATTEINDRE.CHARGEMENT">TABLEAU!$A$1:$E$32</definedName>
    <definedName name="ATTEINDRE.DATES">TABLEAU!$A$33:$F$47</definedName>
    <definedName name="ATTEINDRE.PHRASE">TABLEAU!$Z$9</definedName>
    <definedName name="ATTEINDRE.TV">TABLEAU!$B$54:$F$82</definedName>
    <definedName name="ATTEINDRE.VER">TABLEAU!$B$197:$E$203</definedName>
    <definedName name="AUJOURDHUI">TABLEAU!$L$12</definedName>
    <definedName name="AUTRE.HEURE">TABLEAU!$X$94</definedName>
    <definedName name="AUTRE.PHRASE">TABLEAU!$W$94</definedName>
    <definedName name="AZE">TABLEAU!$A$49</definedName>
    <definedName name="AZERTY">TABLEAU!$B$18:$E$32</definedName>
    <definedName name="B">TABLEAU!$L$13</definedName>
    <definedName name="BBB">TABLEAU!$A$217</definedName>
    <definedName name="BIENTOT">TABLEAU!$E$1</definedName>
    <definedName name="BIENTOT.TELE">TABLEAU!$Y$54</definedName>
    <definedName name="BIENTOT.TV">TABLEAU!$S$1</definedName>
    <definedName name="CALENDRIER">TABLEAU!$I$2:$K$8</definedName>
    <definedName name="CATCH">TABLEAU!$A$22</definedName>
    <definedName name="CCC">TABLEAU!$A$218</definedName>
    <definedName name="CHAMPIONS.LEAGUE.DEPAS">TABLEAU!$W$25</definedName>
    <definedName name="CHERCHE">TABLEAU!$F$1</definedName>
    <definedName name="CHERCHE.FIN">MACRO!$B$44:$B$55</definedName>
    <definedName name="COLLE">TABLEAU!$C$55:$D$82</definedName>
    <definedName name="COLLER.ATTEINDRE">MACRO!$A$13</definedName>
    <definedName name="COLLER.VER">MACRO!$A$72</definedName>
    <definedName name="CONFEDERATIONS.DEP">TABLEAU!$W$20</definedName>
    <definedName name="COULEUR.GRISE">TABLEAU!$B$34:$Y$34,TABLEAU!$B$36:$Y$36,TABLEAU!$B$38:$Y$38,TABLEAU!$B$40:$Y$40</definedName>
    <definedName name="CVB">TABLEAU!$AB$4</definedName>
    <definedName name="D">TABLEAU!$AL$1:$AW$32</definedName>
    <definedName name="DANS.1">TABLEAU!$B$99</definedName>
    <definedName name="DANS.2">TABLEAU!$B$105</definedName>
    <definedName name="DANS.3">TABLEAU!$B$111</definedName>
    <definedName name="DANS.4">TABLEAU!$B$117</definedName>
    <definedName name="DANS.5">TABLEAU!$B$123</definedName>
    <definedName name="DANS.CHAMPIONS.LEAGUE">TABLEAU!$O$25</definedName>
    <definedName name="DANS.CHAMPIONS.LEAGUE.HEURE">TABLEAU!$R$25</definedName>
    <definedName name="DANS.CHAMPIONS.LEAGUE.VERIFIER">TABLEAU!$P$25</definedName>
    <definedName name="DANS.CONFEDERATIONS">TABLEAU!$O$20</definedName>
    <definedName name="DANS.CONFEDERATIONS.HEURE">TABLEAU!$R$20</definedName>
    <definedName name="DANS.CONFEDERATIONS.VERIFIER">TABLEAU!$P$20</definedName>
    <definedName name="DANS.COUPE.FRANCE">TABLEAU!$O$21</definedName>
    <definedName name="DANS.COUPE.FRANCE.HEURE">TABLEAU!$R$21</definedName>
    <definedName name="DANS.COUPE.FRANCE.VERIFIER">TABLEAU!$P$21</definedName>
    <definedName name="DANS.COUPE.LIGUE">TABLEAU!$O$22</definedName>
    <definedName name="DANS.COUPE.LIGUE.HEURE">TABLEAU!$R$22</definedName>
    <definedName name="DANS.COUPE.LIGUE.VERIFIER">TABLEAU!$P$22</definedName>
    <definedName name="DANS.DEP.CONFEDERATIONS">TABLEAU!$AY$40</definedName>
    <definedName name="DANS.DEP.EURO">TABLEAU!$AY$39</definedName>
    <definedName name="DANS.DEP.FRANCE">TABLEAU!$AY$38</definedName>
    <definedName name="DANS.DEP.GP">TABLEAU!$AY$36</definedName>
    <definedName name="DANS.DEP.L1">TABLEAU!$AY$33</definedName>
    <definedName name="DANS.DEP.LDC">TABLEAU!$AY$34</definedName>
    <definedName name="DANS.DEP.LIGUE">TABLEAU!$AY$37</definedName>
    <definedName name="DANS.DEP.MONDIAL">TABLEAU!$AY$41</definedName>
    <definedName name="DANS.DEP.UEFA">TABLEAU!$AY$35</definedName>
    <definedName name="DANS.EURO">TABLEAU!$O$23</definedName>
    <definedName name="DANS.EURO.HEURE">TABLEAU!$R$23</definedName>
    <definedName name="DANS.EURO.VERIFIER">TABLEAU!$P$23</definedName>
    <definedName name="DANS.F1.HEURE">TABLEAU!$R$22</definedName>
    <definedName name="DANS.FRANCE.VERIFIER">TABLEAU!$P$21</definedName>
    <definedName name="DANS.GP">TABLEAU!$O$24</definedName>
    <definedName name="DANS.GP.HEURE">TABLEAU!$R$24</definedName>
    <definedName name="DANS.GP.VERIFIER">TABLEAU!$P$24</definedName>
    <definedName name="DANS.JOUR.CHAMPIONS.LEAGUE">TABLEAU!$AH$25</definedName>
    <definedName name="DANS.JOUR.CONFEDERATIONS">TABLEAU!$AH$20</definedName>
    <definedName name="DANS.JOUR.EURO">TABLEAU!$AH$23</definedName>
    <definedName name="DANS.JOUR.FRANCE">TABLEAU!$AH$21</definedName>
    <definedName name="DANS.JOUR.GP">TABLEAU!$AH$24</definedName>
    <definedName name="DANS.JOUR.L1">TABLEAU!$AH$19</definedName>
    <definedName name="DANS.JOUR.LIGUE">TABLEAU!$AH$22</definedName>
    <definedName name="DANS.JOUR.MONDIAL">TABLEAU!$AH$26</definedName>
    <definedName name="DANS.JOUR.UEFA">TABLEAU!$AH$27</definedName>
    <definedName name="DANS.L1">TABLEAU!$O$19</definedName>
    <definedName name="DANS.L1.HEURE">TABLEAU!$R$19</definedName>
    <definedName name="DANS.L1.VERIFIER">TABLEAU!$P$19</definedName>
    <definedName name="DANS.LDC">TABLEAU!$O$25</definedName>
    <definedName name="DANS.LDC.HEURE">TABLEAU!$R$25</definedName>
    <definedName name="DANS.LDC.VERIFIER">TABLEAU!$P$25</definedName>
    <definedName name="DANS.LIGUE.VERIFIER">TABLEAU!$P$22</definedName>
    <definedName name="DANS.MONDIAL">TABLEAU!$O$26</definedName>
    <definedName name="DANS.MONDIAL.HEURE">TABLEAU!$R$26</definedName>
    <definedName name="DANS.MONDIAL.VERIFIER">TABLEAU!$P$26</definedName>
    <definedName name="DANS.RDV.1">TABLEAU!$C$99</definedName>
    <definedName name="DANS.RDV.2">TABLEAU!$C$105</definedName>
    <definedName name="DANS.RDV.3">TABLEAU!$C$111</definedName>
    <definedName name="DANS.RDV.4">TABLEAU!$C$117</definedName>
    <definedName name="DANS.RDV.5">TABLEAU!$C$123</definedName>
    <definedName name="DANS.TV.1">TABLEAU!$J$98</definedName>
    <definedName name="DANS.TV.2">TABLEAU!$J$99</definedName>
    <definedName name="DANS.TV.3">TABLEAU!$J$100</definedName>
    <definedName name="DANS.TV.4">TABLEAU!$J$101</definedName>
    <definedName name="DANS.UEFA">TABLEAU!$O$27</definedName>
    <definedName name="DANS.UEFA.HEURE">TABLEAU!$R$27</definedName>
    <definedName name="DANS.UEFA.VERIFIER">TABLEAU!$P$27</definedName>
    <definedName name="DATE">TABLEAU!$I$42</definedName>
    <definedName name="DATE.1">TABLEAU!$B$98</definedName>
    <definedName name="DATE.2">TABLEAU!$B$104</definedName>
    <definedName name="DATE.3">TABLEAU!$B$110</definedName>
    <definedName name="DATE.4">TABLEAU!$B$116</definedName>
    <definedName name="DATE.5">TABLEAU!$B$122</definedName>
    <definedName name="DATE.ATTEINDRE">TABLEAU!$B$33:$F$42</definedName>
    <definedName name="DATE.CHAMPIONS.LEAGUE">TABLEAU!$M$25</definedName>
    <definedName name="DATE.COL">TABLEAU!$A$3</definedName>
    <definedName name="DATE.COLLER">TABLEAU!$A$5:$A$210</definedName>
    <definedName name="DATE.COLLER.2">TABLEAU!$A$3</definedName>
    <definedName name="DATE.CONFEDERATIONS">TABLEAU!$M$20</definedName>
    <definedName name="DATE.COP">TABLEAU!$A$2</definedName>
    <definedName name="DATE.COPIER.2">TABLEAU!$A$2</definedName>
    <definedName name="DATE.DEPASSE">TABLEAU!$D$33</definedName>
    <definedName name="DATE.EURO">TABLEAU!$M$23</definedName>
    <definedName name="DATE.FICHIER.A.OUVRIR">TABLEAU!$D$33</definedName>
    <definedName name="DATE.FINALE">TABLEAU!$I$28</definedName>
    <definedName name="DATE.FINALE.OUVRIR">TABLEAU!$B$27:$F$32</definedName>
    <definedName name="DATE.FRANCE">TABLEAU!$M$21</definedName>
    <definedName name="DATE.GP">TABLEAU!$M$24</definedName>
    <definedName name="DATE.HEURE.CONFEDERATION.COLLER">TABLEAU!$C$9:$D$9</definedName>
    <definedName name="DATE.HEURE.COUPE.FRANCE.COLLER">TABLEAU!$C$5:$D$5</definedName>
    <definedName name="DATE.HEURE.COUPE.LIGUE.COLLER">TABLEAU!$C$6:$D$6</definedName>
    <definedName name="DATE.HEURE.EURO.COLLER">TABLEAU!$C$8:$D$8</definedName>
    <definedName name="DATE.HEURE.F1.COLLER">TABLEAU!$C$10:$D$10</definedName>
    <definedName name="DATE.HEURE.L1.COLLER">TABLEAU!$C$2:$D$2</definedName>
    <definedName name="DATE.HEURE.LDC.COLLER">TABLEAU!$C$3:$D$3</definedName>
    <definedName name="DATE.HEURE.MONDIAL.COLLER">TABLEAU!$C$7:$D$7</definedName>
    <definedName name="DATE.HEURE.UEFA.COLLER">TABLEAU!$C$4:$D$4</definedName>
    <definedName name="DATE.L1">TABLEAU!$M$19</definedName>
    <definedName name="DATE.LDC">TABLEAU!$M$25</definedName>
    <definedName name="DATE.LIGUE">TABLEAU!$M$22</definedName>
    <definedName name="DATE.MONDIAL">TABLEAU!$M$26</definedName>
    <definedName name="DATE.RDV.TV">TABLEAU!$N$12</definedName>
    <definedName name="DATE.SANS">TABLEAU!$AB$4</definedName>
    <definedName name="DATE.TRI">TABLEAU!$A$33:$V$41</definedName>
    <definedName name="DATE.UEFA">TABLEAU!$M$27</definedName>
    <definedName name="DATE2">TABLEAU!$I$42</definedName>
    <definedName name="DDD">TABLEAU!$A$219</definedName>
    <definedName name="DEBUT">TABLEAU!$A$1:$F$32</definedName>
    <definedName name="DEBUT.MACRO">TABLEAU!$B$2</definedName>
    <definedName name="DELAI.TV">TABLEAU!$B$128:$F$131</definedName>
    <definedName name="DEM">TABLEAU!$AB$7</definedName>
    <definedName name="DEMAIN">TABLEAU!$A$42</definedName>
    <definedName name="DEMAIN.RDV">TABLEAU!$AF$48</definedName>
    <definedName name="DEMAIN.TV">TABLEAU!$Y$14</definedName>
    <definedName name="DEP">TABLEAU!$P$55:$P$82</definedName>
    <definedName name="DEP.1">TABLEAU!$E$98</definedName>
    <definedName name="DEP.2">TABLEAU!$E$104</definedName>
    <definedName name="DEP.3">TABLEAU!$E$110</definedName>
    <definedName name="DEP.4">TABLEAU!$E$116</definedName>
    <definedName name="DEP.5">TABLEAU!$E$122</definedName>
    <definedName name="DEP.CHAMPIONS.LEAGUE">TABLEAU!$AF$25</definedName>
    <definedName name="DEP.CONFEDERATIONS">TABLEAU!$AF$20</definedName>
    <definedName name="DEP.CONFEDERATIONS.VERIFIER">TABLEAU!$AZ$40</definedName>
    <definedName name="DEP.COUPE.FRANCE">TABLEAU!$AF$21</definedName>
    <definedName name="DEP.COUPE.LIGUE">TABLEAU!$AF$22</definedName>
    <definedName name="DEP.DATE.1">TABLEAU!$D$103</definedName>
    <definedName name="DEP.DATE.2">TABLEAU!$D$109</definedName>
    <definedName name="DEP.DATE.3">TABLEAU!$D$115</definedName>
    <definedName name="DEP.DATE.4">TABLEAU!$D$121</definedName>
    <definedName name="DEP.DATE.5">TABLEAU!$D$127</definedName>
    <definedName name="DEP.DIM">TABLEAU!$P$79:$P$82</definedName>
    <definedName name="DEP.EURO">TABLEAU!$AF$23</definedName>
    <definedName name="DEP.EURO.VERIFIER">TABLEAU!$AZ$39</definedName>
    <definedName name="DEP.FRANCE.VERIFIER">TABLEAU!$AZ$38</definedName>
    <definedName name="DEP.GP">TABLEAU!$AF$24</definedName>
    <definedName name="DEP.GP.VERIFIER">TABLEAU!$AZ$36</definedName>
    <definedName name="DEP.JEU">TABLEAU!$P$67:$P$70</definedName>
    <definedName name="DEP.L1">TABLEAU!$AF$19</definedName>
    <definedName name="DEP.L1.VERIFIER">TABLEAU!$AZ$33</definedName>
    <definedName name="DEP.LDC.VERIFIER">TABLEAU!$AZ$34</definedName>
    <definedName name="DEP.LIGUE.VERIFIER">TABLEAU!$AZ$37</definedName>
    <definedName name="DEP.LUN">TABLEAU!$P$55:$P$58</definedName>
    <definedName name="DEP.MAR">TABLEAU!$P$59:$P$62</definedName>
    <definedName name="DEP.MER">TABLEAU!$P$63:$P$66</definedName>
    <definedName name="DEP.MONDIAL">TABLEAU!$AF$26</definedName>
    <definedName name="DEP.MONDIAL.VERIFIER">TABLEAU!$AZ$41</definedName>
    <definedName name="DEP.RDV.1">TABLEAU!$Y$49</definedName>
    <definedName name="DEP.RDV.2">TABLEAU!$Y$50</definedName>
    <definedName name="DEP.RDV.3">TABLEAU!$Y$51</definedName>
    <definedName name="DEP.RDV.4">TABLEAU!$Y$52</definedName>
    <definedName name="DEP.RDV.5">TABLEAU!$Y$53</definedName>
    <definedName name="DEP.SAM">TABLEAU!$P$75:$P$78</definedName>
    <definedName name="DEP.TV">TABLEAU!$Y$19</definedName>
    <definedName name="DEP.TV1">TABLEAU!$AA$6</definedName>
    <definedName name="DEP.TV2">TABLEAU!$AA$7</definedName>
    <definedName name="DEP.TV3">TABLEAU!$AA$8</definedName>
    <definedName name="DEP.TV4">TABLEAU!$AA$9</definedName>
    <definedName name="DEP.UEFA">TABLEAU!$AF$27</definedName>
    <definedName name="DEP.UEFA.VERIFIER">TABLEAU!$AZ$35</definedName>
    <definedName name="DEP.VEN">TABLEAU!$P$71:$P$74</definedName>
    <definedName name="DEPA">TABLEAU!$W$19:$W$27</definedName>
    <definedName name="DEPA.DEP">TABLEAU!$AL$151</definedName>
    <definedName name="DEPA.DEP.2">TABLEAU!$AL$152</definedName>
    <definedName name="DEPAS.1">TABLEAU!$B$103</definedName>
    <definedName name="DEPAS.2">TABLEAU!$B$109</definedName>
    <definedName name="DEPAS.3">TABLEAU!$B$115</definedName>
    <definedName name="DEPAS.4">TABLEAU!$B$121</definedName>
    <definedName name="DEPAS.5">TABLEAU!$B$127</definedName>
    <definedName name="DEPASC">TABLEAU!$W$54</definedName>
    <definedName name="DEPASSE">TABLEAU!$U$1</definedName>
    <definedName name="DEPP">TABLEAU!$J$33</definedName>
    <definedName name="DEPUIS">TABLEAU!$A$11</definedName>
    <definedName name="DIF.CONFEDERATIONS">TABLEAU!$AR$13</definedName>
    <definedName name="DIF.EURO">TABLEAU!$AR$12</definedName>
    <definedName name="DIF.FRANCE">TABLEAU!$AR$9</definedName>
    <definedName name="DIF.GP">TABLEAU!$AR$7</definedName>
    <definedName name="DIF.L1">TABLEAU!$AR$5</definedName>
    <definedName name="DIF.LDC">TABLEAU!$AR$6</definedName>
    <definedName name="DIF.LIGUE">TABLEAU!$AR$8</definedName>
    <definedName name="DIF.MONDIAL">TABLEAU!$AR$11</definedName>
    <definedName name="DIF.UEFA">TABLEAU!$AR$10</definedName>
    <definedName name="DIFFERENCE.1">TABLEAU!$E$101</definedName>
    <definedName name="DIFFERENCE.2">TABLEAU!$E$107</definedName>
    <definedName name="DIFFERENCE.3">TABLEAU!$E$113</definedName>
    <definedName name="DIFFERENCE.4">TABLEAU!$E$119</definedName>
    <definedName name="DIFFERENCE.5">TABLEAU!$E$125</definedName>
    <definedName name="DIMANCHE">TABLEAU!$B$79:$F$82</definedName>
    <definedName name="DIMANCHE.1">TABLEAU!$D$79</definedName>
    <definedName name="DIMANCHE.1.TV">TABLEAU!$G$26</definedName>
    <definedName name="DIMANCHE.2">TABLEAU!$D$80</definedName>
    <definedName name="DIMANCHE.2.TV">TABLEAU!$G$27</definedName>
    <definedName name="DIMANCHE.3">TABLEAU!$D$81</definedName>
    <definedName name="DIMANCHE.3.TV">TABLEAU!$G$28</definedName>
    <definedName name="DIMANCHE.4">TABLEAU!$D$82</definedName>
    <definedName name="DIMANCHE.4.TV">TABLEAU!$G$29</definedName>
    <definedName name="DIMANCHE.DANS">TABLEAU!$T$81</definedName>
    <definedName name="DIMANCHE.DATE">TABLEAU!$T$79</definedName>
    <definedName name="DIMANCHE.HEURE.1">TABLEAU!$K$91</definedName>
    <definedName name="DIMANCHE.HEURE.2">TABLEAU!$K$92</definedName>
    <definedName name="DIMANCHE.HEURE.3">TABLEAU!$K$93</definedName>
    <definedName name="DIMANCHE.HEURE.4">TABLEAU!$K$94</definedName>
    <definedName name="DIMANCHE.PROG.1">TABLEAU!$K$84</definedName>
    <definedName name="DIMANCHE.PROG.2">TABLEAU!$K$85</definedName>
    <definedName name="DIMANCHE.PROG.3">TABLEAU!$K$86</definedName>
    <definedName name="DIMANCHE.PROG.4">TABLEAU!$K$87</definedName>
    <definedName name="DIMANCHE.PROG.RESTE">TABLEAU!$AN$46</definedName>
    <definedName name="DIMANCHE.TV">TABLEAU!$B$79:$B$82</definedName>
    <definedName name="DIMANCHE.TV.1">TABLEAU!$B$79</definedName>
    <definedName name="DIMANCHE.TV.2">TABLEAU!$B$80</definedName>
    <definedName name="DIMANCHE.TV.3">TABLEAU!$B$81</definedName>
    <definedName name="DIMANCHE.TV.4">TABLEAU!$B$82</definedName>
    <definedName name="DIMANCHE.VERIFIER">TABLEAU!$AD$79</definedName>
    <definedName name="DRT">TABLEAU!$N$12</definedName>
    <definedName name="E">TABLEAU!$J$33</definedName>
    <definedName name="ECRITURE">TABLEAU!$A$9</definedName>
    <definedName name="EFF">TABLEAU!$A$55:$A$82</definedName>
    <definedName name="EFF.TV">TABLEAU!$A$191</definedName>
    <definedName name="EFFACE.TV">TABLEAU!$A$55:$A$82</definedName>
    <definedName name="ENCOURS">TABLEAU!$O$19:$O$27</definedName>
    <definedName name="ENVIE">TABLEAU!$H$13:$H$14</definedName>
    <definedName name="ENVIE.DATE">TABLEAU!$AN$25</definedName>
    <definedName name="ENVIE.DEP">TABLEAU!$AY$2</definedName>
    <definedName name="ERREUR.DATE">TABLEAU!$A$143</definedName>
    <definedName name="EURO">TABLEAU!$B$177:$E$196</definedName>
    <definedName name="EURO.DEP">TABLEAU!$W$23</definedName>
    <definedName name="EURO.JOUR">TABLEAU!$M$23</definedName>
    <definedName name="EVE.DEP">TABLEAU!$W$28</definedName>
    <definedName name="EVE.DEPAS">TABLEAU!$AA$18</definedName>
    <definedName name="EVENEMENTS.DEPAS">TABLEAU!$AA$18</definedName>
    <definedName name="F">TABLEAU!$AL$1:$AW$32</definedName>
    <definedName name="F1.DEP">TABLEAU!$W$24</definedName>
    <definedName name="FERIE">TABLEAU!$A$29</definedName>
    <definedName name="FERIE.2">TABLEAU!$A$32</definedName>
    <definedName name="FERIE.3">TABLEAU!$K$206</definedName>
    <definedName name="FERIE.4">TABLEAU!$P$204</definedName>
    <definedName name="FEUILLE.1">TABLEAU!$A$1</definedName>
    <definedName name="FEUILLE.10">TABLEAU!$A$1</definedName>
    <definedName name="FEUILLE.2">ATTEINDRE!$A$1</definedName>
    <definedName name="FEUILLE.3">SUITE!$A$1</definedName>
    <definedName name="FEUILLE.4">MACRO!$A$1</definedName>
    <definedName name="FEUILLE.5">TABLEAU!$A$1</definedName>
    <definedName name="FEUILLE.6">TABLEAU!$A$1</definedName>
    <definedName name="FEUILLE.7">TABLEAU!$A$1</definedName>
    <definedName name="FEUILLE.8">TABLEAU!$A$1</definedName>
    <definedName name="FEUILLE.9">TABLEAU!$A$1</definedName>
    <definedName name="FICHIER.A.MODIFIER">TABLEAU!$L$33</definedName>
    <definedName name="FICHIERS.A.OUVRIR">MACRO!$B$2:$B$11</definedName>
    <definedName name="FIN">TABLEAU!$P$143</definedName>
    <definedName name="FIN.MACRO">TABLEAU!$B$3</definedName>
    <definedName name="FOFO">TABLEAU!$W$197</definedName>
    <definedName name="FRANCE.DEP">TABLEAU!$W$21</definedName>
    <definedName name="GGG">TABLEAU!$A$227</definedName>
    <definedName name="H.M">TABLEAU!$N$10</definedName>
    <definedName name="H.M.3">TABLEAU!$AA$13</definedName>
    <definedName name="HEURE.1">TABLEAU!$C$98</definedName>
    <definedName name="HEURE.2">TABLEAU!$C$104</definedName>
    <definedName name="HEURE.3">TABLEAU!$C$110</definedName>
    <definedName name="HEURE.4">TABLEAU!$C$116</definedName>
    <definedName name="HEURE.5">TABLEAU!$C$122</definedName>
    <definedName name="HEURE.CHAMPIONS.LEAGUE">TABLEAU!$N$25</definedName>
    <definedName name="HEURE.CONFEDERATIONS">TABLEAU!$N$20</definedName>
    <definedName name="HEURE.CONFEDERATIONS.VERIFIER">TABLEAU!$F$20</definedName>
    <definedName name="HEURE.COUPE.FRANCE">TABLEAU!$N$21</definedName>
    <definedName name="HEURE.COUPE.LIGUE">TABLEAU!$N$22</definedName>
    <definedName name="HEURE.DE.LA.TV">TABLEAU!$D$15</definedName>
    <definedName name="HEURE.DU.RDV">TABLEAU!$D$16</definedName>
    <definedName name="HEURE.ENVIE.1">TABLEAU!$AR$14</definedName>
    <definedName name="HEURE.ENVIE.2">TABLEAU!$AR$16</definedName>
    <definedName name="HEURE.EURO">TABLEAU!$N$23</definedName>
    <definedName name="HEURE.EURO.VERIFIER">TABLEAU!$F$23</definedName>
    <definedName name="HEURE.F1">TABLEAU!$N$24</definedName>
    <definedName name="HEURE.FRANCE">TABLEAU!$N$21</definedName>
    <definedName name="HEURE.FRANCE.VERIFIER">TABLEAU!$F$21</definedName>
    <definedName name="HEURE.GP">TABLEAU!$D$10</definedName>
    <definedName name="HEURE.GP.VERIFIER">TABLEAU!$F$24</definedName>
    <definedName name="HEURE.L1">TABLEAU!$N$19</definedName>
    <definedName name="HEURE.L1.VERIFIER">TABLEAU!$F$19</definedName>
    <definedName name="HEURE.LDC">TABLEAU!$N$25</definedName>
    <definedName name="HEURE.LDC.VERIFIER">TABLEAU!$F$25</definedName>
    <definedName name="HEURE.LIGUE">TABLEAU!$N$22</definedName>
    <definedName name="HEURE.LIGUE.VERIFIER">TABLEAU!$F$22</definedName>
    <definedName name="HEURE.MAINTENANT">TABLEAU!$L$9</definedName>
    <definedName name="HEURE.MAINTENANT.2">TABLEAU!$K$13</definedName>
    <definedName name="HEURE.MONDIAL">TABLEAU!$N$26</definedName>
    <definedName name="HEURE.MONDIAL.VERIFIER">TABLEAU!$F$26</definedName>
    <definedName name="HEURE.RDV">TABLEAU!$S$84</definedName>
    <definedName name="HEURE.RDV1">TABLEAU!$A$84</definedName>
    <definedName name="HEURE.RDV2">TABLEAU!$A$85</definedName>
    <definedName name="HEURE.RDV3">TABLEAU!$A$86</definedName>
    <definedName name="HEURE.RDV4">TABLEAU!$A$87</definedName>
    <definedName name="HEURE.UEFA">TABLEAU!$N$27</definedName>
    <definedName name="HEURE.UEFA.VERIFIER">TABLEAU!$F$27</definedName>
    <definedName name="HJK">TABLEAU!$AB$12</definedName>
    <definedName name="HORAIRE">TABLEAU!$G$18:$J$32</definedName>
    <definedName name="J">TABLEAU!$A$2</definedName>
    <definedName name="JEUDI">TABLEAU!$B$67:$F$70</definedName>
    <definedName name="JEUDI.1">TABLEAU!$D$67</definedName>
    <definedName name="JEUDI.1.TV">TABLEAU!$G$14</definedName>
    <definedName name="JEUDI.2">TABLEAU!$D$68</definedName>
    <definedName name="JEUDI.2.TV">TABLEAU!$G$15</definedName>
    <definedName name="JEUDI.3">TABLEAU!$D$69</definedName>
    <definedName name="JEUDI.3.TV">TABLEAU!$G$16</definedName>
    <definedName name="JEUDI.4">TABLEAU!$D$70</definedName>
    <definedName name="JEUDI.4.TV">TABLEAU!$G$17</definedName>
    <definedName name="JEUDI.DANS">TABLEAU!$T$69</definedName>
    <definedName name="JEUDI.DATE">TABLEAU!$T$67</definedName>
    <definedName name="JEUDI.HEURE.1">TABLEAU!$E$91</definedName>
    <definedName name="JEUDI.HEURE.2">TABLEAU!$E$92</definedName>
    <definedName name="JEUDI.HEURE.3">TABLEAU!$E$93</definedName>
    <definedName name="JEUDI.HEURE.4">TABLEAU!$E$94</definedName>
    <definedName name="JEUDI.PROG.1">TABLEAU!$E$84</definedName>
    <definedName name="JEUDI.PROG.2">TABLEAU!$E$85</definedName>
    <definedName name="JEUDI.PROG.3">TABLEAU!$E$86</definedName>
    <definedName name="JEUDI.PROG.4">TABLEAU!$E$87</definedName>
    <definedName name="JEUDI.PROG.RESTE">TABLEAU!$AN$40</definedName>
    <definedName name="JEUDI.TV">TABLEAU!$B$67:$B$70</definedName>
    <definedName name="JEUDI.TV.1">TABLEAU!$B$67</definedName>
    <definedName name="JEUDI.TV.2">TABLEAU!$B$68</definedName>
    <definedName name="JEUDI.TV.3">TABLEAU!$B$69</definedName>
    <definedName name="JEUDI.TV.4">TABLEAU!$B$70</definedName>
    <definedName name="JEUDI.VERIFIER">TABLEAU!$AD$67</definedName>
    <definedName name="JH">TABLEAU!$Y$48</definedName>
    <definedName name="JOUR">TABLEAU!$L$12</definedName>
    <definedName name="JOUR.ATTEINDRE">TABLEAU!$A$55:$A$86</definedName>
    <definedName name="JOUR.CONFEDERATIONS">TABLEAU!$C$9</definedName>
    <definedName name="JOUR.COUPE.FRANCE">TABLEAU!$C$5</definedName>
    <definedName name="JOUR.COUPE.LIGUE">TABLEAU!$C$6</definedName>
    <definedName name="JOUR.EURO">TABLEAU!$C$8</definedName>
    <definedName name="JOUR.FRANCE">TABLEAU!$C$5</definedName>
    <definedName name="JOUR.GP">TABLEAU!$C$10</definedName>
    <definedName name="JOUR.HEURE">TABLEAU!$W$42</definedName>
    <definedName name="JOUR.HEURE.2">TABLEAU!$M$11</definedName>
    <definedName name="JOUR.L1">TABLEAU!$C$2</definedName>
    <definedName name="JOUR.LDC">TABLEAU!$C$3</definedName>
    <definedName name="JOUR.LIGUE">TABLEAU!$C$6</definedName>
    <definedName name="JOUR.MONDIAL">TABLEAU!$C$7</definedName>
    <definedName name="JOUR.NUIT">TABLEAU!$B$20</definedName>
    <definedName name="JOUR.PLUS">TABLEAU!$P$83</definedName>
    <definedName name="JOUR.SEMAINE">TABLEAU!$I$2:$K$8</definedName>
    <definedName name="JOUR.UEFA">TABLEAU!$C$4</definedName>
    <definedName name="KLM">TABLEAU!$AB$9</definedName>
    <definedName name="L1.DEP">TABLEAU!$W$19</definedName>
    <definedName name="LDC.1">TABLEAU!$W$176</definedName>
    <definedName name="LDC.2">TABLEAU!$AA$176</definedName>
    <definedName name="LDC.DEP">TABLEAU!$W$25</definedName>
    <definedName name="LIGUE.DEP">TABLEAU!$W$22</definedName>
    <definedName name="LKJ">TABLEAU!$L$2</definedName>
    <definedName name="LUNDI">TABLEAU!$B$55:$F$58</definedName>
    <definedName name="LUNDI.1">TABLEAU!$D$55</definedName>
    <definedName name="LUNDI.1.TV">TABLEAU!$G$2</definedName>
    <definedName name="LUNDI.2">TABLEAU!$D$56</definedName>
    <definedName name="LUNDI.2.TV">TABLEAU!$G$3</definedName>
    <definedName name="LUNDI.3">TABLEAU!$D$57</definedName>
    <definedName name="LUNDI.3.TV">TABLEAU!$G$4</definedName>
    <definedName name="LUNDI.4">TABLEAU!$D$58</definedName>
    <definedName name="LUNDI.4.TV">TABLEAU!$G$5</definedName>
    <definedName name="LUNDI.DANS">TABLEAU!$T$57</definedName>
    <definedName name="LUNDI.DATE">TABLEAU!$T$55</definedName>
    <definedName name="LUNDI.HEURE.1">TABLEAU!$B$91</definedName>
    <definedName name="LUNDI.HEURE.2">TABLEAU!$B$92</definedName>
    <definedName name="LUNDI.HEURE.3">TABLEAU!$B$93</definedName>
    <definedName name="LUNDI.HEURE.4">TABLEAU!$B$94</definedName>
    <definedName name="LUNDI.PROG.1">TABLEAU!$B$84</definedName>
    <definedName name="LUNDI.PROG.2">TABLEAU!$B$85</definedName>
    <definedName name="LUNDI.PROG.3">TABLEAU!$B$86</definedName>
    <definedName name="LUNDI.PROG.4">TABLEAU!$B$87</definedName>
    <definedName name="LUNDI.PROG.RESTE">TABLEAU!$AN$34</definedName>
    <definedName name="LUNDI.TV">TABLEAU!$B$55:$B$58</definedName>
    <definedName name="LUNDI.TV.1">TABLEAU!$B$55</definedName>
    <definedName name="LUNDI.TV.2">TABLEAU!$B$56</definedName>
    <definedName name="LUNDI.TV.3">TABLEAU!$B$57</definedName>
    <definedName name="LUNDI.TV.4">TABLEAU!$B$58</definedName>
    <definedName name="LUNDI.VERIFIER">TABLEAU!$AD$55</definedName>
    <definedName name="M">TABLEAU!$L$9</definedName>
    <definedName name="MACRO.A1" xlm="1" functionGroupId="14">MACRO!$B$14</definedName>
    <definedName name="MACRO.CHERCHE.FICHIER.A.MODIFIER" xlm="1" functionGroupId="14">MACRO!$A$2</definedName>
    <definedName name="MACRO.CHERCHE.FIN.A.MODIFIER" xlm="1" functionGroupId="14">MACRO!$A$44</definedName>
    <definedName name="MACRO.DEVEROUILLE" xlm="1" functionGroupId="14">MACRO!$B$19</definedName>
    <definedName name="MACRO.ECRIRE.CONFEDERATIONS" xlm="1" functionGroupId="14">MACRO!$B$39</definedName>
    <definedName name="MACRO.ECRIRE.COUPE.FRANCE" xlm="1" functionGroupId="14">MACRO!$A$34</definedName>
    <definedName name="MACRO.ECRIRE.COUPE.LIGUE" xlm="1" functionGroupId="14">MACRO!$A$39</definedName>
    <definedName name="MACRO.ECRIRE.EURO" xlm="1" functionGroupId="14">MACRO!$B$34</definedName>
    <definedName name="MACRO.ECRIRE.FORMULE1" xlm="1" functionGroupId="14">MACRO!$B$24</definedName>
    <definedName name="MACRO.ECRIRE.L1" xlm="1" functionGroupId="14">MACRO!$A$19</definedName>
    <definedName name="MACRO.ECRIRE.LDC" xlm="1" functionGroupId="14">MACRO!$A$24</definedName>
    <definedName name="MACRO.ECRIRE.MONDIAL" xlm="1" functionGroupId="14">MACRO!$B$29</definedName>
    <definedName name="MACRO.ECRIRE.UEFA" xlm="1" functionGroupId="14">MACRO!$A$29</definedName>
    <definedName name="MACRO.EFFACE.PROGRAMME" xlm="1" functionGroupId="14">MACRO!$A$82</definedName>
    <definedName name="MACRO.EFFACE.TV" xlm="1" functionGroupId="14">MACRO!$B$79</definedName>
    <definedName name="MACRO.EFFACE.TV.A1" xlm="1" functionGroupId="14">MACRO!$B$61</definedName>
    <definedName name="MACRO.VER.JUSTE.OU.FAUX" xlm="1" functionGroupId="14">MACRO!$A$61</definedName>
    <definedName name="MAINTENANT">TABLEAU!$K$10</definedName>
    <definedName name="MAJ">TABLEAU!$A$194</definedName>
    <definedName name="MARDI">TABLEAU!$B$59:$F$62</definedName>
    <definedName name="MARDI.1">TABLEAU!$D$59</definedName>
    <definedName name="MARDI.1.TV">TABLEAU!$G$6</definedName>
    <definedName name="MARDI.2">TABLEAU!$D$60</definedName>
    <definedName name="MARDI.2.TV">TABLEAU!$G$7</definedName>
    <definedName name="MARDI.3">TABLEAU!$D$61</definedName>
    <definedName name="MARDI.3.TV">TABLEAU!$G$8</definedName>
    <definedName name="MARDI.4">TABLEAU!$D$62</definedName>
    <definedName name="MARDI.4.TV">TABLEAU!$G$9</definedName>
    <definedName name="MARDI.DANS">TABLEAU!$T$61</definedName>
    <definedName name="MARDI.DATE">TABLEAU!$T$59</definedName>
    <definedName name="MARDI.HEURE.1">TABLEAU!$C$91</definedName>
    <definedName name="MARDI.HEURE.2">TABLEAU!$C$92</definedName>
    <definedName name="MARDI.HEURE.3">TABLEAU!$C$93</definedName>
    <definedName name="MARDI.HEURE.4">TABLEAU!$C$94</definedName>
    <definedName name="MARDI.PROG.1">TABLEAU!$C$84</definedName>
    <definedName name="MARDI.PROG.2">TABLEAU!$C$85</definedName>
    <definedName name="MARDI.PROG.3">TABLEAU!$C$86</definedName>
    <definedName name="MARDI.PROG.4">TABLEAU!$C$87</definedName>
    <definedName name="MARDI.PROG.RESTE">TABLEAU!$AN$36</definedName>
    <definedName name="MARDI.TV">TABLEAU!$B$59:$B$62</definedName>
    <definedName name="MARDI.TV.1">TABLEAU!$B$59</definedName>
    <definedName name="MARDI.TV.2">TABLEAU!$B$60</definedName>
    <definedName name="MARDI.TV.3">TABLEAU!$B$61</definedName>
    <definedName name="MARDI.TV.4">TABLEAU!$B$62</definedName>
    <definedName name="MARDI.VERIFIER">TABLEAU!$AD$59</definedName>
    <definedName name="MEDOC">TABLEAU!$I$232</definedName>
    <definedName name="MEDOC.ATTEINDRE">TABLEAU!$B$232:$E$234</definedName>
    <definedName name="MEDOC.EFFACE">TABLEAU!$E$232:$E$234</definedName>
    <definedName name="MERCREDI">TABLEAU!$B$63:$F$66</definedName>
    <definedName name="MERCREDI.1">TABLEAU!$D$63</definedName>
    <definedName name="MERCREDI.1.TV">TABLEAU!$G$10</definedName>
    <definedName name="MERCREDI.2">TABLEAU!$D$64</definedName>
    <definedName name="MERCREDI.2.TV">TABLEAU!$G$11</definedName>
    <definedName name="MERCREDI.3">TABLEAU!$D$65</definedName>
    <definedName name="MERCREDI.3.TV">TABLEAU!$G$12</definedName>
    <definedName name="MERCREDI.4">TABLEAU!$D$66</definedName>
    <definedName name="MERCREDI.4.TV">TABLEAU!$G$13</definedName>
    <definedName name="MERCREDI.DANS">TABLEAU!$T$65</definedName>
    <definedName name="MERCREDI.DATE">TABLEAU!$T$63</definedName>
    <definedName name="MERCREDI.HEURE.1">TABLEAU!$D$91</definedName>
    <definedName name="MERCREDI.HEURE.2">TABLEAU!$D$92</definedName>
    <definedName name="MERCREDI.HEURE.3">TABLEAU!$D$93</definedName>
    <definedName name="MERCREDI.HEURE.4">TABLEAU!$D$94</definedName>
    <definedName name="MERCREDI.PROG.1">TABLEAU!$D$84</definedName>
    <definedName name="MERCREDI.PROG.2">TABLEAU!$D$85</definedName>
    <definedName name="MERCREDI.PROG.3">TABLEAU!$D$86</definedName>
    <definedName name="MERCREDI.PROG.4">TABLEAU!$D$87</definedName>
    <definedName name="MERCREDI.PROG.RESTE">TABLEAU!$AN$38</definedName>
    <definedName name="MERCREDI.TV">TABLEAU!$B$63:$B$66</definedName>
    <definedName name="MERCREDI.TV.1">TABLEAU!$B$63</definedName>
    <definedName name="MERCREDI.TV.2">TABLEAU!$B$64</definedName>
    <definedName name="MERCREDI.TV.3">TABLEAU!$B$65</definedName>
    <definedName name="MERCREDI.TV.4">TABLEAU!$B$66</definedName>
    <definedName name="MERCREDI.VERIFIER">TABLEAU!$AD$63</definedName>
    <definedName name="MIN.1">TABLEAU!$F$103</definedName>
    <definedName name="MIN.2">TABLEAU!$F$109</definedName>
    <definedName name="MIN.3">TABLEAU!$F$115</definedName>
    <definedName name="MIN.4">TABLEAU!$F$127</definedName>
    <definedName name="MIN.DIF.1">TABLEAU!$C$103</definedName>
    <definedName name="MIN.DIF.2">TABLEAU!$C$109</definedName>
    <definedName name="MIN.DIF.3">TABLEAU!$C$115</definedName>
    <definedName name="MIN.DIF.4">TABLEAU!$C$121</definedName>
    <definedName name="MIN.DIF.5">TABLEAU!$C$127</definedName>
    <definedName name="MIN.DIFFERENCE.1">TABLEAU!$D$101</definedName>
    <definedName name="MIN.DIFFERENCE.2">TABLEAU!$D$107</definedName>
    <definedName name="MIN.DIFFERENCE.3">TABLEAU!$D$113</definedName>
    <definedName name="MIN.DIFFERENCE.4">TABLEAU!$D$119</definedName>
    <definedName name="MIN.DIFFERENCE.5">TABLEAU!$D$125</definedName>
    <definedName name="MINU.1">TABLEAU!$F$100</definedName>
    <definedName name="MINU.2">TABLEAU!$F$106</definedName>
    <definedName name="MINU.3">TABLEAU!$F$112</definedName>
    <definedName name="MINU.4">TABLEAU!$F$118</definedName>
    <definedName name="MINU.5">TABLEAU!$F$124</definedName>
    <definedName name="MLK">TABLEAU!$AB$1</definedName>
    <definedName name="MODIF">TABLEAU!$AM$18</definedName>
    <definedName name="MODIF.2">TABLEAU!$AM$43</definedName>
    <definedName name="MOIS">TABLEAU!$I$2:$J$13</definedName>
    <definedName name="MOIS.2">TABLEAU!$I$2:$J$13</definedName>
    <definedName name="MOIS.MAINTENANT">TABLEAU!$M$9</definedName>
    <definedName name="MOIS.MAINTENANT.2">TABLEAU!$N$9</definedName>
    <definedName name="MONDIAL.DEP">TABLEAU!$W$26</definedName>
    <definedName name="MP">TABLEAU!$AD$1</definedName>
    <definedName name="NBA">TABLEAU!$AB$5</definedName>
    <definedName name="NBR.DEP">TABLEAU!$A$197</definedName>
    <definedName name="NBR.RDV">TABLEAU!$Y$29</definedName>
    <definedName name="NBR.RDV.DEPAS">TABLEAU!$AA$49</definedName>
    <definedName name="NBR.TV">TABLEAU!$Y$18</definedName>
    <definedName name="NBR.TV.DEP">TABLEAU!$AK$54</definedName>
    <definedName name="NBR.TV.DEPAS">TABLEAU!$AA$128</definedName>
    <definedName name="NOEL">TABLEAU!$E$223</definedName>
    <definedName name="NOMBRE.RDV">TABLEAU!$F$48</definedName>
    <definedName name="PAQUES">TABLEAU!$C$208</definedName>
    <definedName name="PHRASE">TABLEAU!$Y$2</definedName>
    <definedName name="PHRASE.2">TABLEAU!$A$186</definedName>
    <definedName name="PHRASE.3">TABLEAU!$AM$35</definedName>
    <definedName name="PHRASE.4">TABLEAU!$AL$2</definedName>
    <definedName name="PHRASE.COPIER">TABLEAU!$A$7</definedName>
    <definedName name="PHRASE.RDV.1">TABLEAU!$D$99</definedName>
    <definedName name="PHRASE.RDV.2">TABLEAU!$D$105</definedName>
    <definedName name="PHRASE.RDV.3">TABLEAU!$D$111</definedName>
    <definedName name="PHRASE.RDV.4">TABLEAU!$D$117</definedName>
    <definedName name="PHRASE.RDV.5">TABLEAU!$D$123</definedName>
    <definedName name="PHRASE.SUITE">TABLEAU!$W$2</definedName>
    <definedName name="PHRASES">TABLEAU!$A$143:$F$175</definedName>
    <definedName name="PLUS">TABLEAU!$M$83</definedName>
    <definedName name="PLUS.TV">TABLEAU!$W$85</definedName>
    <definedName name="PROCHAIN.1">TABLEAU!$H$49</definedName>
    <definedName name="PROCHAIN.2">TABLEAU!$H$50</definedName>
    <definedName name="PROCHAIN.3">TABLEAU!$H$51</definedName>
    <definedName name="PROCHAIN.4">TABLEAU!$H$52</definedName>
    <definedName name="PROCHAIN.5">TABLEAU!$H$53</definedName>
    <definedName name="PROG.DEP">TABLEAU!$A$199</definedName>
    <definedName name="PROG.DIMANCHE">TABLEAU!$K$84:$K$90</definedName>
    <definedName name="PROG.JEUDI">TABLEAU!$E$84:$E$90</definedName>
    <definedName name="PROG.LUNDI">TABLEAU!$B$84:$B$90</definedName>
    <definedName name="PROG.MARDI">TABLEAU!$C$84:$C$90</definedName>
    <definedName name="PROG.MERCREDI">TABLEAU!$D$84:$D$90</definedName>
    <definedName name="PROG.SAMEDI">TABLEAU!$J$84:$J$90</definedName>
    <definedName name="PROG.VENDREDI">TABLEAU!$I$84:$I$90</definedName>
    <definedName name="PROGRAMME">TABLEAU!$U$34:$U$40</definedName>
    <definedName name="PROGRAMME.ATTEINDRE">TABLEAU!$P$33:$U$47</definedName>
    <definedName name="PROGRAMME.JOUR">TABLEAU!$A$3</definedName>
    <definedName name="PROGRAMMES">TABLEAU!$B$55:$V$82</definedName>
    <definedName name="PROGRAMMES.DEP">TABLEAU!$AR$18</definedName>
    <definedName name="PROGRAMMES.DEPASSE.2">TABLEAU!$AF$197</definedName>
    <definedName name="Q">TABLEAU!$I$176</definedName>
    <definedName name="QQ">TABLEAU!$B$176</definedName>
    <definedName name="QSD">TABLEAU!$W$1</definedName>
    <definedName name="RDV">TABLEAU!$C$49:$G$53</definedName>
    <definedName name="RDV.1">TABLEAU!$E$102</definedName>
    <definedName name="RDV.1.DATE">TABLEAU!$C$49</definedName>
    <definedName name="RDV.1.HEURE">TABLEAU!$D$49</definedName>
    <definedName name="RDV.1.MIN">TABLEAU!$B$101</definedName>
    <definedName name="RDV.2">TABLEAU!$E$108</definedName>
    <definedName name="RDV.2.DATE">TABLEAU!$C$50</definedName>
    <definedName name="RDV.2.HEURE">TABLEAU!$D$50</definedName>
    <definedName name="RDV.2.MIN">TABLEAU!$B$107</definedName>
    <definedName name="RDV.3">TABLEAU!$E$114</definedName>
    <definedName name="RDV.3.DATE">TABLEAU!$C$51</definedName>
    <definedName name="RDV.3.HEURE">TABLEAU!$D$51</definedName>
    <definedName name="RDV.3.MIN">TABLEAU!$B$113</definedName>
    <definedName name="RDV.4">TABLEAU!$E$120</definedName>
    <definedName name="RDV.4.DATE">TABLEAU!$C$52</definedName>
    <definedName name="RDV.4.HEURE">TABLEAU!$D$52</definedName>
    <definedName name="RDV.4.MIN">TABLEAU!$B$119</definedName>
    <definedName name="RDV.5">TABLEAU!$E$126</definedName>
    <definedName name="RDV.5.DATE">TABLEAU!$C$53</definedName>
    <definedName name="RDV.5.HEURE">TABLEAU!$D$53</definedName>
    <definedName name="RDV.5.MIN">TABLEAU!$B$125</definedName>
    <definedName name="RDV.ATTEINDRE">TABLEAU!$B$48:$E$53</definedName>
    <definedName name="RDV.DEP">TABLEAU!$S$102</definedName>
    <definedName name="RDV.DEPAS">TABLEAU!$W$84</definedName>
    <definedName name="RDV.DEPASSE">TABLEAU!$W$48</definedName>
    <definedName name="RDV.SUITE">TABLEAU!$I$48</definedName>
    <definedName name="RDV.TABLEAU">TABLEAU!$D$98:$E$121</definedName>
    <definedName name="RDV.TRI">TABLEAU!$A$49:$H$53</definedName>
    <definedName name="RDV.TV">TABLEAU!$Y$29</definedName>
    <definedName name="RDV.TV.COPIER">TABLEAU!$B$48:$W$53</definedName>
    <definedName name="RDV.VERIFIER">TABLEAU!$B$230</definedName>
    <definedName name="RDV2.1">TABLEAU!$D$102</definedName>
    <definedName name="RDV2.2">TABLEAU!$D$108</definedName>
    <definedName name="RDV2.3">TABLEAU!$D$114</definedName>
    <definedName name="RDV2.4">TABLEAU!$D$120</definedName>
    <definedName name="RDV2.5">TABLEAU!$D$126</definedName>
    <definedName name="RECAP">ATTEINDRE!$A$3:$C$27</definedName>
    <definedName name="RECAPITULATIF">TABLEAU!$A$2:$C$32</definedName>
    <definedName name="REDUITE">TABLEAU!$I$2:$N$8</definedName>
    <definedName name="RESULT">TABLEAU!$B$23</definedName>
    <definedName name="SAMEDI">TABLEAU!$B$75:$F$78</definedName>
    <definedName name="SAMEDI.1">TABLEAU!$D$75</definedName>
    <definedName name="SAMEDI.1.TV">TABLEAU!$G$22</definedName>
    <definedName name="SAMEDI.2">TABLEAU!$D$76</definedName>
    <definedName name="SAMEDI.2.TV">TABLEAU!$G$23</definedName>
    <definedName name="SAMEDI.3">TABLEAU!$D$77</definedName>
    <definedName name="SAMEDI.3.TV">TABLEAU!$G$24</definedName>
    <definedName name="SAMEDI.4">TABLEAU!$D$78</definedName>
    <definedName name="SAMEDI.4.TV">TABLEAU!$G$25</definedName>
    <definedName name="SAMEDI.DANS">TABLEAU!$T$77</definedName>
    <definedName name="SAMEDI.DATE">TABLEAU!$T$75</definedName>
    <definedName name="SAMEDI.HEURE.1">TABLEAU!$J$91</definedName>
    <definedName name="SAMEDI.HEURE.2">TABLEAU!$J$92</definedName>
    <definedName name="SAMEDI.HEURE.3">TABLEAU!$J$93</definedName>
    <definedName name="SAMEDI.HEURE.4">TABLEAU!$J$94</definedName>
    <definedName name="SAMEDI.PROG.1">TABLEAU!$J$84</definedName>
    <definedName name="SAMEDI.PROG.2">TABLEAU!$J$85</definedName>
    <definedName name="SAMEDI.PROG.3">TABLEAU!$J$86</definedName>
    <definedName name="SAMEDI.PROG.4">TABLEAU!$J$87</definedName>
    <definedName name="SAMEDI.PROG.RESTE">TABLEAU!$AN$44</definedName>
    <definedName name="SAMEDI.TV">TABLEAU!$B$75:$B$78</definedName>
    <definedName name="SAMEDI.TV.1">TABLEAU!$B$75</definedName>
    <definedName name="SAMEDI.TV.2">TABLEAU!$B$76</definedName>
    <definedName name="SAMEDI.TV.3">TABLEAU!$B$77</definedName>
    <definedName name="SAMEDI.TV.4">TABLEAU!$B$78</definedName>
    <definedName name="SAMEDI.VERIFIER">TABLEAU!$AD$75</definedName>
    <definedName name="SEM">TABLEAU!$E$33:$E$41</definedName>
    <definedName name="SEMAINE">TABLEAU!$I$2:$K$8</definedName>
    <definedName name="SEMAINE.REDUITE">TABLEAU!$I$2:$N$8</definedName>
    <definedName name="SOMME.EN.EURO">TABLEAU!$B$177</definedName>
    <definedName name="SOMME.EN.FRANCS">TABLEAU!$B$187</definedName>
    <definedName name="TABAC">TABLEAU!$I$225</definedName>
    <definedName name="TABLEAU">TABLEAU!$B$143:$E$175</definedName>
    <definedName name="TAUX.EURO">TABLEAU!$A$21</definedName>
    <definedName name="TELE">TABLEAU!$B$54:$E$82</definedName>
    <definedName name="TELE.2">TABLEAU!$Y$34:$Y$40</definedName>
    <definedName name="TELE.JOUR">TABLEAU!$U$34:$U$40</definedName>
    <definedName name="TEMPS">TABLEAU!$P$46</definedName>
    <definedName name="TEMPS.1">TABLEAU!$I$102</definedName>
    <definedName name="TEMPS.2">TABLEAU!$I$103</definedName>
    <definedName name="TEMPS.3">TABLEAU!$I$104</definedName>
    <definedName name="TEMPS.4">TABLEAU!$I$105</definedName>
    <definedName name="TODAY">TABLEAU!$A$17</definedName>
    <definedName name="TODAY.RDV">TABLEAU!$A$48</definedName>
    <definedName name="TODAY.TV">TABLEAU!$A$45</definedName>
    <definedName name="TRI.99">TABLEAU!$A$132:$O$142</definedName>
    <definedName name="TRI.ATTEINDRE">TABLEAU!$B$33:$F$47</definedName>
    <definedName name="TRI.ESSAI">TABLEAU!$D$11:$E$14</definedName>
    <definedName name="TRI.RDV.3">TABLEAU!$C$49:$H$53</definedName>
    <definedName name="TTT">TABLEAU!$AA$143</definedName>
    <definedName name="TV">TABLEAU!$B$25</definedName>
    <definedName name="TV.COLLER">TABLEAU!$B$55:$B$82</definedName>
    <definedName name="TV.COPIER">TABLEAU!$A$54</definedName>
    <definedName name="TV.DEP">TABLEAU!$AF$54</definedName>
    <definedName name="TV.DEPAS">TABLEAU!$AF$132</definedName>
    <definedName name="TV.DEPASSE">TABLEAU!$AA$14</definedName>
    <definedName name="TV.SUITE">TABLEAU!$Y$46</definedName>
    <definedName name="TV.VERIFIER">TABLEAU!$B$231</definedName>
    <definedName name="TV.VIDE">TABLEAU!$B$11:$B$14</definedName>
    <definedName name="TYPE">TABLEAU!$W$100:$X$108</definedName>
    <definedName name="TYPE.1">TABLEAU!$E$49</definedName>
    <definedName name="TYPE.2">TABLEAU!$E$50</definedName>
    <definedName name="TYPE.3">TABLEAU!$E$51</definedName>
    <definedName name="TYPE.4">TABLEAU!$E$52</definedName>
    <definedName name="TYPE.5">TABLEAU!$E$53</definedName>
    <definedName name="UEFA.DEP">TABLEAU!$W$27</definedName>
    <definedName name="VENDREDI">TABLEAU!$B$71:$F$74</definedName>
    <definedName name="VENDREDI.1">TABLEAU!$D$71</definedName>
    <definedName name="VENDREDI.1.TV">TABLEAU!$G$18</definedName>
    <definedName name="VENDREDI.2">TABLEAU!$D$72</definedName>
    <definedName name="VENDREDI.2.TV">TABLEAU!$G$19</definedName>
    <definedName name="VENDREDI.3">TABLEAU!$D$73</definedName>
    <definedName name="VENDREDI.3.TV">TABLEAU!$G$20</definedName>
    <definedName name="VENDREDI.4">TABLEAU!$D$74</definedName>
    <definedName name="VENDREDI.4.TV">TABLEAU!$G$21</definedName>
    <definedName name="VENDREDI.DANS">TABLEAU!$T$73</definedName>
    <definedName name="VENDREDI.DATE">TABLEAU!$T$71</definedName>
    <definedName name="VENDREDI.HEURE.1">TABLEAU!$I$91</definedName>
    <definedName name="VENDREDI.HEURE.2">TABLEAU!$I$92</definedName>
    <definedName name="VENDREDI.HEURE.3">TABLEAU!$I$93</definedName>
    <definedName name="VENDREDI.HEURE.4">TABLEAU!$I$94</definedName>
    <definedName name="VENDREDI.PROG.1">TABLEAU!$I$84</definedName>
    <definedName name="VENDREDI.PROG.2">TABLEAU!$I$85</definedName>
    <definedName name="VENDREDI.PROG.3">TABLEAU!$I$86</definedName>
    <definedName name="VENDREDI.PROG.4">TABLEAU!$I$87</definedName>
    <definedName name="VENDREDI.PROG.RESTE">TABLEAU!$AN$42</definedName>
    <definedName name="VENDREDI.TV">TABLEAU!$B$71:$B$74</definedName>
    <definedName name="VENDREDI.TV.1">TABLEAU!$B$71</definedName>
    <definedName name="VENDREDI.TV.2">TABLEAU!$B$72</definedName>
    <definedName name="VENDREDI.TV.3">TABLEAU!$B$73</definedName>
    <definedName name="VENDREDI.TV.4">TABLEAU!$B$74</definedName>
    <definedName name="VENDREDI.VERIFIER">TABLEAU!$AD$71</definedName>
    <definedName name="VER">TABLEAU!$Z$9</definedName>
    <definedName name="VER.2">MACRO!$B$57:$B$58</definedName>
    <definedName name="VER.99">TABLEAU!$E$198</definedName>
    <definedName name="VER.COL">TABLEAU!$A$5</definedName>
    <definedName name="VER.COP">TABLEAU!$A$4</definedName>
    <definedName name="VER.JUSTE.FAUX">TABLEAU!$A$203</definedName>
    <definedName name="VERIF">TABLEAU!$AZ$18</definedName>
    <definedName name="VERIF.RESULTATS">TABLEAU!$P$42</definedName>
    <definedName name="VERIF.TOTAL">TABLEAU!$P$33:$V$47</definedName>
    <definedName name="WWE">TABLEAU!$AN$3</definedName>
    <definedName name="WWW">TABLEAU!$A$1</definedName>
    <definedName name="X">TABLEAU!$B$143</definedName>
    <definedName name="XXX">TABLEAU!$D$227</definedName>
    <definedName name="Z_05D8EECC_E6E8_4C09_A97D_055BD3B13D35_.wvu.PrintArea" localSheetId="3" hidden="1">MACRO!#REF!</definedName>
    <definedName name="_xlnm.Print_Area" localSheetId="1">ATTEINDRE!$A$2:$C$27</definedName>
    <definedName name="_xlnm.Print_Area" localSheetId="2">SUITE!$A$2:$C$20</definedName>
    <definedName name="_xlnm.Print_Area" localSheetId="0">TABLEAU!$B$2:$F$32</definedName>
  </definedNames>
  <calcPr calcId="125725" iterateCount="3" iterateDelta="2.0009999999999999"/>
</workbook>
</file>

<file path=xl/calcChain.xml><?xml version="1.0" encoding="utf-8"?>
<calcChain xmlns="http://schemas.openxmlformats.org/spreadsheetml/2006/main">
  <c r="B143" i="1"/>
  <c r="E82"/>
  <c r="E81"/>
  <c r="E80"/>
  <c r="E77"/>
  <c r="E74"/>
  <c r="E72"/>
  <c r="E71"/>
  <c r="E69"/>
  <c r="E68"/>
  <c r="E67"/>
  <c r="E65"/>
  <c r="E64"/>
  <c r="E63"/>
  <c r="E61"/>
  <c r="E60"/>
  <c r="E59"/>
  <c r="E57"/>
  <c r="E56"/>
  <c r="E55"/>
  <c r="A210" l="1"/>
  <c r="N24"/>
  <c r="D10"/>
  <c r="C10"/>
  <c r="O1"/>
  <c r="W176"/>
  <c r="N25"/>
  <c r="D3"/>
  <c r="C3"/>
  <c r="D1"/>
  <c r="N23"/>
  <c r="D8"/>
  <c r="C8"/>
  <c r="N26"/>
  <c r="D7"/>
  <c r="C7"/>
  <c r="N22"/>
  <c r="D6"/>
  <c r="C6"/>
  <c r="N21"/>
  <c r="D5"/>
  <c r="C5"/>
  <c r="N27"/>
  <c r="D4"/>
  <c r="C4"/>
  <c r="A141"/>
  <c r="A134"/>
  <c r="E49"/>
  <c r="D49"/>
  <c r="C49"/>
  <c r="AL161"/>
  <c r="P53"/>
  <c r="P52"/>
  <c r="P51"/>
  <c r="P50"/>
  <c r="B53"/>
  <c r="B52"/>
  <c r="B51"/>
  <c r="B50"/>
  <c r="AO16"/>
  <c r="AS16" s="1"/>
  <c r="AO15"/>
  <c r="AO14"/>
  <c r="A226"/>
  <c r="N19"/>
  <c r="D2"/>
  <c r="C2"/>
  <c r="N20"/>
  <c r="D9"/>
  <c r="C9"/>
  <c r="AQ15" l="1"/>
  <c r="AQ16" l="1"/>
  <c r="O141"/>
  <c r="M141" s="1"/>
  <c r="F141"/>
  <c r="B149" l="1"/>
  <c r="A151"/>
  <c r="A147"/>
  <c r="B145"/>
  <c r="A157"/>
  <c r="A153"/>
  <c r="B157"/>
  <c r="B153"/>
  <c r="A161"/>
  <c r="B161"/>
  <c r="B165"/>
  <c r="A166"/>
  <c r="A174"/>
  <c r="A170"/>
  <c r="B174"/>
  <c r="B170"/>
  <c r="B150"/>
  <c r="B146"/>
  <c r="A148"/>
  <c r="A144"/>
  <c r="A158"/>
  <c r="A154"/>
  <c r="B158"/>
  <c r="B154"/>
  <c r="A162"/>
  <c r="B162"/>
  <c r="A164"/>
  <c r="A167"/>
  <c r="A175"/>
  <c r="A171"/>
  <c r="B175"/>
  <c r="B171"/>
  <c r="B151"/>
  <c r="B147"/>
  <c r="A149"/>
  <c r="A145"/>
  <c r="A159"/>
  <c r="A155"/>
  <c r="B159"/>
  <c r="B155"/>
  <c r="A163"/>
  <c r="B163"/>
  <c r="A165"/>
  <c r="B166"/>
  <c r="A172"/>
  <c r="A168"/>
  <c r="B172"/>
  <c r="B168"/>
  <c r="B148"/>
  <c r="A150"/>
  <c r="A146"/>
  <c r="B144"/>
  <c r="A156"/>
  <c r="A152"/>
  <c r="B156"/>
  <c r="B152"/>
  <c r="A160"/>
  <c r="B160"/>
  <c r="B164"/>
  <c r="B167"/>
  <c r="A173"/>
  <c r="A169"/>
  <c r="B173"/>
  <c r="B169"/>
  <c r="B233"/>
  <c r="A54" l="1"/>
  <c r="B234" l="1"/>
  <c r="B232"/>
  <c r="A176"/>
  <c r="P232" l="1"/>
  <c r="I232" s="1"/>
  <c r="G53"/>
  <c r="G52"/>
  <c r="G51"/>
  <c r="I216"/>
  <c r="S82"/>
  <c r="N82"/>
  <c r="S81"/>
  <c r="N81"/>
  <c r="S80"/>
  <c r="N80"/>
  <c r="S74"/>
  <c r="N74"/>
  <c r="S69"/>
  <c r="N69"/>
  <c r="X53"/>
  <c r="X51"/>
  <c r="E48"/>
  <c r="I18"/>
  <c r="A17"/>
  <c r="L13"/>
  <c r="L12"/>
  <c r="L10"/>
  <c r="N9"/>
  <c r="M9"/>
  <c r="K9"/>
  <c r="AB6"/>
  <c r="A2"/>
  <c r="D187"/>
  <c r="D177"/>
  <c r="AL18"/>
  <c r="C104"/>
  <c r="A142"/>
  <c r="M39"/>
  <c r="A136"/>
  <c r="X20"/>
  <c r="F19"/>
  <c r="AY15"/>
  <c r="M20"/>
  <c r="M26"/>
  <c r="M21"/>
  <c r="B226"/>
  <c r="K12"/>
  <c r="K11"/>
  <c r="M10"/>
  <c r="AT16" s="1"/>
  <c r="K10"/>
  <c r="B20" s="1"/>
  <c r="I176"/>
  <c r="AM10"/>
  <c r="K97"/>
  <c r="B97"/>
  <c r="K96"/>
  <c r="B96"/>
  <c r="J97"/>
  <c r="E97"/>
  <c r="J96"/>
  <c r="E96"/>
  <c r="J8"/>
  <c r="J7"/>
  <c r="K6"/>
  <c r="J2"/>
  <c r="B204"/>
  <c r="C122"/>
  <c r="D122" s="1"/>
  <c r="C116"/>
  <c r="C110"/>
  <c r="F110" s="1"/>
  <c r="D48"/>
  <c r="I25"/>
  <c r="I19"/>
  <c r="AA33" s="1"/>
  <c r="N18"/>
  <c r="J18"/>
  <c r="K2"/>
  <c r="P143"/>
  <c r="B122"/>
  <c r="D127" s="1"/>
  <c r="B116"/>
  <c r="E121" s="1"/>
  <c r="B110"/>
  <c r="D115" s="1"/>
  <c r="I97"/>
  <c r="D97"/>
  <c r="C97"/>
  <c r="I96"/>
  <c r="D96"/>
  <c r="C96"/>
  <c r="W82"/>
  <c r="F82"/>
  <c r="W81"/>
  <c r="F81"/>
  <c r="W80"/>
  <c r="F80"/>
  <c r="W78"/>
  <c r="F77"/>
  <c r="W74"/>
  <c r="F74"/>
  <c r="W72"/>
  <c r="F72"/>
  <c r="W71"/>
  <c r="F71"/>
  <c r="W69"/>
  <c r="F69"/>
  <c r="W68"/>
  <c r="F68"/>
  <c r="W67"/>
  <c r="F67"/>
  <c r="W65"/>
  <c r="F65"/>
  <c r="W64"/>
  <c r="F64"/>
  <c r="W63"/>
  <c r="F63"/>
  <c r="W61"/>
  <c r="F60"/>
  <c r="W59"/>
  <c r="F59"/>
  <c r="W57"/>
  <c r="F57"/>
  <c r="W56"/>
  <c r="F56"/>
  <c r="H53"/>
  <c r="H52"/>
  <c r="H51"/>
  <c r="I27"/>
  <c r="AA41" s="1"/>
  <c r="I24"/>
  <c r="AA38" s="1"/>
  <c r="I21"/>
  <c r="I20"/>
  <c r="AN13"/>
  <c r="AN10"/>
  <c r="AN9"/>
  <c r="AN7"/>
  <c r="J3"/>
  <c r="B227"/>
  <c r="C48"/>
  <c r="I26"/>
  <c r="AG26" s="1"/>
  <c r="I22"/>
  <c r="O18"/>
  <c r="M18"/>
  <c r="J13"/>
  <c r="AN11"/>
  <c r="AN8"/>
  <c r="K8"/>
  <c r="AB8" s="1"/>
  <c r="K7"/>
  <c r="AN6"/>
  <c r="K5"/>
  <c r="K4"/>
  <c r="K3"/>
  <c r="J11"/>
  <c r="AA40"/>
  <c r="AA39"/>
  <c r="AA36"/>
  <c r="AA35"/>
  <c r="AA34"/>
  <c r="AG27"/>
  <c r="AG25"/>
  <c r="AG22"/>
  <c r="AG21"/>
  <c r="AG19"/>
  <c r="J12"/>
  <c r="J10"/>
  <c r="AN15"/>
  <c r="J5"/>
  <c r="AN5"/>
  <c r="J9"/>
  <c r="C204"/>
  <c r="I23"/>
  <c r="AA37" s="1"/>
  <c r="AN12"/>
  <c r="J6"/>
  <c r="J4"/>
  <c r="P26" l="1"/>
  <c r="F142" s="1"/>
  <c r="P21"/>
  <c r="AU16"/>
  <c r="P20"/>
  <c r="AB5"/>
  <c r="N12"/>
  <c r="AL73" s="1"/>
  <c r="D216"/>
  <c r="AG23"/>
  <c r="H38"/>
  <c r="F49"/>
  <c r="K13"/>
  <c r="M11" s="1"/>
  <c r="H39"/>
  <c r="G49"/>
  <c r="G50"/>
  <c r="H35"/>
  <c r="AQ2"/>
  <c r="AF82"/>
  <c r="I80"/>
  <c r="AB7"/>
  <c r="H34"/>
  <c r="AO6"/>
  <c r="M41"/>
  <c r="H36"/>
  <c r="X26"/>
  <c r="AO8"/>
  <c r="AO9"/>
  <c r="AO13"/>
  <c r="M23"/>
  <c r="M27"/>
  <c r="H37"/>
  <c r="H41"/>
  <c r="AO7"/>
  <c r="AO10"/>
  <c r="AO12"/>
  <c r="F26"/>
  <c r="AO11"/>
  <c r="M22"/>
  <c r="H40"/>
  <c r="M25"/>
  <c r="M24"/>
  <c r="B104"/>
  <c r="C98"/>
  <c r="D98" s="1"/>
  <c r="E123"/>
  <c r="B123" s="1"/>
  <c r="D110"/>
  <c r="B98"/>
  <c r="D102" s="1"/>
  <c r="C101" s="1"/>
  <c r="A115"/>
  <c r="A20"/>
  <c r="A132"/>
  <c r="AB9"/>
  <c r="F111"/>
  <c r="A121"/>
  <c r="B119"/>
  <c r="E114"/>
  <c r="A51" s="1"/>
  <c r="Y51" s="1"/>
  <c r="B121"/>
  <c r="X50"/>
  <c r="E115"/>
  <c r="A127"/>
  <c r="AB2"/>
  <c r="R1"/>
  <c r="AB1"/>
  <c r="AB3"/>
  <c r="AB10"/>
  <c r="M12"/>
  <c r="AD1"/>
  <c r="AB4"/>
  <c r="C127"/>
  <c r="X49"/>
  <c r="E127"/>
  <c r="F112"/>
  <c r="N10"/>
  <c r="C115"/>
  <c r="A126"/>
  <c r="B113"/>
  <c r="B115"/>
  <c r="D120"/>
  <c r="C119" s="1"/>
  <c r="D121"/>
  <c r="B125"/>
  <c r="D123" s="1"/>
  <c r="B127"/>
  <c r="F114"/>
  <c r="E111"/>
  <c r="B111" s="1"/>
  <c r="E126"/>
  <c r="A53" s="1"/>
  <c r="Y53" s="1"/>
  <c r="C121"/>
  <c r="D114"/>
  <c r="C113" s="1"/>
  <c r="E117"/>
  <c r="E120"/>
  <c r="E116" s="1"/>
  <c r="D126"/>
  <c r="L106" s="1"/>
  <c r="I72"/>
  <c r="N71"/>
  <c r="Y74"/>
  <c r="Y78"/>
  <c r="T81"/>
  <c r="P69"/>
  <c r="L69" s="1"/>
  <c r="W29"/>
  <c r="S71"/>
  <c r="N72"/>
  <c r="AF74"/>
  <c r="R80"/>
  <c r="T57"/>
  <c r="I71"/>
  <c r="AF71"/>
  <c r="T73"/>
  <c r="I82"/>
  <c r="A113"/>
  <c r="A119"/>
  <c r="T61"/>
  <c r="S72"/>
  <c r="P74"/>
  <c r="L74" s="1"/>
  <c r="R81"/>
  <c r="A125"/>
  <c r="E228"/>
  <c r="T55"/>
  <c r="AD55" s="1"/>
  <c r="Y57"/>
  <c r="Y64"/>
  <c r="I69"/>
  <c r="Y72"/>
  <c r="M73"/>
  <c r="T77"/>
  <c r="T79"/>
  <c r="AD79" s="1"/>
  <c r="M81"/>
  <c r="B81" s="1"/>
  <c r="AF81"/>
  <c r="P82"/>
  <c r="I81"/>
  <c r="AF80"/>
  <c r="Y80"/>
  <c r="P80"/>
  <c r="R72"/>
  <c r="M72"/>
  <c r="Y71"/>
  <c r="R71"/>
  <c r="M71"/>
  <c r="T69"/>
  <c r="Y67"/>
  <c r="T65"/>
  <c r="Y63"/>
  <c r="Y59"/>
  <c r="Y56"/>
  <c r="R82"/>
  <c r="M82"/>
  <c r="B82" s="1"/>
  <c r="P81"/>
  <c r="R74"/>
  <c r="M74"/>
  <c r="B74" s="1"/>
  <c r="T71"/>
  <c r="AD71" s="1"/>
  <c r="AF69"/>
  <c r="Y69"/>
  <c r="R69"/>
  <c r="M69"/>
  <c r="B69" s="1"/>
  <c r="T67"/>
  <c r="AD67" s="1"/>
  <c r="Y65"/>
  <c r="T63"/>
  <c r="AD63" s="1"/>
  <c r="T59"/>
  <c r="AD59" s="1"/>
  <c r="Y61"/>
  <c r="Y68"/>
  <c r="P71"/>
  <c r="P72"/>
  <c r="AF72"/>
  <c r="AF73"/>
  <c r="I74"/>
  <c r="T75"/>
  <c r="AD75" s="1"/>
  <c r="M80"/>
  <c r="B80" s="1"/>
  <c r="Y81"/>
  <c r="Y82"/>
  <c r="P83"/>
  <c r="D112"/>
  <c r="C114"/>
  <c r="A120"/>
  <c r="D124"/>
  <c r="C126"/>
  <c r="AL144"/>
  <c r="C205"/>
  <c r="H228"/>
  <c r="H226" s="1"/>
  <c r="AB11"/>
  <c r="AB13"/>
  <c r="A114"/>
  <c r="D118"/>
  <c r="C120"/>
  <c r="M34"/>
  <c r="L9"/>
  <c r="AH21"/>
  <c r="AH20"/>
  <c r="AH26"/>
  <c r="L11"/>
  <c r="E216"/>
  <c r="J216" s="1"/>
  <c r="F229"/>
  <c r="G229"/>
  <c r="H229"/>
  <c r="X24"/>
  <c r="F24"/>
  <c r="G231"/>
  <c r="M35"/>
  <c r="F25"/>
  <c r="A137"/>
  <c r="M37"/>
  <c r="X21"/>
  <c r="F21"/>
  <c r="X23"/>
  <c r="F23"/>
  <c r="A139"/>
  <c r="D104"/>
  <c r="D116"/>
  <c r="AY38"/>
  <c r="R21"/>
  <c r="F22"/>
  <c r="X22"/>
  <c r="M36"/>
  <c r="X25"/>
  <c r="J104"/>
  <c r="J105"/>
  <c r="AY41"/>
  <c r="R26"/>
  <c r="A140"/>
  <c r="M40"/>
  <c r="A138"/>
  <c r="X27"/>
  <c r="M38"/>
  <c r="F27"/>
  <c r="J106"/>
  <c r="F20"/>
  <c r="A133"/>
  <c r="A135"/>
  <c r="X19"/>
  <c r="M33"/>
  <c r="S21"/>
  <c r="AG24"/>
  <c r="S26"/>
  <c r="D37"/>
  <c r="O137"/>
  <c r="M137" s="1"/>
  <c r="G228"/>
  <c r="F228" s="1"/>
  <c r="F227" s="1"/>
  <c r="B228"/>
  <c r="H227" s="1"/>
  <c r="D228"/>
  <c r="C228" s="1"/>
  <c r="W51"/>
  <c r="W52"/>
  <c r="W53"/>
  <c r="F53"/>
  <c r="AG20"/>
  <c r="F51"/>
  <c r="F52"/>
  <c r="F115"/>
  <c r="F113"/>
  <c r="S78" l="1"/>
  <c r="AG74"/>
  <c r="AG82"/>
  <c r="AY80"/>
  <c r="AG81"/>
  <c r="AG69"/>
  <c r="A69"/>
  <c r="AF78"/>
  <c r="M78" s="1"/>
  <c r="P78"/>
  <c r="P25"/>
  <c r="P23"/>
  <c r="W26"/>
  <c r="AL26" s="1"/>
  <c r="P22"/>
  <c r="P27"/>
  <c r="AX16"/>
  <c r="AV16"/>
  <c r="AW16" s="1"/>
  <c r="AM80"/>
  <c r="Z80" s="1"/>
  <c r="AM65"/>
  <c r="Z65" s="1"/>
  <c r="AL71"/>
  <c r="AM72"/>
  <c r="Z72" s="1"/>
  <c r="AM59"/>
  <c r="Z59" s="1"/>
  <c r="AM82"/>
  <c r="Z82" s="1"/>
  <c r="AM56"/>
  <c r="Z56" s="1"/>
  <c r="AM67"/>
  <c r="Z67" s="1"/>
  <c r="AM68"/>
  <c r="Z68" s="1"/>
  <c r="AM73"/>
  <c r="AM57"/>
  <c r="Z57" s="1"/>
  <c r="AL72"/>
  <c r="AM74"/>
  <c r="Z74" s="1"/>
  <c r="AM64"/>
  <c r="Z64" s="1"/>
  <c r="AM69"/>
  <c r="Z69" s="1"/>
  <c r="AM61"/>
  <c r="Z61" s="1"/>
  <c r="AL74"/>
  <c r="AM78"/>
  <c r="Z78" s="1"/>
  <c r="AM66"/>
  <c r="AM81"/>
  <c r="Z81" s="1"/>
  <c r="AM71"/>
  <c r="Z71" s="1"/>
  <c r="AM63"/>
  <c r="Z63" s="1"/>
  <c r="P68"/>
  <c r="I68" s="1"/>
  <c r="R68" s="1"/>
  <c r="AF67"/>
  <c r="M67" s="1"/>
  <c r="S67"/>
  <c r="AF68"/>
  <c r="M68" s="1"/>
  <c r="S68"/>
  <c r="P67"/>
  <c r="L67" s="1"/>
  <c r="P65"/>
  <c r="I65" s="1"/>
  <c r="R65" s="1"/>
  <c r="AF64"/>
  <c r="M64" s="1"/>
  <c r="P64"/>
  <c r="L64" s="1"/>
  <c r="AF65"/>
  <c r="M65" s="1"/>
  <c r="S63"/>
  <c r="S65"/>
  <c r="P63"/>
  <c r="L63" s="1"/>
  <c r="S64"/>
  <c r="AF63"/>
  <c r="M63" s="1"/>
  <c r="AS11"/>
  <c r="AT11"/>
  <c r="AQ11"/>
  <c r="AQ9"/>
  <c r="AS9"/>
  <c r="AT9"/>
  <c r="P59"/>
  <c r="I59" s="1"/>
  <c r="R59" s="1"/>
  <c r="AF61"/>
  <c r="M61" s="1"/>
  <c r="AF59"/>
  <c r="M59" s="1"/>
  <c r="P61"/>
  <c r="L61" s="1"/>
  <c r="S59"/>
  <c r="S61"/>
  <c r="S57"/>
  <c r="P56"/>
  <c r="I56" s="1"/>
  <c r="R56" s="1"/>
  <c r="P57"/>
  <c r="I57" s="1"/>
  <c r="R57" s="1"/>
  <c r="S56"/>
  <c r="AF57"/>
  <c r="M57" s="1"/>
  <c r="AF56"/>
  <c r="M56" s="1"/>
  <c r="AM5"/>
  <c r="AL1"/>
  <c r="AH27"/>
  <c r="AZ41"/>
  <c r="Q26" s="1"/>
  <c r="T26" s="1"/>
  <c r="AZ38"/>
  <c r="Q21" s="1"/>
  <c r="T21" s="1"/>
  <c r="W21"/>
  <c r="AL21" s="1"/>
  <c r="D117"/>
  <c r="AH25"/>
  <c r="D111"/>
  <c r="O139"/>
  <c r="M139" s="1"/>
  <c r="AY39"/>
  <c r="AH22"/>
  <c r="R22"/>
  <c r="D36"/>
  <c r="X36" s="1"/>
  <c r="R23"/>
  <c r="D39"/>
  <c r="S22"/>
  <c r="O136"/>
  <c r="M136" s="1"/>
  <c r="S23"/>
  <c r="AY37"/>
  <c r="AH23"/>
  <c r="J102"/>
  <c r="K102" s="1"/>
  <c r="F99"/>
  <c r="AA13"/>
  <c r="Y48" s="1"/>
  <c r="F105"/>
  <c r="C109"/>
  <c r="D106"/>
  <c r="B103"/>
  <c r="F103"/>
  <c r="F101" s="1"/>
  <c r="J103"/>
  <c r="D108"/>
  <c r="C107" s="1"/>
  <c r="A109"/>
  <c r="L102"/>
  <c r="A103"/>
  <c r="C103"/>
  <c r="AV2"/>
  <c r="D100"/>
  <c r="I51"/>
  <c r="C112"/>
  <c r="C111" s="1"/>
  <c r="E110"/>
  <c r="A86"/>
  <c r="C125"/>
  <c r="I106" s="1"/>
  <c r="E122"/>
  <c r="L105"/>
  <c r="C124"/>
  <c r="C123" s="1"/>
  <c r="A87"/>
  <c r="C118"/>
  <c r="C117" s="1"/>
  <c r="A52"/>
  <c r="AY36"/>
  <c r="L104"/>
  <c r="J72"/>
  <c r="B117"/>
  <c r="D225"/>
  <c r="D227" s="1"/>
  <c r="A227" s="1"/>
  <c r="J81"/>
  <c r="J82"/>
  <c r="J74"/>
  <c r="O74" s="1"/>
  <c r="AK74" s="1"/>
  <c r="J69"/>
  <c r="O69" s="1"/>
  <c r="AK69" s="1"/>
  <c r="J71"/>
  <c r="L80"/>
  <c r="L71"/>
  <c r="L72"/>
  <c r="L81"/>
  <c r="L82"/>
  <c r="F98"/>
  <c r="N105"/>
  <c r="O105"/>
  <c r="P105" s="1"/>
  <c r="N104"/>
  <c r="N108" s="1"/>
  <c r="O104"/>
  <c r="P104" s="1"/>
  <c r="N106"/>
  <c r="O106"/>
  <c r="P106" s="1"/>
  <c r="L37"/>
  <c r="E37" s="1"/>
  <c r="H69"/>
  <c r="X37"/>
  <c r="K106"/>
  <c r="F104"/>
  <c r="K105"/>
  <c r="K104"/>
  <c r="AY35"/>
  <c r="R27"/>
  <c r="F102"/>
  <c r="F100" s="1"/>
  <c r="F108"/>
  <c r="F106" s="1"/>
  <c r="H72"/>
  <c r="H82"/>
  <c r="H81"/>
  <c r="H71"/>
  <c r="H80"/>
  <c r="H74"/>
  <c r="AY40"/>
  <c r="R20"/>
  <c r="AY34"/>
  <c r="R25"/>
  <c r="O135"/>
  <c r="M133" s="1"/>
  <c r="G226"/>
  <c r="H225"/>
  <c r="F225"/>
  <c r="G225" s="1"/>
  <c r="AI37"/>
  <c r="O138"/>
  <c r="M138" s="1"/>
  <c r="D38"/>
  <c r="S27"/>
  <c r="D40"/>
  <c r="S20"/>
  <c r="O140"/>
  <c r="M140" s="1"/>
  <c r="F109"/>
  <c r="F107" s="1"/>
  <c r="S25"/>
  <c r="F137"/>
  <c r="I53"/>
  <c r="O133"/>
  <c r="D34"/>
  <c r="AB12"/>
  <c r="C222"/>
  <c r="C219"/>
  <c r="C211"/>
  <c r="C208"/>
  <c r="C220"/>
  <c r="C217"/>
  <c r="C206"/>
  <c r="C223"/>
  <c r="C221"/>
  <c r="C213"/>
  <c r="C224"/>
  <c r="C218"/>
  <c r="C210"/>
  <c r="C207"/>
  <c r="O142"/>
  <c r="M142" s="1"/>
  <c r="D41"/>
  <c r="D35"/>
  <c r="B21"/>
  <c r="A3" i="7"/>
  <c r="A15"/>
  <c r="A9"/>
  <c r="A12"/>
  <c r="A3" i="5"/>
  <c r="A18"/>
  <c r="A15"/>
  <c r="A9"/>
  <c r="A23"/>
  <c r="AJ74" i="1" l="1"/>
  <c r="AG80"/>
  <c r="L78"/>
  <c r="I78"/>
  <c r="AH78" s="1"/>
  <c r="L39"/>
  <c r="E39" s="1"/>
  <c r="F139"/>
  <c r="W23"/>
  <c r="AL23" s="1"/>
  <c r="F136"/>
  <c r="W22"/>
  <c r="AL22" s="1"/>
  <c r="O134"/>
  <c r="M134" s="1"/>
  <c r="F134"/>
  <c r="L68"/>
  <c r="AL69"/>
  <c r="N68"/>
  <c r="H68" s="1"/>
  <c r="I67"/>
  <c r="AH67" s="1"/>
  <c r="L65"/>
  <c r="N65"/>
  <c r="H65" s="1"/>
  <c r="I63"/>
  <c r="AH63" s="1"/>
  <c r="I64"/>
  <c r="N64" s="1"/>
  <c r="AU9"/>
  <c r="AV9" s="1"/>
  <c r="AW9" s="1"/>
  <c r="AU11"/>
  <c r="AV11" s="1"/>
  <c r="AW11" s="1"/>
  <c r="AQ13"/>
  <c r="AS13"/>
  <c r="AT13"/>
  <c r="AQ12"/>
  <c r="AY12" s="1"/>
  <c r="AS12"/>
  <c r="AT12"/>
  <c r="AQ10"/>
  <c r="AS10"/>
  <c r="AT10"/>
  <c r="AQ8"/>
  <c r="AB36" s="1"/>
  <c r="AS8"/>
  <c r="AT8"/>
  <c r="AS7"/>
  <c r="AU7" s="1"/>
  <c r="AT7"/>
  <c r="AQ7"/>
  <c r="AB38" s="1"/>
  <c r="AQ6"/>
  <c r="AS6"/>
  <c r="AT6"/>
  <c r="AB40"/>
  <c r="AB35"/>
  <c r="L59"/>
  <c r="N59"/>
  <c r="H59" s="1"/>
  <c r="I61"/>
  <c r="N61" s="1"/>
  <c r="L56"/>
  <c r="N56"/>
  <c r="H56" s="1"/>
  <c r="L57"/>
  <c r="N57"/>
  <c r="H57" s="1"/>
  <c r="A82"/>
  <c r="AJ81"/>
  <c r="AJ69"/>
  <c r="AL82"/>
  <c r="AJ82"/>
  <c r="AL80"/>
  <c r="A80"/>
  <c r="A74"/>
  <c r="AY74"/>
  <c r="A81"/>
  <c r="AN82"/>
  <c r="AY82"/>
  <c r="AL81"/>
  <c r="AY69"/>
  <c r="AJ80"/>
  <c r="AN81"/>
  <c r="AY81"/>
  <c r="AZ40"/>
  <c r="Q20" s="1"/>
  <c r="AZ39"/>
  <c r="Q23" s="1"/>
  <c r="T23" s="1"/>
  <c r="AF23" s="1"/>
  <c r="AZ35"/>
  <c r="Q27" s="1"/>
  <c r="AZ37"/>
  <c r="Q22" s="1"/>
  <c r="T22" s="1"/>
  <c r="AF22" s="1"/>
  <c r="AZ36"/>
  <c r="AZ34"/>
  <c r="Q25" s="1"/>
  <c r="X39"/>
  <c r="AI39"/>
  <c r="AI36"/>
  <c r="L36"/>
  <c r="E36" s="1"/>
  <c r="N102"/>
  <c r="K103"/>
  <c r="L103"/>
  <c r="A217"/>
  <c r="A224" s="1"/>
  <c r="S24"/>
  <c r="O71"/>
  <c r="AK71" s="1"/>
  <c r="O72"/>
  <c r="AK72" s="1"/>
  <c r="V41"/>
  <c r="O82"/>
  <c r="AK82" s="1"/>
  <c r="O81"/>
  <c r="AK81" s="1"/>
  <c r="D207"/>
  <c r="I207"/>
  <c r="D218"/>
  <c r="I218"/>
  <c r="D223"/>
  <c r="I223"/>
  <c r="D208"/>
  <c r="I208"/>
  <c r="E113"/>
  <c r="D113" s="1"/>
  <c r="B114"/>
  <c r="I104" s="1"/>
  <c r="D210"/>
  <c r="I210"/>
  <c r="D221"/>
  <c r="I221"/>
  <c r="D220"/>
  <c r="I220"/>
  <c r="D222"/>
  <c r="I222"/>
  <c r="D213"/>
  <c r="I213"/>
  <c r="D217"/>
  <c r="I217"/>
  <c r="D219"/>
  <c r="I219"/>
  <c r="W25"/>
  <c r="AL25" s="1"/>
  <c r="W27"/>
  <c r="AL27" s="1"/>
  <c r="D224"/>
  <c r="I224"/>
  <c r="I206"/>
  <c r="D206"/>
  <c r="D211"/>
  <c r="I211"/>
  <c r="W20"/>
  <c r="AL20" s="1"/>
  <c r="E119"/>
  <c r="D119" s="1"/>
  <c r="B120"/>
  <c r="I105" s="1"/>
  <c r="E125"/>
  <c r="D125" s="1"/>
  <c r="B126"/>
  <c r="F138"/>
  <c r="F37"/>
  <c r="C215"/>
  <c r="C209"/>
  <c r="C212"/>
  <c r="C214"/>
  <c r="E218"/>
  <c r="J218" s="1"/>
  <c r="E223"/>
  <c r="J223" s="1"/>
  <c r="E207"/>
  <c r="J207" s="1"/>
  <c r="E213"/>
  <c r="J213" s="1"/>
  <c r="E217"/>
  <c r="J217" s="1"/>
  <c r="E219"/>
  <c r="J219" s="1"/>
  <c r="L40"/>
  <c r="E40" s="1"/>
  <c r="M104"/>
  <c r="M102"/>
  <c r="M106"/>
  <c r="E224"/>
  <c r="J224" s="1"/>
  <c r="E206"/>
  <c r="J206" s="1"/>
  <c r="E211"/>
  <c r="J211" s="1"/>
  <c r="M105"/>
  <c r="E208"/>
  <c r="J208" s="1"/>
  <c r="E210"/>
  <c r="J210" s="1"/>
  <c r="E221"/>
  <c r="J221" s="1"/>
  <c r="E220"/>
  <c r="J220" s="1"/>
  <c r="E222"/>
  <c r="J222" s="1"/>
  <c r="L41"/>
  <c r="F41" s="1"/>
  <c r="B48"/>
  <c r="W18"/>
  <c r="L38"/>
  <c r="E38" s="1"/>
  <c r="F226"/>
  <c r="G227" s="1"/>
  <c r="D226" s="1"/>
  <c r="I225" s="1"/>
  <c r="X35"/>
  <c r="G16"/>
  <c r="V74"/>
  <c r="V72"/>
  <c r="V71"/>
  <c r="X41"/>
  <c r="X34"/>
  <c r="X40"/>
  <c r="X38"/>
  <c r="V82"/>
  <c r="V81"/>
  <c r="V80"/>
  <c r="V69"/>
  <c r="L35"/>
  <c r="R104"/>
  <c r="S104"/>
  <c r="U104"/>
  <c r="Q104"/>
  <c r="AH59"/>
  <c r="Q59"/>
  <c r="Q68"/>
  <c r="AH82"/>
  <c r="G82" s="1"/>
  <c r="AH72"/>
  <c r="U72" s="1"/>
  <c r="AH68"/>
  <c r="Q57"/>
  <c r="Q67"/>
  <c r="Q82"/>
  <c r="G29"/>
  <c r="Q78"/>
  <c r="S105"/>
  <c r="U105"/>
  <c r="R105"/>
  <c r="Q105"/>
  <c r="U106"/>
  <c r="Q106"/>
  <c r="S106"/>
  <c r="R106"/>
  <c r="Q81"/>
  <c r="G28"/>
  <c r="Q56"/>
  <c r="G27"/>
  <c r="Q80"/>
  <c r="Q64"/>
  <c r="Q71"/>
  <c r="Q74"/>
  <c r="AH71"/>
  <c r="U71" s="1"/>
  <c r="Q72"/>
  <c r="AH56"/>
  <c r="Q61"/>
  <c r="AH69"/>
  <c r="G69" s="1"/>
  <c r="AH74"/>
  <c r="G74" s="1"/>
  <c r="Q69"/>
  <c r="Q65"/>
  <c r="AH57"/>
  <c r="AH65"/>
  <c r="Q63"/>
  <c r="AH81"/>
  <c r="G81" s="1"/>
  <c r="AI40"/>
  <c r="AI38"/>
  <c r="Y52"/>
  <c r="I52"/>
  <c r="F135"/>
  <c r="G21"/>
  <c r="AN59"/>
  <c r="AI35"/>
  <c r="V37"/>
  <c r="AI41"/>
  <c r="AI34"/>
  <c r="AC37"/>
  <c r="F140"/>
  <c r="AF26"/>
  <c r="AF21"/>
  <c r="L18"/>
  <c r="K18"/>
  <c r="N78" l="1"/>
  <c r="H78" s="1"/>
  <c r="R78"/>
  <c r="V39"/>
  <c r="AC39"/>
  <c r="F39"/>
  <c r="V36"/>
  <c r="E35"/>
  <c r="G68"/>
  <c r="R67"/>
  <c r="N67"/>
  <c r="H67" s="1"/>
  <c r="AH64"/>
  <c r="R64"/>
  <c r="H64"/>
  <c r="R63"/>
  <c r="G65"/>
  <c r="N63"/>
  <c r="H63" s="1"/>
  <c r="AU13"/>
  <c r="AU12"/>
  <c r="AV12" s="1"/>
  <c r="AU10"/>
  <c r="AV10" s="1"/>
  <c r="AW10" s="1"/>
  <c r="AU8"/>
  <c r="AV8" s="1"/>
  <c r="AY9"/>
  <c r="AV7"/>
  <c r="AW7" s="1"/>
  <c r="AR7" s="1"/>
  <c r="AP7" s="1"/>
  <c r="AY11"/>
  <c r="AX9"/>
  <c r="AR9" s="1"/>
  <c r="AP9" s="1"/>
  <c r="AX11"/>
  <c r="AZ11" s="1"/>
  <c r="BA11" s="1"/>
  <c r="AU6"/>
  <c r="AX6" s="1"/>
  <c r="U59"/>
  <c r="AA59" s="1"/>
  <c r="AH61"/>
  <c r="R61"/>
  <c r="H61"/>
  <c r="U57"/>
  <c r="AA57" s="1"/>
  <c r="N103"/>
  <c r="O102"/>
  <c r="I98" s="1"/>
  <c r="AX7"/>
  <c r="AZ7" s="1"/>
  <c r="BA7" s="1"/>
  <c r="AY8"/>
  <c r="AB37"/>
  <c r="AC36"/>
  <c r="F36"/>
  <c r="M103"/>
  <c r="A218"/>
  <c r="A219" s="1"/>
  <c r="V40"/>
  <c r="F40"/>
  <c r="G71"/>
  <c r="U82"/>
  <c r="AA82" s="1"/>
  <c r="G59"/>
  <c r="U74"/>
  <c r="AA74" s="1"/>
  <c r="G72"/>
  <c r="U65"/>
  <c r="U81"/>
  <c r="AA81" s="1"/>
  <c r="E41"/>
  <c r="G57"/>
  <c r="D212"/>
  <c r="I212"/>
  <c r="D215"/>
  <c r="I215"/>
  <c r="U68"/>
  <c r="AA68" s="1"/>
  <c r="D214"/>
  <c r="I214"/>
  <c r="D209"/>
  <c r="I209"/>
  <c r="U69"/>
  <c r="AA69" s="1"/>
  <c r="K69"/>
  <c r="AB69" s="1"/>
  <c r="K72"/>
  <c r="AB72" s="1"/>
  <c r="K81"/>
  <c r="AB81" s="1"/>
  <c r="F34"/>
  <c r="V38"/>
  <c r="V106"/>
  <c r="AB34"/>
  <c r="AY13"/>
  <c r="T25"/>
  <c r="AF25" s="1"/>
  <c r="R109"/>
  <c r="Q109"/>
  <c r="V105"/>
  <c r="V104"/>
  <c r="Q108"/>
  <c r="R108"/>
  <c r="T20"/>
  <c r="AF20" s="1"/>
  <c r="AY6"/>
  <c r="AB39"/>
  <c r="T27"/>
  <c r="AF27" s="1"/>
  <c r="AY10"/>
  <c r="AB41"/>
  <c r="E214"/>
  <c r="J214" s="1"/>
  <c r="E209"/>
  <c r="J209" s="1"/>
  <c r="AA72"/>
  <c r="E215"/>
  <c r="J215" s="1"/>
  <c r="E212"/>
  <c r="J212" s="1"/>
  <c r="AA71"/>
  <c r="F38"/>
  <c r="AC38"/>
  <c r="AC40"/>
  <c r="AC41"/>
  <c r="AC35"/>
  <c r="V35"/>
  <c r="AC13"/>
  <c r="AC10"/>
  <c r="O21" l="1"/>
  <c r="O24"/>
  <c r="U67"/>
  <c r="AA67" s="1"/>
  <c r="G67"/>
  <c r="U64"/>
  <c r="G64"/>
  <c r="G63"/>
  <c r="U63"/>
  <c r="AV13"/>
  <c r="AW13" s="1"/>
  <c r="AW12"/>
  <c r="AR11"/>
  <c r="AW8"/>
  <c r="AV6"/>
  <c r="AW6" s="1"/>
  <c r="AR6" s="1"/>
  <c r="O25" s="1"/>
  <c r="AX10"/>
  <c r="AX12"/>
  <c r="AZ9"/>
  <c r="BA9" s="1"/>
  <c r="AX13"/>
  <c r="O103"/>
  <c r="P103" s="1"/>
  <c r="P102"/>
  <c r="AX8"/>
  <c r="AZ8" s="1"/>
  <c r="BA8" s="1"/>
  <c r="AY7"/>
  <c r="K206"/>
  <c r="K74"/>
  <c r="AB74" s="1"/>
  <c r="K71"/>
  <c r="AB71" s="1"/>
  <c r="AZ6"/>
  <c r="BA6" s="1"/>
  <c r="K82"/>
  <c r="AB82" s="1"/>
  <c r="AP11" l="1"/>
  <c r="O26"/>
  <c r="AP6"/>
  <c r="AR13"/>
  <c r="O20" s="1"/>
  <c r="AZ12"/>
  <c r="BA12" s="1"/>
  <c r="AR12"/>
  <c r="AZ10"/>
  <c r="BA10" s="1"/>
  <c r="AR10"/>
  <c r="AR8"/>
  <c r="AZ13"/>
  <c r="BA13" s="1"/>
  <c r="R103"/>
  <c r="U103"/>
  <c r="S103"/>
  <c r="Q103"/>
  <c r="Q107" s="1"/>
  <c r="R102"/>
  <c r="U102" s="1"/>
  <c r="Q102"/>
  <c r="R24"/>
  <c r="P24"/>
  <c r="A32"/>
  <c r="A29" s="1"/>
  <c r="C22"/>
  <c r="I204"/>
  <c r="P204"/>
  <c r="AN28"/>
  <c r="AM7" s="1"/>
  <c r="E22"/>
  <c r="D22"/>
  <c r="AP10" l="1"/>
  <c r="O27"/>
  <c r="AP12"/>
  <c r="O23"/>
  <c r="AP8"/>
  <c r="O22"/>
  <c r="AP13"/>
  <c r="I137"/>
  <c r="O37"/>
  <c r="S37"/>
  <c r="V102"/>
  <c r="S102" s="1"/>
  <c r="R98" s="1"/>
  <c r="R107"/>
  <c r="V103"/>
  <c r="F133"/>
  <c r="K204"/>
  <c r="A211" s="1"/>
  <c r="Q24"/>
  <c r="T24" s="1"/>
  <c r="AF24" s="1"/>
  <c r="A192" s="1"/>
  <c r="AL154"/>
  <c r="X86"/>
  <c r="T37"/>
  <c r="O39" l="1"/>
  <c r="I139"/>
  <c r="O36"/>
  <c r="I136"/>
  <c r="S41"/>
  <c r="S36"/>
  <c r="T41"/>
  <c r="X88"/>
  <c r="X91"/>
  <c r="S39"/>
  <c r="T39"/>
  <c r="T35"/>
  <c r="S35"/>
  <c r="X90"/>
  <c r="T36"/>
  <c r="X87"/>
  <c r="A200" l="1"/>
  <c r="A209"/>
  <c r="A198" s="1"/>
  <c r="O38"/>
  <c r="I138"/>
  <c r="I140"/>
  <c r="O40"/>
  <c r="S40"/>
  <c r="X85"/>
  <c r="T40"/>
  <c r="S38"/>
  <c r="X92"/>
  <c r="T38"/>
  <c r="W24"/>
  <c r="AL24" s="1"/>
  <c r="AH24"/>
  <c r="X89"/>
  <c r="L34"/>
  <c r="T34"/>
  <c r="S34"/>
  <c r="O34" l="1"/>
  <c r="B138"/>
  <c r="E34"/>
  <c r="V34"/>
  <c r="AH80"/>
  <c r="J67" l="1"/>
  <c r="J68"/>
  <c r="J63"/>
  <c r="J65"/>
  <c r="J64"/>
  <c r="G37"/>
  <c r="N37"/>
  <c r="J38"/>
  <c r="N38"/>
  <c r="J59"/>
  <c r="J57"/>
  <c r="AC34"/>
  <c r="AL159"/>
  <c r="G80"/>
  <c r="J80" s="1"/>
  <c r="O80" s="1"/>
  <c r="U80"/>
  <c r="AA80" s="1"/>
  <c r="V67" l="1"/>
  <c r="O67"/>
  <c r="O68"/>
  <c r="V68"/>
  <c r="V63"/>
  <c r="O63"/>
  <c r="O65"/>
  <c r="V65"/>
  <c r="V64"/>
  <c r="O64"/>
  <c r="G36"/>
  <c r="N36"/>
  <c r="J36"/>
  <c r="B36" s="1"/>
  <c r="P36" s="1"/>
  <c r="I37"/>
  <c r="B137"/>
  <c r="G38"/>
  <c r="I38" s="1"/>
  <c r="B38"/>
  <c r="P38" s="1"/>
  <c r="V59"/>
  <c r="O59"/>
  <c r="V57"/>
  <c r="O57"/>
  <c r="AK80"/>
  <c r="K80"/>
  <c r="AB80" s="1"/>
  <c r="AK67" l="1"/>
  <c r="K67"/>
  <c r="AB67" s="1"/>
  <c r="AK68"/>
  <c r="K68"/>
  <c r="AB68" s="1"/>
  <c r="AK65"/>
  <c r="K65"/>
  <c r="AB65" s="1"/>
  <c r="AA65" s="1"/>
  <c r="AK64"/>
  <c r="K64"/>
  <c r="AB64" s="1"/>
  <c r="AA64" s="1"/>
  <c r="AK63"/>
  <c r="K63"/>
  <c r="AB63" s="1"/>
  <c r="AA63" s="1"/>
  <c r="N40"/>
  <c r="J40"/>
  <c r="B40" s="1"/>
  <c r="P40" s="1"/>
  <c r="G40"/>
  <c r="I40" s="1"/>
  <c r="I36"/>
  <c r="B136"/>
  <c r="J21"/>
  <c r="A19" i="5" s="1"/>
  <c r="W37" i="1"/>
  <c r="Y37" s="1"/>
  <c r="AF37" s="1"/>
  <c r="AD37" s="1"/>
  <c r="J37"/>
  <c r="B37" s="1"/>
  <c r="P37" s="1"/>
  <c r="J27"/>
  <c r="A10" i="5" s="1"/>
  <c r="W38" i="1"/>
  <c r="Y38" s="1"/>
  <c r="AF38" s="1"/>
  <c r="AD38" s="1"/>
  <c r="AK59"/>
  <c r="K59"/>
  <c r="AB59" s="1"/>
  <c r="AK57"/>
  <c r="K57"/>
  <c r="AB57" s="1"/>
  <c r="B140" l="1"/>
  <c r="W40"/>
  <c r="Y40" s="1"/>
  <c r="AF40" s="1"/>
  <c r="AD40" s="1"/>
  <c r="J20"/>
  <c r="A16" i="5" s="1"/>
  <c r="B139" i="1"/>
  <c r="W36"/>
  <c r="Y36" s="1"/>
  <c r="AF36" s="1"/>
  <c r="AD36" s="1"/>
  <c r="J22"/>
  <c r="A24" i="5" s="1"/>
  <c r="M66" i="1" l="1"/>
  <c r="AF66"/>
  <c r="J39"/>
  <c r="B39" s="1"/>
  <c r="P39" s="1"/>
  <c r="G39"/>
  <c r="I39" s="1"/>
  <c r="N39"/>
  <c r="AL66" l="1"/>
  <c r="J23"/>
  <c r="A13" i="7" s="1"/>
  <c r="W39" i="1"/>
  <c r="Y39" s="1"/>
  <c r="AF39" s="1"/>
  <c r="AD39" s="1"/>
  <c r="AF62" l="1"/>
  <c r="M62" s="1"/>
  <c r="AF60"/>
  <c r="M60" s="1"/>
  <c r="M70" l="1"/>
  <c r="AF70"/>
  <c r="AM60" l="1"/>
  <c r="AM62"/>
  <c r="AM70" l="1"/>
  <c r="AL70" l="1"/>
  <c r="G34" l="1"/>
  <c r="N34"/>
  <c r="I34" l="1"/>
  <c r="J24" s="1"/>
  <c r="A16" i="7" l="1"/>
  <c r="H50" i="1" l="1"/>
  <c r="H49"/>
  <c r="E108"/>
  <c r="A101"/>
  <c r="B101"/>
  <c r="E99"/>
  <c r="A102" s="1"/>
  <c r="E102"/>
  <c r="C102"/>
  <c r="E101"/>
  <c r="A202"/>
  <c r="A201" s="1"/>
  <c r="C108"/>
  <c r="E107"/>
  <c r="B109" s="1"/>
  <c r="A107"/>
  <c r="B107"/>
  <c r="E105"/>
  <c r="A108"/>
  <c r="I111" l="1"/>
  <c r="AY2"/>
  <c r="E104"/>
  <c r="B108"/>
  <c r="I103" s="1"/>
  <c r="A85"/>
  <c r="C106"/>
  <c r="C105" s="1"/>
  <c r="A84"/>
  <c r="B102"/>
  <c r="E98"/>
  <c r="C100"/>
  <c r="C99" s="1"/>
  <c r="D99"/>
  <c r="D103"/>
  <c r="E103"/>
  <c r="D101"/>
  <c r="D107"/>
  <c r="D109"/>
  <c r="E109"/>
  <c r="D105"/>
  <c r="AS15" l="1"/>
  <c r="AQ14"/>
  <c r="AS14"/>
  <c r="AU14" s="1"/>
  <c r="AT15"/>
  <c r="B99"/>
  <c r="E1"/>
  <c r="B105"/>
  <c r="AT14" l="1"/>
  <c r="AV14" s="1"/>
  <c r="AW14" s="1"/>
  <c r="AR14" s="1"/>
  <c r="AU15"/>
  <c r="AX15" s="1"/>
  <c r="AX14"/>
  <c r="AZ14" s="1"/>
  <c r="BA14" s="1"/>
  <c r="AN25" l="1"/>
  <c r="AV15"/>
  <c r="AW15" s="1"/>
  <c r="AP14"/>
  <c r="M132"/>
  <c r="I135" s="1"/>
  <c r="AR15" l="1"/>
  <c r="AP15" s="1"/>
  <c r="AY14"/>
  <c r="AZ15" l="1"/>
  <c r="BA15" s="1"/>
  <c r="P49" l="1"/>
  <c r="I109"/>
  <c r="W34" l="1"/>
  <c r="Y34" s="1"/>
  <c r="AF34" s="1"/>
  <c r="AD34" s="1"/>
  <c r="F55" l="1"/>
  <c r="U56" s="1"/>
  <c r="S55"/>
  <c r="P55"/>
  <c r="AF55"/>
  <c r="M55" s="1"/>
  <c r="AF58"/>
  <c r="M58" s="1"/>
  <c r="AA9" l="1"/>
  <c r="G56"/>
  <c r="J56" s="1"/>
  <c r="L55"/>
  <c r="Q55"/>
  <c r="V56" l="1"/>
  <c r="O56"/>
  <c r="W55"/>
  <c r="AM55"/>
  <c r="Z55" s="1"/>
  <c r="Y55"/>
  <c r="I55"/>
  <c r="N55" s="1"/>
  <c r="AM58"/>
  <c r="AF79"/>
  <c r="M79" s="1"/>
  <c r="H55" l="1"/>
  <c r="AH55"/>
  <c r="K56"/>
  <c r="AB56" s="1"/>
  <c r="AA56" s="1"/>
  <c r="AK56"/>
  <c r="R55"/>
  <c r="G55" l="1"/>
  <c r="U55"/>
  <c r="AM79"/>
  <c r="J55" l="1"/>
  <c r="V55" s="1"/>
  <c r="O55" l="1"/>
  <c r="AK55" s="1"/>
  <c r="K55" l="1"/>
  <c r="AB55" s="1"/>
  <c r="AA55" s="1"/>
  <c r="AL79" l="1"/>
  <c r="A42" l="1"/>
  <c r="B22" s="1"/>
  <c r="L2" l="1"/>
  <c r="A143"/>
  <c r="AG1" s="1"/>
  <c r="AA1" s="1"/>
  <c r="B1" s="1"/>
  <c r="Z1" s="1"/>
  <c r="A6" s="1"/>
  <c r="AL67" l="1"/>
  <c r="AL68"/>
  <c r="AL63"/>
  <c r="AL59"/>
  <c r="AL64" l="1"/>
  <c r="AL56"/>
  <c r="AL65" l="1"/>
  <c r="AL60"/>
  <c r="AL62"/>
  <c r="AL61" l="1"/>
  <c r="A50" l="1"/>
  <c r="W50"/>
  <c r="Y50" l="1"/>
  <c r="I50" l="1"/>
  <c r="W48" l="1"/>
  <c r="W84" s="1"/>
  <c r="A27" l="1"/>
  <c r="A28"/>
  <c r="AL57"/>
  <c r="AL55"/>
  <c r="AL58" l="1"/>
  <c r="AN3" l="1"/>
  <c r="AL152" l="1"/>
  <c r="AL148"/>
  <c r="A49"/>
  <c r="W49"/>
  <c r="AL147"/>
  <c r="AL151"/>
  <c r="A194"/>
  <c r="D16" l="1"/>
  <c r="Y49"/>
  <c r="I102" s="1"/>
  <c r="A99" l="1"/>
  <c r="Y29"/>
  <c r="AZ16" l="1"/>
  <c r="BA16" s="1"/>
  <c r="AY16" l="1"/>
  <c r="AR16" l="1"/>
  <c r="AP16" l="1"/>
  <c r="I49" l="1"/>
  <c r="G1" s="1"/>
  <c r="A91" s="1"/>
  <c r="I48" s="1"/>
  <c r="B23"/>
  <c r="F50"/>
  <c r="F48" s="1"/>
  <c r="AF1" s="1"/>
  <c r="AF48" s="1"/>
  <c r="G110" l="1"/>
  <c r="A30" s="1"/>
  <c r="A100" s="1"/>
  <c r="A48" s="1"/>
  <c r="X1" s="1"/>
  <c r="A13" s="1"/>
  <c r="A190" s="1"/>
  <c r="A12" s="1"/>
  <c r="AL28" s="1"/>
  <c r="A18" s="1"/>
  <c r="P48"/>
  <c r="B230"/>
  <c r="Q1" s="1"/>
  <c r="H33" l="1"/>
  <c r="M19"/>
  <c r="AO5"/>
  <c r="D33" l="1"/>
  <c r="O132"/>
  <c r="M135" s="1"/>
  <c r="AY33"/>
  <c r="F33"/>
  <c r="I133" l="1"/>
  <c r="B133" s="1"/>
  <c r="B135"/>
  <c r="AS5"/>
  <c r="AU5" s="1"/>
  <c r="AX5" s="1"/>
  <c r="AZ5" s="1"/>
  <c r="BA5" s="1"/>
  <c r="AQ5"/>
  <c r="AT5"/>
  <c r="AZ33"/>
  <c r="AI33"/>
  <c r="X33"/>
  <c r="F1"/>
  <c r="A16" s="1"/>
  <c r="AA5" s="1"/>
  <c r="AA10" s="1"/>
  <c r="E33"/>
  <c r="S19"/>
  <c r="A93" s="1"/>
  <c r="I141" l="1"/>
  <c r="B141" s="1"/>
  <c r="AB33"/>
  <c r="AV5"/>
  <c r="AW5" s="1"/>
  <c r="AR5" s="1"/>
  <c r="AY5" l="1"/>
  <c r="P19"/>
  <c r="AN23"/>
  <c r="AP5"/>
  <c r="AP3" s="1"/>
  <c r="AE69"/>
  <c r="AE81"/>
  <c r="AE74"/>
  <c r="AE80"/>
  <c r="AE82"/>
  <c r="R19"/>
  <c r="A10" l="1"/>
  <c r="A11" s="1"/>
  <c r="W19"/>
  <c r="F132"/>
  <c r="Q19"/>
  <c r="T19" s="1"/>
  <c r="AF19" s="1"/>
  <c r="O19" l="1"/>
  <c r="W28"/>
  <c r="V33"/>
  <c r="AL15"/>
  <c r="A184" l="1"/>
  <c r="A185" s="1"/>
  <c r="T33"/>
  <c r="A206" s="1"/>
  <c r="S33"/>
  <c r="X84"/>
  <c r="X93" s="1"/>
  <c r="X94" s="1"/>
  <c r="U37"/>
  <c r="U38"/>
  <c r="U36"/>
  <c r="U40"/>
  <c r="U39"/>
  <c r="U34"/>
  <c r="J34"/>
  <c r="AH19"/>
  <c r="L33"/>
  <c r="O35" l="1"/>
  <c r="I132"/>
  <c r="B132" s="1"/>
  <c r="O41"/>
  <c r="C84"/>
  <c r="F35"/>
  <c r="G35" s="1"/>
  <c r="AC33"/>
  <c r="A230"/>
  <c r="E84"/>
  <c r="A189"/>
  <c r="A188" s="1"/>
  <c r="A187" s="1"/>
  <c r="A83" s="1"/>
  <c r="AN2"/>
  <c r="B32"/>
  <c r="D84"/>
  <c r="A26"/>
  <c r="K84"/>
  <c r="AL157"/>
  <c r="AL48"/>
  <c r="AZ47"/>
  <c r="AM13"/>
  <c r="AA11"/>
  <c r="AM43"/>
  <c r="B18"/>
  <c r="N35" l="1"/>
  <c r="I35"/>
  <c r="J35"/>
  <c r="B35" s="1"/>
  <c r="P35" s="1"/>
  <c r="D85"/>
  <c r="D91"/>
  <c r="E91"/>
  <c r="E85"/>
  <c r="G41"/>
  <c r="I41" s="1"/>
  <c r="N41"/>
  <c r="C91"/>
  <c r="C85"/>
  <c r="A19"/>
  <c r="AN18"/>
  <c r="AN19" s="1"/>
  <c r="AA143" s="1"/>
  <c r="A196" s="1"/>
  <c r="I14"/>
  <c r="AZ2" s="1"/>
  <c r="P18"/>
  <c r="AZ18"/>
  <c r="AN32"/>
  <c r="AG18"/>
  <c r="P14"/>
  <c r="AA14"/>
  <c r="U1"/>
  <c r="K91"/>
  <c r="K85"/>
  <c r="I32"/>
  <c r="I47"/>
  <c r="B47"/>
  <c r="G47" s="1"/>
  <c r="P47"/>
  <c r="L91"/>
  <c r="O33" l="1"/>
  <c r="K86"/>
  <c r="K92"/>
  <c r="J41"/>
  <c r="B41" s="1"/>
  <c r="P41" s="1"/>
  <c r="J26"/>
  <c r="I142" s="1"/>
  <c r="W41"/>
  <c r="Y41" s="1"/>
  <c r="AF41" s="1"/>
  <c r="AD41" s="1"/>
  <c r="U41" s="1"/>
  <c r="W35"/>
  <c r="Y35" s="1"/>
  <c r="AF35" s="1"/>
  <c r="AD35" s="1"/>
  <c r="U35" s="1"/>
  <c r="J25"/>
  <c r="A4" i="5" s="1"/>
  <c r="I92" i="1"/>
  <c r="E92"/>
  <c r="E86"/>
  <c r="C92"/>
  <c r="C86"/>
  <c r="D86"/>
  <c r="D92"/>
  <c r="D93" l="1"/>
  <c r="D87"/>
  <c r="K93"/>
  <c r="K87"/>
  <c r="C93"/>
  <c r="C87"/>
  <c r="A10" i="7"/>
  <c r="B142" i="1"/>
  <c r="I93"/>
  <c r="E93"/>
  <c r="E87"/>
  <c r="C94" l="1"/>
  <c r="C88"/>
  <c r="C95" s="1"/>
  <c r="D88"/>
  <c r="D95" s="1"/>
  <c r="D94"/>
  <c r="K94"/>
  <c r="K88"/>
  <c r="K95" s="1"/>
  <c r="I94"/>
  <c r="E94"/>
  <c r="E88"/>
  <c r="D62" l="1"/>
  <c r="D70"/>
  <c r="D66"/>
  <c r="D79"/>
  <c r="E95"/>
  <c r="I95"/>
  <c r="E62" l="1"/>
  <c r="E70"/>
  <c r="C70" s="1"/>
  <c r="B70" s="1"/>
  <c r="E66"/>
  <c r="C66" s="1"/>
  <c r="B66" s="1"/>
  <c r="E79"/>
  <c r="C79" s="1"/>
  <c r="Y79" s="1"/>
  <c r="F66"/>
  <c r="F79"/>
  <c r="S62"/>
  <c r="F62"/>
  <c r="P60"/>
  <c r="C62"/>
  <c r="R62" s="1"/>
  <c r="S60"/>
  <c r="N60"/>
  <c r="S66"/>
  <c r="S79"/>
  <c r="N62"/>
  <c r="F61"/>
  <c r="U61" s="1"/>
  <c r="AA61" s="1"/>
  <c r="F70"/>
  <c r="P62"/>
  <c r="S70"/>
  <c r="N70"/>
  <c r="N66"/>
  <c r="P66"/>
  <c r="L66" s="1"/>
  <c r="P70"/>
  <c r="L70" s="1"/>
  <c r="N79"/>
  <c r="P79"/>
  <c r="L79" s="1"/>
  <c r="B62" l="1"/>
  <c r="AG62" s="1"/>
  <c r="B79"/>
  <c r="AG79" s="1"/>
  <c r="AG70"/>
  <c r="AG66"/>
  <c r="H62"/>
  <c r="AY70"/>
  <c r="W62"/>
  <c r="V62"/>
  <c r="Z62"/>
  <c r="I62"/>
  <c r="AH62" s="1"/>
  <c r="W70"/>
  <c r="I70"/>
  <c r="J70" s="1"/>
  <c r="O70" s="1"/>
  <c r="Y70"/>
  <c r="AE70" s="1"/>
  <c r="V70"/>
  <c r="H70"/>
  <c r="Z70"/>
  <c r="R70"/>
  <c r="H60"/>
  <c r="L60"/>
  <c r="Q60"/>
  <c r="Y62"/>
  <c r="I60"/>
  <c r="W60"/>
  <c r="Y60"/>
  <c r="Z60"/>
  <c r="V60"/>
  <c r="Q62"/>
  <c r="Q66"/>
  <c r="Z66"/>
  <c r="R66"/>
  <c r="W66"/>
  <c r="Y66"/>
  <c r="AE66" s="1"/>
  <c r="H66"/>
  <c r="L62"/>
  <c r="V66"/>
  <c r="I66"/>
  <c r="AH66" s="1"/>
  <c r="G66" s="1"/>
  <c r="G61"/>
  <c r="J61" s="1"/>
  <c r="O61" s="1"/>
  <c r="G17"/>
  <c r="Q70"/>
  <c r="I79"/>
  <c r="AH79" s="1"/>
  <c r="G79" s="1"/>
  <c r="J79" s="1"/>
  <c r="O79" s="1"/>
  <c r="Q79"/>
  <c r="H79"/>
  <c r="Z79"/>
  <c r="V79"/>
  <c r="W79"/>
  <c r="AE79"/>
  <c r="R79"/>
  <c r="V61"/>
  <c r="AN70"/>
  <c r="AJ70"/>
  <c r="A70"/>
  <c r="G13" l="1"/>
  <c r="AJ66"/>
  <c r="AY66"/>
  <c r="A66"/>
  <c r="G26"/>
  <c r="U62"/>
  <c r="AA62" s="1"/>
  <c r="AH70"/>
  <c r="G70" s="1"/>
  <c r="R60"/>
  <c r="AH60"/>
  <c r="G60" s="1"/>
  <c r="J60" s="1"/>
  <c r="O60" s="1"/>
  <c r="G62"/>
  <c r="J62" s="1"/>
  <c r="O62" s="1"/>
  <c r="J66"/>
  <c r="O66" s="1"/>
  <c r="AK66" s="1"/>
  <c r="A79"/>
  <c r="AN79" s="1"/>
  <c r="AJ79"/>
  <c r="AY79"/>
  <c r="AN80"/>
  <c r="U79"/>
  <c r="AA79" s="1"/>
  <c r="AI79"/>
  <c r="A183" s="1"/>
  <c r="K83" s="1"/>
  <c r="AK79"/>
  <c r="K79"/>
  <c r="U66"/>
  <c r="AA66" s="1"/>
  <c r="AK61"/>
  <c r="K61"/>
  <c r="AB61" s="1"/>
  <c r="K70"/>
  <c r="AB70" s="1"/>
  <c r="AK70"/>
  <c r="U70" l="1"/>
  <c r="AA70" s="1"/>
  <c r="K62"/>
  <c r="AB62" s="1"/>
  <c r="AK62"/>
  <c r="U60"/>
  <c r="AA60" s="1"/>
  <c r="K60"/>
  <c r="AB60" s="1"/>
  <c r="AK60"/>
  <c r="K66"/>
  <c r="AB66" s="1"/>
  <c r="AB79"/>
  <c r="B84" l="1"/>
  <c r="B85" l="1"/>
  <c r="B91"/>
  <c r="B34"/>
  <c r="P34" s="1"/>
  <c r="I84" l="1"/>
  <c r="B86"/>
  <c r="B92"/>
  <c r="AL132"/>
  <c r="I91" l="1"/>
  <c r="I85"/>
  <c r="I86" s="1"/>
  <c r="I87" s="1"/>
  <c r="I88" s="1"/>
  <c r="B87"/>
  <c r="B93"/>
  <c r="D73" l="1"/>
  <c r="B94"/>
  <c r="B88"/>
  <c r="B95" s="1"/>
  <c r="E73" l="1"/>
  <c r="C73" s="1"/>
  <c r="B73" s="1"/>
  <c r="S73"/>
  <c r="F73"/>
  <c r="N73"/>
  <c r="P73"/>
  <c r="L73" s="1"/>
  <c r="D58"/>
  <c r="G20" l="1"/>
  <c r="R73"/>
  <c r="E58"/>
  <c r="C58" s="1"/>
  <c r="B58" s="1"/>
  <c r="W73"/>
  <c r="I73"/>
  <c r="AH73" s="1"/>
  <c r="G73" s="1"/>
  <c r="V73"/>
  <c r="H73"/>
  <c r="S58"/>
  <c r="Z73"/>
  <c r="Y73"/>
  <c r="AE73" s="1"/>
  <c r="Q73"/>
  <c r="P58"/>
  <c r="L58" s="1"/>
  <c r="N58"/>
  <c r="F58"/>
  <c r="AG73" l="1"/>
  <c r="AG58"/>
  <c r="I58"/>
  <c r="AH58" s="1"/>
  <c r="G58" s="1"/>
  <c r="AJ73"/>
  <c r="AN74"/>
  <c r="J73"/>
  <c r="O73" s="1"/>
  <c r="K73" s="1"/>
  <c r="AB73" s="1"/>
  <c r="U73"/>
  <c r="AA73" s="1"/>
  <c r="AY73"/>
  <c r="A73"/>
  <c r="AY58"/>
  <c r="Q58"/>
  <c r="Y58"/>
  <c r="AE58" s="1"/>
  <c r="Z58"/>
  <c r="V58"/>
  <c r="W58"/>
  <c r="H58"/>
  <c r="R58"/>
  <c r="AK73" l="1"/>
  <c r="G5"/>
  <c r="A58"/>
  <c r="AJ58"/>
  <c r="A94"/>
  <c r="A95" s="1"/>
  <c r="U58"/>
  <c r="J58" l="1"/>
  <c r="O58" s="1"/>
  <c r="AA58"/>
  <c r="K58" l="1"/>
  <c r="AB58" s="1"/>
  <c r="AK58"/>
  <c r="N33" l="1"/>
  <c r="AM47" s="1"/>
  <c r="M83" s="1"/>
  <c r="G33"/>
  <c r="I33" s="1"/>
  <c r="J19" l="1"/>
  <c r="J33"/>
  <c r="W33"/>
  <c r="Y33" s="1"/>
  <c r="AF33" s="1"/>
  <c r="AD33" s="1"/>
  <c r="AN29"/>
  <c r="AL153"/>
  <c r="A193"/>
  <c r="A4" i="7" l="1"/>
  <c r="P176" i="1"/>
  <c r="Y14" s="1"/>
  <c r="C143"/>
  <c r="F31"/>
  <c r="B33"/>
  <c r="AN26"/>
  <c r="AN17" s="1"/>
  <c r="U33"/>
  <c r="P33" l="1"/>
  <c r="A225"/>
  <c r="AL155"/>
  <c r="AI19"/>
  <c r="AI1"/>
  <c r="A22"/>
  <c r="AM42"/>
  <c r="AM18"/>
  <c r="A231" s="1"/>
  <c r="AR2"/>
  <c r="AR1" s="1"/>
  <c r="AM15"/>
  <c r="AM1"/>
  <c r="L84"/>
  <c r="J84"/>
  <c r="AN20" l="1"/>
  <c r="AN22" s="1"/>
  <c r="A24" s="1"/>
  <c r="AL33"/>
  <c r="AL42" s="1"/>
  <c r="AC71"/>
  <c r="AC79"/>
  <c r="AC80" s="1"/>
  <c r="AC81" s="1"/>
  <c r="AC82" s="1"/>
  <c r="AN46" s="1"/>
  <c r="AC67"/>
  <c r="AC59"/>
  <c r="AC63"/>
  <c r="AC55"/>
  <c r="J91"/>
  <c r="J85"/>
  <c r="AC56" l="1"/>
  <c r="AE55"/>
  <c r="B55" s="1"/>
  <c r="AC60"/>
  <c r="AE59"/>
  <c r="B59" s="1"/>
  <c r="AC68"/>
  <c r="AE67"/>
  <c r="B67" s="1"/>
  <c r="J92"/>
  <c r="J86"/>
  <c r="AC64"/>
  <c r="AE63"/>
  <c r="B63" s="1"/>
  <c r="AC72"/>
  <c r="AE71"/>
  <c r="B71" s="1"/>
  <c r="AY67" l="1"/>
  <c r="G18"/>
  <c r="AJ63"/>
  <c r="AY55"/>
  <c r="AY59"/>
  <c r="AC61"/>
  <c r="AE60"/>
  <c r="B60" s="1"/>
  <c r="AC57"/>
  <c r="AE56"/>
  <c r="B56" s="1"/>
  <c r="AC65"/>
  <c r="AE64"/>
  <c r="B64" s="1"/>
  <c r="AC69"/>
  <c r="AC70" s="1"/>
  <c r="AN40" s="1"/>
  <c r="AE68"/>
  <c r="B68" s="1"/>
  <c r="AC73"/>
  <c r="AC74" s="1"/>
  <c r="AN42" s="1"/>
  <c r="AE72"/>
  <c r="B72" s="1"/>
  <c r="J93"/>
  <c r="J87"/>
  <c r="AG71" l="1"/>
  <c r="AJ71"/>
  <c r="AY63"/>
  <c r="A71"/>
  <c r="AN71" s="1"/>
  <c r="AG55"/>
  <c r="AY71"/>
  <c r="AJ55"/>
  <c r="A67"/>
  <c r="AN67" s="1"/>
  <c r="G2"/>
  <c r="A55"/>
  <c r="AN55" s="1"/>
  <c r="A64"/>
  <c r="AN64" s="1"/>
  <c r="AJ59"/>
  <c r="A63"/>
  <c r="AN63" s="1"/>
  <c r="G6"/>
  <c r="AJ67"/>
  <c r="G10"/>
  <c r="AG59"/>
  <c r="AG63"/>
  <c r="AG67"/>
  <c r="AG68"/>
  <c r="G3"/>
  <c r="AG72"/>
  <c r="AG60"/>
  <c r="G14"/>
  <c r="AC62"/>
  <c r="AE61"/>
  <c r="B61" s="1"/>
  <c r="J94"/>
  <c r="J88"/>
  <c r="J95" s="1"/>
  <c r="AC66"/>
  <c r="AN38" s="1"/>
  <c r="AE65"/>
  <c r="B65" s="1"/>
  <c r="AC58"/>
  <c r="AN34" s="1"/>
  <c r="AE57"/>
  <c r="B57" s="1"/>
  <c r="A72" l="1"/>
  <c r="AN72" s="1"/>
  <c r="AJ68"/>
  <c r="AI67"/>
  <c r="A180" s="1"/>
  <c r="E83" s="1"/>
  <c r="AY64"/>
  <c r="AN69"/>
  <c r="A68"/>
  <c r="AN68" s="1"/>
  <c r="G11"/>
  <c r="AY68"/>
  <c r="AG64"/>
  <c r="G19"/>
  <c r="A56"/>
  <c r="AN56" s="1"/>
  <c r="AN73"/>
  <c r="AY56"/>
  <c r="AJ56"/>
  <c r="AJ64"/>
  <c r="AJ72"/>
  <c r="AG56"/>
  <c r="AG61"/>
  <c r="G4"/>
  <c r="AY72"/>
  <c r="AI71"/>
  <c r="A181" s="1"/>
  <c r="I83" s="1"/>
  <c r="G15"/>
  <c r="AG65"/>
  <c r="A65"/>
  <c r="AN65" s="1"/>
  <c r="AN36"/>
  <c r="AE62"/>
  <c r="D75"/>
  <c r="AI55" l="1"/>
  <c r="A177" s="1"/>
  <c r="B83" s="1"/>
  <c r="AN58"/>
  <c r="AJ57"/>
  <c r="AG57"/>
  <c r="AY57"/>
  <c r="A57"/>
  <c r="AN57" s="1"/>
  <c r="E78"/>
  <c r="AF75"/>
  <c r="M75" s="1"/>
  <c r="S75"/>
  <c r="P75"/>
  <c r="F78"/>
  <c r="U78" s="1"/>
  <c r="AA78" s="1"/>
  <c r="E76"/>
  <c r="S77"/>
  <c r="F76"/>
  <c r="P77"/>
  <c r="AF77"/>
  <c r="M77" s="1"/>
  <c r="B77" s="1"/>
  <c r="E75"/>
  <c r="AJ61"/>
  <c r="AY61"/>
  <c r="G8"/>
  <c r="A61"/>
  <c r="AF76"/>
  <c r="M76" s="1"/>
  <c r="B76" s="1"/>
  <c r="G12"/>
  <c r="A62"/>
  <c r="AN62" s="1"/>
  <c r="AJ62"/>
  <c r="G9"/>
  <c r="AI63"/>
  <c r="A179" s="1"/>
  <c r="D83" s="1"/>
  <c r="AN66"/>
  <c r="AY65"/>
  <c r="AY62"/>
  <c r="AJ65"/>
  <c r="S76"/>
  <c r="P76"/>
  <c r="F75"/>
  <c r="AA6" l="1"/>
  <c r="G78"/>
  <c r="J78" s="1"/>
  <c r="V78" s="1"/>
  <c r="L75"/>
  <c r="Q75"/>
  <c r="AA7"/>
  <c r="L77"/>
  <c r="Q77"/>
  <c r="AA8"/>
  <c r="AJ60"/>
  <c r="G7"/>
  <c r="A60"/>
  <c r="AN60" s="1"/>
  <c r="AY60"/>
  <c r="AN61"/>
  <c r="AI59"/>
  <c r="A178" s="1"/>
  <c r="C83" s="1"/>
  <c r="C75"/>
  <c r="Q76"/>
  <c r="W54"/>
  <c r="L76"/>
  <c r="AM75" l="1"/>
  <c r="Z75" s="1"/>
  <c r="I75"/>
  <c r="Y75"/>
  <c r="W75"/>
  <c r="O78"/>
  <c r="W77"/>
  <c r="Y77"/>
  <c r="I77"/>
  <c r="R77" s="1"/>
  <c r="AM77"/>
  <c r="Z77" s="1"/>
  <c r="W76"/>
  <c r="AM76"/>
  <c r="Z76" s="1"/>
  <c r="Y76"/>
  <c r="I76"/>
  <c r="N76" s="1"/>
  <c r="K78" l="1"/>
  <c r="AB78" s="1"/>
  <c r="AK78"/>
  <c r="R75"/>
  <c r="AH75"/>
  <c r="N75"/>
  <c r="H75" s="1"/>
  <c r="N77"/>
  <c r="H77" s="1"/>
  <c r="AH77"/>
  <c r="AH76"/>
  <c r="H76"/>
  <c r="R76"/>
  <c r="A112" s="1"/>
  <c r="U75" l="1"/>
  <c r="AC75" s="1"/>
  <c r="G75"/>
  <c r="J75" s="1"/>
  <c r="U77"/>
  <c r="AA77" s="1"/>
  <c r="G77"/>
  <c r="J77" s="1"/>
  <c r="V77" s="1"/>
  <c r="U76"/>
  <c r="AA76" s="1"/>
  <c r="G76"/>
  <c r="J76" s="1"/>
  <c r="V76" s="1"/>
  <c r="S1"/>
  <c r="AA75" l="1"/>
  <c r="O75"/>
  <c r="V75"/>
  <c r="AC76"/>
  <c r="AC77" s="1"/>
  <c r="AC78" s="1"/>
  <c r="O77"/>
  <c r="K77" s="1"/>
  <c r="AB77" s="1"/>
  <c r="O76"/>
  <c r="K76" s="1"/>
  <c r="AB76" s="1"/>
  <c r="AE76" s="1"/>
  <c r="AE77" l="1"/>
  <c r="AK75"/>
  <c r="K75"/>
  <c r="AN44"/>
  <c r="AN33" s="1"/>
  <c r="AF197"/>
  <c r="I197" s="1"/>
  <c r="AE78"/>
  <c r="B78" s="1"/>
  <c r="AK77"/>
  <c r="AK76"/>
  <c r="AG78" l="1"/>
  <c r="AB75"/>
  <c r="AE75" s="1"/>
  <c r="B75" s="1"/>
  <c r="P197"/>
  <c r="AK54"/>
  <c r="B129"/>
  <c r="AJ76" l="1"/>
  <c r="D129" s="1"/>
  <c r="A129" s="1"/>
  <c r="G23"/>
  <c r="AG76"/>
  <c r="AL76"/>
  <c r="A76" s="1"/>
  <c r="G99" s="1"/>
  <c r="G129"/>
  <c r="AY76"/>
  <c r="AG75"/>
  <c r="G25"/>
  <c r="AJ78"/>
  <c r="D131" s="1"/>
  <c r="AL78"/>
  <c r="A78" s="1"/>
  <c r="G101" s="1"/>
  <c r="G131"/>
  <c r="AY78"/>
  <c r="B131"/>
  <c r="AJ77"/>
  <c r="D130" s="1"/>
  <c r="B130"/>
  <c r="E129"/>
  <c r="Y129"/>
  <c r="F129"/>
  <c r="AG77" l="1"/>
  <c r="AL77"/>
  <c r="A77" s="1"/>
  <c r="G100" s="1"/>
  <c r="G130"/>
  <c r="G24"/>
  <c r="AY77"/>
  <c r="A130"/>
  <c r="F131"/>
  <c r="E131"/>
  <c r="Y131"/>
  <c r="AN78"/>
  <c r="G22"/>
  <c r="AJ75"/>
  <c r="D128" s="1"/>
  <c r="AA128"/>
  <c r="AY75"/>
  <c r="AL75"/>
  <c r="A75" s="1"/>
  <c r="B128"/>
  <c r="G128"/>
  <c r="AI75"/>
  <c r="AF15" s="1"/>
  <c r="Y42" s="1"/>
  <c r="Y43" s="1"/>
  <c r="Y44" s="1"/>
  <c r="Y45" s="1"/>
  <c r="Y46" s="1"/>
  <c r="AN21" s="1"/>
  <c r="AN76"/>
  <c r="A131"/>
  <c r="F130"/>
  <c r="Y130"/>
  <c r="E130"/>
  <c r="AN77" l="1"/>
  <c r="AA83"/>
  <c r="AY54"/>
  <c r="AE2" s="1"/>
  <c r="AN4" s="1"/>
  <c r="A197"/>
  <c r="A199" s="1"/>
  <c r="A128"/>
  <c r="AL54"/>
  <c r="AF132" s="1"/>
  <c r="A222" s="1"/>
  <c r="AI54"/>
  <c r="Y18" s="1"/>
  <c r="A182"/>
  <c r="L83" s="1"/>
  <c r="G102"/>
  <c r="A43" s="1"/>
  <c r="A92" s="1"/>
  <c r="A45" s="1"/>
  <c r="G98"/>
  <c r="AN75"/>
  <c r="B25"/>
  <c r="AL149" s="1"/>
  <c r="A46"/>
  <c r="E128"/>
  <c r="Y128"/>
  <c r="Z128" s="1"/>
  <c r="D15" s="1"/>
  <c r="F128"/>
  <c r="AN30"/>
  <c r="A213"/>
  <c r="AL150" l="1"/>
  <c r="A214"/>
  <c r="A215" s="1"/>
  <c r="A191"/>
  <c r="A186"/>
  <c r="AM33" s="1"/>
  <c r="AH1" s="1"/>
  <c r="A31"/>
  <c r="AN27" s="1"/>
  <c r="AF98"/>
  <c r="AL145"/>
  <c r="A223"/>
  <c r="B231"/>
  <c r="AC1" s="1"/>
  <c r="J83"/>
  <c r="A110"/>
  <c r="T1"/>
  <c r="I143" s="1"/>
  <c r="I177" s="1"/>
  <c r="A212"/>
  <c r="A208" s="1"/>
  <c r="B54" s="1"/>
  <c r="AA54" s="1"/>
  <c r="A23"/>
  <c r="AL146"/>
  <c r="O2"/>
  <c r="AN54"/>
  <c r="AM54"/>
  <c r="U19" l="1"/>
  <c r="AF2"/>
  <c r="AA48" s="1"/>
  <c r="A104"/>
  <c r="A98"/>
  <c r="P28"/>
  <c r="I28" s="1"/>
  <c r="B197"/>
  <c r="Y2"/>
  <c r="A7" s="1"/>
  <c r="W2"/>
  <c r="AL2"/>
  <c r="P42" l="1"/>
  <c r="A2" i="7"/>
  <c r="I42" i="1"/>
  <c r="AF42" s="1"/>
  <c r="AA42"/>
  <c r="Y1"/>
  <c r="A195" s="1"/>
  <c r="Y83" s="1"/>
  <c r="Y84" s="1"/>
  <c r="W98" s="1"/>
  <c r="A44" s="1"/>
  <c r="W204"/>
  <c r="W225" s="1"/>
  <c r="AF143" s="1"/>
  <c r="AA3" s="1"/>
  <c r="AA4" s="1"/>
  <c r="AA2" s="1"/>
  <c r="B4" s="1"/>
  <c r="I54"/>
  <c r="P54" s="1"/>
  <c r="P2"/>
  <c r="A2" i="5"/>
  <c r="AF28" i="1"/>
  <c r="B27"/>
  <c r="B42"/>
  <c r="B49"/>
  <c r="AV1" s="1"/>
  <c r="D201" l="1"/>
  <c r="D200"/>
  <c r="D199"/>
  <c r="D198"/>
  <c r="C200"/>
  <c r="C198"/>
  <c r="C199"/>
  <c r="C201"/>
  <c r="I134"/>
  <c r="B134" s="1"/>
  <c r="AD2"/>
  <c r="AA49"/>
  <c r="A205"/>
  <c r="C202" l="1"/>
  <c r="D202"/>
  <c r="W1"/>
  <c r="AA12"/>
  <c r="AA18" l="1"/>
  <c r="AL19"/>
  <c r="AM2" l="1"/>
  <c r="AN24" s="1"/>
  <c r="AN1"/>
  <c r="H54" l="1"/>
  <c r="G54"/>
  <c r="P132"/>
  <c r="AF18" s="1"/>
  <c r="A25"/>
  <c r="P1" s="1"/>
  <c r="B198" l="1"/>
  <c r="B201"/>
  <c r="B199"/>
  <c r="B200"/>
  <c r="B202" l="1"/>
  <c r="E198" s="1"/>
  <c r="A203" s="1"/>
  <c r="B203" l="1"/>
</calcChain>
</file>

<file path=xl/sharedStrings.xml><?xml version="1.0" encoding="utf-8"?>
<sst xmlns="http://schemas.openxmlformats.org/spreadsheetml/2006/main" count="207" uniqueCount="173">
  <si>
    <t>MACRO.CHERCHE.FICHIER.A.MODIFIER</t>
  </si>
  <si>
    <t xml:space="preserve"> </t>
  </si>
  <si>
    <t>=</t>
  </si>
  <si>
    <t>aeioursmnptlgvbcdfhjkqwxyz</t>
  </si>
  <si>
    <t>CHELSEA GAGNE LA COUPE DE L'UEFA 2012-13                                                                                                                         CARDOZO [BEN]: 6 BUTS</t>
  </si>
  <si>
    <t>LE FC SEVILLE GAGNE LA COUPE DE L'UEFA 2006-07                                                                                                       SIMAO [BEN]: 4 BUTS</t>
  </si>
  <si>
    <t>LE FC PORTO GAGNE LA COUPE DE L'UEFA 2010-11                                                                                                       FALCAO [POR]: 10 BUTS</t>
  </si>
  <si>
    <t>LE BRESIL GAGNE LES CONFEDERATIONS 2013                                                                                                                                          FRED [BRE]: 5 BUTS</t>
  </si>
  <si>
    <t>LA FRANCE GAGNE LES CONFEDERATIONS 2003                                                                                                                   HENRY [FRA]: 4 BUTS</t>
  </si>
  <si>
    <t>LE BRESIL GAGNE LES CONFEDERATIONS 2009                                                                                                                   FABIANO [BRE]: 5 BUTS</t>
  </si>
  <si>
    <t>LE BRESIL GAGNE LES CONFEDERATIONS 2005                                                                                                                   ADRIANO [BRE]: 5 BUTS</t>
  </si>
  <si>
    <t>BORDEAUX GAGNE LA COUPE DE FRANCE 2012-13                                                                                                                                                                                           DIABATE [BDX]: 6 BUTS</t>
  </si>
  <si>
    <t>LYON GAGNE LA COUPE DE FRANCE 2011-12                                                                                                                                                                                                                                                                                   GOMIS [OL]: 3 BUTS</t>
  </si>
  <si>
    <t>LILLE GAGNE LA COUPE DE FRANCE 2010-11                                                                                                                                                                                                                                                             HOARAU [PSG]: 4 BUTS</t>
  </si>
  <si>
    <t>LE PSG GAGNE LA COUPE DE FRANCE 2009-10                                                                                                                                                                                                                                                   JELEN [AJA]: 3 BUTS</t>
  </si>
  <si>
    <t>GUINGAMP GAGNE LA COUPE DE FRANCE 2008-09                                                                                                                                                                                EDUARDO [GUI]: 5 BUTS</t>
  </si>
  <si>
    <t>LYON GAGNE LA COUPE DE FRANCE 2007-08                                                                                                                                                                                                                                       BENZEMA [OL]: 3 BUTS</t>
  </si>
  <si>
    <t>ST ETIENNE GAGNE LA COUPE DE LA LIGUE 2012-13                                                                                                                                                                                           TINHAN [MTP]: 2 BUTS</t>
  </si>
  <si>
    <t>BORDEAUX GAGNE LA COUPE DE LA LIGUE 2008-09                                                                                                                                                                                 BELLION [BDX]: 2 BUTS</t>
  </si>
  <si>
    <t>LE PSG GAGNE LA COUPE DE LA LIGUE 2007-08                                                                                                                                                                                                                 PAULETA [PSG]: 5 BUTS</t>
  </si>
  <si>
    <t>MONTPELLIER CHAMPION 2011-12 [82 PTS] &amp; L'OM {10°} [48 PTS]                                                                                                                                    GIROUD [MTP]: 21 BUTS</t>
  </si>
  <si>
    <t>LILLE CHAMPION 2010-11 [76 PTS] &amp; L'OM {2°} [68 PTS]                                                                                                                                                                                                                                                             SOW [LIL]: 25 BUTS</t>
  </si>
  <si>
    <t>BORDEAUX CHAMPION 2008-09 [80 PTS] &amp; L'OM {2°} [77 PTS]                                                                                                                                                          GIGNAC [TFC]: 24 BUTS</t>
  </si>
  <si>
    <t>LYON CHAMPION 2007-08 [79 PTS] &amp; L'OM {3°} [62 PTS]                                                                                                                                                                                           BENZEMA [OL]: 20 BUTS</t>
  </si>
  <si>
    <t>LYON CHAMPION 2006-07 [81 PTS] &amp; L'OM {2°} [64 PTS]                                                                                                                                                                                                      PAULETA [PSG]: 15 BUTS</t>
  </si>
  <si>
    <t>LYON CHAMPION 2005-06 [84 PTS] &amp; L'OM {5°} [60 PTS]                                                                                                                                                                                                      PAULETA [PSG]: 21 BUTS</t>
  </si>
  <si>
    <t>LYON CHAMPION 2004-05 [79 PTS] &amp; L'OM {5°} [55 PTS]                                                                                                                                                                                                                                                  FREI [REN]: 20 BUTS</t>
  </si>
  <si>
    <t>LYON CHAMPION 2003-04 [79 PTS] &amp; L'OM {7°} [57 PTS]                                                                                                                                                                                                                                       CISSE [AJA]: 26 BUTS</t>
  </si>
  <si>
    <t>LYON CHAMPION 2002-03 [68 PTS] &amp; L'OM {3°} [65 PTS]                                                                                                                                                                                                                 NONDA [ASM]: 26 BUTS</t>
  </si>
  <si>
    <t>LYON CHAMPION 2001-02 [66 PTS] &amp; L'OM {9°} [44 PTS]                                                                                                                                                                                                                                       CISSE [AJA]: 22 BUTS</t>
  </si>
  <si>
    <t>NANTES CHAMPION 2000-01 [68 PTS] &amp; L'OM {15°} [40 PTS]                                                                                                                                                          ANDERSON [OL]: 22 BUTS</t>
  </si>
  <si>
    <t>L'ESPAGNE GAGNE LA COUPE DU MONDE 2010                                                                                                                                                                                                                                                                                                         DAVID VILLA [ESP]: 5 BUTS</t>
  </si>
  <si>
    <t>LA FRANCE GAGNE LA COUPE DU MONDE 1998                                                                                                                                                                                                                                                                                               SUKER [CRO]: 5 BUTS</t>
  </si>
  <si>
    <t>L'ITALIE GAGNE LA COUPE DU MONDE 2006                                                                                                                                                                                                                                                                                                                                          KLOSE [ALL]: 5 BUTS</t>
  </si>
  <si>
    <t>LE BRESIL GAGNE LA COUPE DU MONDE 2002                                                                                                                                                                                                                                                                                    RONALDO [BRE]: 8 BUTS</t>
  </si>
  <si>
    <t>L'ESPAGNE GAGNE L'EURO 2008                                                                                                                                                                                                                                                                                                                                                                                                                                   DAVID VILLA [ESP]: 4 BUTS</t>
  </si>
  <si>
    <t>LA GRECE GAGNE L'EURO 2004                                                                                                                                                                                                                                                                                                                                                                                                                                   BAROS [TCH]: 5 BUTS</t>
  </si>
  <si>
    <t>LA FRANCE GAGNE L'EURO 2000                                                                                                                                                                                                                                                                                                                                                                                                  KLUIVERT [HOL]: 5 BUTS</t>
  </si>
  <si>
    <t>L'ESPAGNE GAGNE L'EURO 2012                                                                                                                                                                                                                                                                                                                                                                                                                                   MARIO GOMEZ [ALL]: 3 BUTS</t>
  </si>
  <si>
    <t>VETTEL (281 PTS) &amp; RED BULL GAGNENT LA SAISON 2012                                                                                                                                                                                                                                       {+3} ALONSO</t>
  </si>
  <si>
    <t>VETTEL (392 PTS) &amp; RED BULL GAGNENT LA SAISON 2011                                                                                                                                                                                                                  {+122} BUTTON</t>
  </si>
  <si>
    <t>VETTEL (256 PTS) &amp; RED BULL GAGNENT LA SAISON 2010                                                                                                                                                                                                                                       {+4} ALONSO</t>
  </si>
  <si>
    <t>BUTTON (100 PTS) &amp; HONDA GAGNENT LA SAISON 2009                                                                                                                                                                                                                                                   {+16} VETTEL</t>
  </si>
  <si>
    <t>HAMILTON (98 PTS) &amp; FERRARI GAGNENT LA SAISON 2008                                                                                                                                                                                                                            {+1} MASSA</t>
  </si>
  <si>
    <t>RAIKKONEN (110 PTS) &amp; RENAULT GAGNENT LA SAISON 2007                                                                                                                                                                                                       {+1} ALONSO</t>
  </si>
  <si>
    <t>ALONSO (134 PTS) &amp; RENAULT GAGNENT LA SAISON 2006                                                                                                                                                                                                                            {+13} SCHUMACHER</t>
  </si>
  <si>
    <t>ALONSO (123 PTS) &amp; RENAULT GAGNENT LA SAISON 2005                                                                                                                                                                                                                            {+19} RAIKKONEN</t>
  </si>
  <si>
    <t>SCHUMACHER (148 PTS) &amp; FERRARI GAGNENT LA SAISON 2004                                                                                                                                                                     {+34} BARRICHELLO</t>
  </si>
  <si>
    <t>SCHUMACHER (144 PTS) &amp; FERRARI GAGNENT LA SAISON 2002                                                                                                                                                                      {+67} BARRICHELLO</t>
  </si>
  <si>
    <t>SCHUMACHER (123 PTS) &amp; FERRARI GAGNENT LA SAISON 2001                                                                                                                                                                                {+58} COULTHARD</t>
  </si>
  <si>
    <t>VETTEL (397 PTS) &amp; RED BULL GAGNENT LA SAISON 2013                                                                                                                                                                                                                  {+155} ALONSO</t>
  </si>
  <si>
    <t>MACRO.A1</t>
  </si>
  <si>
    <t>MACRO.DEVEROUILLE</t>
  </si>
  <si>
    <t>L'OLYMPIQUE DE MARSEILLE CHAMPION 2009-10 [78 PTS] {+6 OL}                                                                                                                                                                                                                                                                                                                                                     NIANG [OM]: 18 BUTS</t>
  </si>
  <si>
    <t>L'OLYMPIQUE DE MARSEILLE GAGNE LA COUPE DE LA LIGUE 2011-12                                                                                                                                                                                                                  REMY [OM]: 4 BUTS</t>
  </si>
  <si>
    <t>L'OLYMPIQUE DE MARSEILLE GAGNE LA COUPE DE LA LIGUE 2010-11                                                                                                                                                                                                       KABZE [MTP]: 3 BUTS</t>
  </si>
  <si>
    <t>L'OLYMPIQUE DE MARSEILLE GAGNE LA COUPE DE LA LIGUE 2009-10                                                                                                                                                           BRANDAO [OM]: 4 BUTS</t>
  </si>
  <si>
    <t>MACRO.ECRIRE.L1</t>
  </si>
  <si>
    <t>MACRO.ECRIRE.LDC</t>
  </si>
  <si>
    <t>MACRO.ECRIRE.UEFA</t>
  </si>
  <si>
    <t>MACRO.ECRIRE.COUPE.FRANCE</t>
  </si>
  <si>
    <t>MACRO.ECRIRE.COUPE.LIGUE</t>
  </si>
  <si>
    <t>MACRO.ECRIRE.FORMULE1</t>
  </si>
  <si>
    <t>MACRO.ECRIRE.MONDIAL</t>
  </si>
  <si>
    <t>MACRO.ECRIRE.EURO</t>
  </si>
  <si>
    <t>MACRO.ECRIRE.CONFEDERATIONS</t>
  </si>
  <si>
    <t/>
  </si>
  <si>
    <t>MACRO.VER.JUSTE.OU.FAUX</t>
  </si>
  <si>
    <t>MACRO.CHERCHE.FIN.A.MODIFIER</t>
  </si>
  <si>
    <t>SCHUMACHER (93 PTS) &amp; FERRARI GAGNENT LA SAISON 2003                                                                                                                                                                                                                                                                                              {+2} RAIKKONEN</t>
  </si>
  <si>
    <t>MACRO.EFFACE.TV.A1</t>
  </si>
  <si>
    <t>MACRO.EFFACE.TV</t>
  </si>
  <si>
    <t>MACRO.EFFACE.PROGRAMME</t>
  </si>
  <si>
    <t>LE FC BARCELONE GAGNE LA CHAMPION'S LEAGUE 2014-15                                                                                      MESSI [BAR]: 10 BUTS</t>
  </si>
  <si>
    <t>LE FC BARCELONE GAGNE LA CHAMPION'S LEAGUE 2010-11                                                                                       MESSI [BAR]: 12 BUTS</t>
  </si>
  <si>
    <t>CHELSEA GAGNE LA CHAMPION'S LEAGUE 2011-12                                                                                                       MESSI [BAR]: 14 BUTS</t>
  </si>
  <si>
    <t>L'INTER MILAN GAGNE LA CHAMPION'S LEAGUE 2009-10                                                                                                   MESSI [BAR]: 8 BUTS</t>
  </si>
  <si>
    <t>LE FC BARCELONE GAGNE LA CHAMPION'S LEAGUE 2008-09                                                                                         MESSI [BAR]: 9 BUTS</t>
  </si>
  <si>
    <t>LIVERPOOL GAGNE LA CHAMPION'S LEAGUE 2004-05                                                                                                      VAN NISTELROOY [M.U]: 8 BUTS</t>
  </si>
  <si>
    <t>LE REAL MADRID GAGNE LA CHAMPION'S LEAGUE 2001-02                                                                                             VAN NISTELROOY [M.U]: 10 BUTS</t>
  </si>
  <si>
    <t>LE MILAN AC GAGNE LA CHAMPION'S LEAGUE 2002-03                                                                                                        VAN NISTELROOY [M.U]: 12 BUTS</t>
  </si>
  <si>
    <t>LE FC BARCELONE GAGNE LA CHAMPION'S LEAGUE 2005-06                                                                         SHEVCHENKO [MIL]: 9 BUTS</t>
  </si>
  <si>
    <t>LE MILAN AC GAGNE LA CHAMPION'S LEAGUE 2006-07                                                                                                   KAKA [MIL]: 10 BUTS</t>
  </si>
  <si>
    <t>LE FC PORTO GAGNE LA CHAMPION'S LEAGUE 2003-04                                                                                   MORIENTES [ASM]: 9 BUTS</t>
  </si>
  <si>
    <t>LE FC SEVILLE GAGNE LA COUPE DE L'UEFA 2015-16                                                                                              GAMEIRO [SEV]: 7 BUTS</t>
  </si>
  <si>
    <t>LE FC SEVILLE GAGNE LA COUPE DE L'UEFA 2014-15                                                                                                         BACCA [SEV]: 5 BUTS</t>
  </si>
  <si>
    <t>LE FC SEVILLE GAGNE LA COUPE DE L'UEFA 2013-14                                                                                              ALCACER [VAL]: 3 BUTS</t>
  </si>
  <si>
    <t>L'ATLETICO MADRID GAGNE LA COUPE DE L'UEFA 2011-12                                                                                       FALCAO [ATL]: 7 BUTS</t>
  </si>
  <si>
    <t>L'ATLETICO MADRID GAGNE LA COUPE DE L'UEFA 2009-10                                                                                     FORLAN [ATL]: 5 BUTS</t>
  </si>
  <si>
    <t>LE CHAKTOR DONETSK GAGNE LA COUPE DE L'UEFA 2008-09                                                                                      DIEGO [WER]: 5 BUTS</t>
  </si>
  <si>
    <t>ST PETERSBOURG GAGNE LA COUPE DE L'UEFA 2007-08                                                                              POGREBNYAK [ZEN]: 5 BUTS</t>
  </si>
  <si>
    <t>LE FC VALENCE GAGNE LA COUPE DE L'UEFA 2003-04                                                                                                     SHEARER [NEW]: 6 BUTS</t>
  </si>
  <si>
    <t>LE CSKA MOSCOU GAGNE LA COUPE DE L'UEFA 2004-05                                                                                         SHEARER [NEW]: 4 BUTS</t>
  </si>
  <si>
    <t>LE FC SEVILLE GAGNE LA COUPE DE L'UEFA 2005-06                                                                                                      EDUARDO [BAL]: 3 BUTS</t>
  </si>
  <si>
    <t>LE PSG GAGNE LA COUPE DE FRANCE 2015-16                                                                                                        IBRAHIMOVIC [PSG]: 5 BUTS</t>
  </si>
  <si>
    <t>LE PSG GAGNE LA COUPE DE FRANCE 2014-15                                                                                                     MANDANNE [GUI]: 3 BUTS</t>
  </si>
  <si>
    <t>GUINGAMP GAGNE LA COUPE DE FRANCE 2013-14                                                                                                   YATABARE [GUI]: 5 BUTS {+2}</t>
  </si>
  <si>
    <t>LE PSG GAGNE LA COUPE DE LA LIGUE 2013-14                                                                                                           CAVANI [PSG]: 4 BUTS</t>
  </si>
  <si>
    <t>LE PSG GAGNE LA COUPE DE LA LIGUE 2014-15                                                                                                                    CAVANI [PSG]: 3 BUTS</t>
  </si>
  <si>
    <t>LE PSG GAGNE LA COUPE DE LA LIGUE 2015-16                                                                                                                  BEN YEDDER [TFC]: 3 BUTS</t>
  </si>
  <si>
    <t>L'ALLEMAGNE GAGNE LA COUPE DU MONDE 2014                                                                                                   JAMES RODRIGUEZ [COL]: 6 BUTS</t>
  </si>
  <si>
    <t>HAMILTON (359 PTS) &amp; MERCEDES GAGNENT LA SAISON 2014                                                                    {+27} ROSBERG</t>
  </si>
  <si>
    <t>HAMILTON (381 PTS) &amp; MERCEDES GAGNENT LA SAISON 2015                                                                          {+59} ROSBERG</t>
  </si>
  <si>
    <t>ROSBERG (385 PTS) &amp; MERCEDES GAGNENT LA SAISON 2016                                                                          {+5} HAMILTON</t>
  </si>
  <si>
    <t>LE PORTUGAL GAGNE L'EURO 2016                                                                                                                 GRIEZMANN [FRA]: 6 BUTS</t>
  </si>
  <si>
    <t>LE PSG GAGNE LA COUPE DE LA LIGUE 2016-17                                                                                                                  LABORDE [BDX]: 4 BUTS</t>
  </si>
  <si>
    <t>LE PSG CHAMPION 2015-16 [96 PTS] &amp; L'OM {13°} [48 PTS]                                                                                                IBRAHIMOVIC [PSG]: 38 BUTS</t>
  </si>
  <si>
    <t>LE PSG CHAMPION 2014-15 [83 PTS] &amp; L'OM {4°} [69 PTS]                                                           LACAZETTE [OL]: 27 BUTS</t>
  </si>
  <si>
    <t>LE PSG CHAMPION 2013-14 [89 PTS] &amp; L'OM {6°} [60 PTS]                                                            IBRAHIMOVIC [PSG]: 26 BUTS</t>
  </si>
  <si>
    <t>LE PSG CHAMPION 2012-13 [83 PTS] &amp; L'OM {2°} [71 PTS]                                                                                                                                     IBRAHIMOVIC [PSG]: 30 BUTS</t>
  </si>
  <si>
    <t>MANCHESTER UNITED GAGNE LA COUPE DE L'UEFA 2016-17                                         DOLBERG [AJA]: 5 BUTS</t>
  </si>
  <si>
    <t>LE PSG GAGNE LA COUPE DE FRANCE 2016-17                                                                                                        LABORDE [BDX]: 2 BUTS</t>
  </si>
  <si>
    <t>MONACO CHAMPION 2016-17 [93 PTS] &amp; L'OM {5°} [62 PTS]                                              CAVANI [PSG]: 35 BUTS</t>
  </si>
  <si>
    <t>EURO</t>
  </si>
  <si>
    <t>ASSOMPTION</t>
  </si>
  <si>
    <t>NOEL</t>
  </si>
  <si>
    <t>ENVIE</t>
  </si>
  <si>
    <t>ARMISTICE 1945</t>
  </si>
  <si>
    <t>PENTECOTE</t>
  </si>
  <si>
    <t>COUPE DE LA LIGUE</t>
  </si>
  <si>
    <t>MONDIAL</t>
  </si>
  <si>
    <t>UEFA</t>
  </si>
  <si>
    <t>FORMULE 1</t>
  </si>
  <si>
    <t>COUPE DE FRANCE</t>
  </si>
  <si>
    <t>CONFEDERATIONS</t>
  </si>
  <si>
    <t>ENVIE FIN</t>
  </si>
  <si>
    <t>FETE DU TRAVAIL</t>
  </si>
  <si>
    <t>FETE DE MAMAN</t>
  </si>
  <si>
    <t>FETE NATIONALE</t>
  </si>
  <si>
    <t>CHAMPIONNAT</t>
  </si>
  <si>
    <t>CHAMPION'S LEAGUE</t>
  </si>
  <si>
    <t>ANNIVERSAIRE DE MICHA</t>
  </si>
  <si>
    <t>ANNIVERSAIRE MAMAN ET JOSIANE</t>
  </si>
  <si>
    <t>OK</t>
  </si>
  <si>
    <t>JOUR DE PAQUES</t>
  </si>
  <si>
    <t>JOUR DE LA TOUSSAINT</t>
  </si>
  <si>
    <t>(A 20H40 SUR AB1): [RAW]</t>
  </si>
  <si>
    <t>JOUR DE L'ARMISTICE 14-18</t>
  </si>
  <si>
    <t>HAMILTON (363 PTS) &amp; MERCEDES GAGNENT LA SAISON 2017                                                                          {+46} VETTEL</t>
  </si>
  <si>
    <t>JOUR DE NOEL</t>
  </si>
  <si>
    <t>REVEILLON DU NOUVEL AN</t>
  </si>
  <si>
    <t>PAQUES</t>
  </si>
  <si>
    <t>LE PSG GAGNE LA COUPE DE LA LIGUE 2017-18                                                           FALCAO [ASM]: 3 BUTS {+1}</t>
  </si>
  <si>
    <t>L'ALLEMAGNE GAGNE LES CONFEDERATIONS 2017                                                                                                                                          GORETZKA [ALL]: 3 BUTS</t>
  </si>
  <si>
    <t>LE PSG CHAMPION 2017-18 [93 PTS] &amp; L'OM {4°} [77 PTS]                                              CAVANI [PSG]: 28 BUTS</t>
  </si>
  <si>
    <t>LE REAL MADRID GAGNE LA CHAMPION'S LEAGUE 2013-14                                                                                  C.RONALDO [REA]: 17 BUTS {+7}</t>
  </si>
  <si>
    <t>LE REAL MADRID GAGNE LA CHAMION'S LEAGUE 2015-16                                                                                     C.RONALDO [REA]: 16 BUTS</t>
  </si>
  <si>
    <t>LE REAL MADRID GAGNE LA CHAMION'S LEAGUE 2016-17                                                                                     C.RONALDO [REA]: 12 BUTS</t>
  </si>
  <si>
    <t>LE BAYERN MUNICH GAGNE LA CHAMPION'S LEAGUE 2012-13                                                                             C.RONALDO [REA]: 12 BUTS</t>
  </si>
  <si>
    <t>MANCHESTER UNITED GAGNE LA CHAMPION'S LEAGUE 2007-08                                                                           C.RONALDO [M.U]: 8 BUTS</t>
  </si>
  <si>
    <t>LE REAL MADRID GAGNE LA CHAMPION'S LEAGUE 2017-18                               C.RONALDO [REA]: 15 BUTS</t>
  </si>
  <si>
    <t>ENVIE 1</t>
  </si>
  <si>
    <t>ENVIE 2</t>
  </si>
  <si>
    <t>(A 20H40 SUR AB1): [SMACKDOWN]</t>
  </si>
  <si>
    <t>HAMILTON (408 PTS) &amp; MERCEDES GAGNENT LA SAISON 2018                        {+88} VETTEL</t>
  </si>
  <si>
    <t>RENNES GAGNE LA COUPE DE FRANCE 2018-19                                                                     NINGA [CAE]: 2 BUTS</t>
  </si>
  <si>
    <t>LE PSG GAGNE LA COUPE DE FRANCE 2017-18                                                                      DI MARIA [PSG]: 5 BUTS</t>
  </si>
  <si>
    <t>STRASBOURG GAGNE LA COUPE DE LA LIGUE 2018-19                                                                                                                                                                                                       THURAM [GII]: 2 BUTS</t>
  </si>
  <si>
    <t>L'ATLETICO MADRID GAGNE LA COUPE DE L'UEFA 2017-18                          GRIEZMANN [ATL]: 5 BUTS</t>
  </si>
  <si>
    <t>JEUDI DE L'ASCENSION</t>
  </si>
  <si>
    <t>LE PSG CHAMPION 2018-19 [91 PTS] &amp; L'OM {5°} [61 PTS]                         M'BAPPE [PSG]: 33 BUTS</t>
  </si>
  <si>
    <t>LIVERPOOL GAGNE LA CHAMPION'S LEAGUE 2018-19                                                 MESSI [BAR]: 12 BUTS</t>
  </si>
  <si>
    <t>LA FRANCE GAGNE LA COUPE DU MONDE 2018                                                                                                                                                                                                                                                                                               KANE [ANG]: 6 BUTS</t>
  </si>
  <si>
    <t>CHELSEA GAGNE LA COUPE DE L'UEFA 2018-19                                               AUBAMEYANG [ARS]: 6 BUTS</t>
  </si>
  <si>
    <t>BONNE ANNIVERSAIRE</t>
  </si>
  <si>
    <t>BONNE FETE</t>
  </si>
  <si>
    <t>LUNDI DE PENTECOTE</t>
  </si>
  <si>
    <t>(A 23H00 SUR TF1): [NEW YORK UNITE SPECIALE]</t>
  </si>
  <si>
    <t>(A 21H05 SUR TF1): [S.W.A.T]</t>
  </si>
  <si>
    <t>(A 18H50 SUR TFX): [TELE-REALITE]</t>
  </si>
  <si>
    <t>(A 19H50 SUR W9): [LES MARSEILLAIS]</t>
  </si>
  <si>
    <t>ALCOLOLO, AMAZING, ANGEL-RIQUEME, ANTHONYP, AQ, ARAPEDE, ASG, BARBEBLEU, BENNY, BERNARD, BIBI, BLEU, BLIMEY, CARLITO, CHENEFF, CHEYROUNETTE, CHRISTOM, CIGOGNE, DALEXANDRO, DAMIANO, DOLY, DOUDOUME, FANFAN, FORZACANA, GALSE, GANDALF, GREGOS, GUYANE, HOAREAU, IDKONE, JAROD, JDOM, JEAN$5, JEAN$68, LALAPPE, LEFADA, LISA, LOLOTTE, LOMESTUNIK, LUKEDEL, L'ANCETRE, L'EMPEREUR, L'IMPERATRICE, MAKOBA, M$2013, MICHA, MINOTVEGAS, MISTER-RECO, MISTRALOU, MONZON, MTP$30, OBAN, OLIVE, OLYMPIEN VOLANT, OM972, OMNUBILE, PANDA, POUCYBET, PROF, QUAND, RAIMU, RIZLAINE, SAMALIN, SICILIANO, SOFIANE, STRATEGIZER, TARTINE, TIOSEB, ULTRAMTP, YANNALDO                                                                                                                                                         JE VOUS OM (SI OUBLIE DITES LE MOI) BON CERTAIN L'OUBLI EST VOLONTAIRE</t>
  </si>
  <si>
    <t>FAIT</t>
  </si>
</sst>
</file>

<file path=xl/styles.xml><?xml version="1.0" encoding="utf-8"?>
<styleSheet xmlns="http://schemas.openxmlformats.org/spreadsheetml/2006/main">
  <numFmts count="14">
    <numFmt numFmtId="164" formatCode="dd/mm/yy"/>
    <numFmt numFmtId="165" formatCode="#,##0.00\ &quot;€&quot;"/>
    <numFmt numFmtId="166" formatCode="_-* #,##0.00\ [$€-40C]_-;\-* #,##0.00\ [$€-40C]_-;_-* &quot;-&quot;??\ [$€-40C]_-;_-@_-"/>
    <numFmt numFmtId="167" formatCode="h:mm"/>
    <numFmt numFmtId="168" formatCode="d/m"/>
    <numFmt numFmtId="169" formatCode="h:mm:ss"/>
    <numFmt numFmtId="170" formatCode="d/m/yy"/>
    <numFmt numFmtId="171" formatCode="#,##0.00_ ;[Red]\-#,##0.00\ "/>
    <numFmt numFmtId="172" formatCode="0.00_ ;[Red]\-0.00\ "/>
    <numFmt numFmtId="173" formatCode="#,##0\ _€"/>
    <numFmt numFmtId="174" formatCode="[$-F400]h:mm:ss\ AM/PM"/>
    <numFmt numFmtId="175" formatCode="h:mm;@"/>
    <numFmt numFmtId="176" formatCode="d/m/yy\ h:mm;@"/>
    <numFmt numFmtId="177" formatCode="[h]:mm"/>
  </numFmts>
  <fonts count="291">
    <font>
      <sz val="8"/>
      <name val="Times New Roman"/>
      <family val="1"/>
    </font>
    <font>
      <sz val="8"/>
      <name val="Times New Roman"/>
      <family val="1"/>
    </font>
    <font>
      <sz val="1"/>
      <name val="Times New Roman"/>
      <family val="1"/>
    </font>
    <font>
      <b/>
      <sz val="8"/>
      <color indexed="15"/>
      <name val="Times New Roman"/>
      <family val="1"/>
    </font>
    <font>
      <sz val="7"/>
      <name val="Times New Roman"/>
      <family val="1"/>
    </font>
    <font>
      <sz val="6"/>
      <name val="Times New Roman"/>
      <family val="1"/>
    </font>
    <font>
      <b/>
      <sz val="8"/>
      <name val="Times New Roman"/>
      <family val="1"/>
    </font>
    <font>
      <b/>
      <sz val="8"/>
      <color indexed="8"/>
      <name val="Times New Roman"/>
      <family val="1"/>
    </font>
    <font>
      <b/>
      <sz val="13"/>
      <color indexed="15"/>
      <name val="Times New Roman"/>
      <family val="1"/>
    </font>
    <font>
      <sz val="6"/>
      <color indexed="15"/>
      <name val="Times New Roman"/>
      <family val="1"/>
    </font>
    <font>
      <b/>
      <sz val="8"/>
      <color indexed="53"/>
      <name val="Times New Roman"/>
      <family val="1"/>
    </font>
    <font>
      <b/>
      <sz val="6"/>
      <color indexed="8"/>
      <name val="Times New Roman"/>
      <family val="1"/>
    </font>
    <font>
      <b/>
      <sz val="8"/>
      <color indexed="9"/>
      <name val="Times New Roman"/>
      <family val="1"/>
    </font>
    <font>
      <b/>
      <sz val="6"/>
      <color indexed="9"/>
      <name val="Times New Roman"/>
      <family val="1"/>
    </font>
    <font>
      <b/>
      <sz val="8"/>
      <color indexed="20"/>
      <name val="Times New Roman"/>
      <family val="1"/>
    </font>
    <font>
      <b/>
      <sz val="8"/>
      <color indexed="10"/>
      <name val="Times New Roman"/>
      <family val="1"/>
    </font>
    <font>
      <b/>
      <sz val="6"/>
      <color indexed="10"/>
      <name val="Times New Roman"/>
      <family val="1"/>
    </font>
    <font>
      <b/>
      <sz val="8"/>
      <color indexed="13"/>
      <name val="Times New Roman"/>
      <family val="1"/>
    </font>
    <font>
      <b/>
      <sz val="8"/>
      <color indexed="12"/>
      <name val="Times New Roman"/>
      <family val="1"/>
    </font>
    <font>
      <b/>
      <sz val="8"/>
      <color indexed="16"/>
      <name val="Times New Roman"/>
      <family val="1"/>
    </font>
    <font>
      <b/>
      <sz val="20"/>
      <name val="Times New Roman"/>
      <family val="1"/>
    </font>
    <font>
      <b/>
      <sz val="6"/>
      <name val="Times New Roman"/>
      <family val="1"/>
    </font>
    <font>
      <sz val="5"/>
      <name val="Times New Roman"/>
      <family val="1"/>
    </font>
    <font>
      <b/>
      <sz val="10"/>
      <name val="Times New Roman"/>
      <family val="1"/>
    </font>
    <font>
      <b/>
      <sz val="7"/>
      <name val="Times New Roman"/>
      <family val="1"/>
    </font>
    <font>
      <b/>
      <sz val="10"/>
      <color indexed="17"/>
      <name val="Times New Roman"/>
      <family val="1"/>
    </font>
    <font>
      <b/>
      <sz val="11"/>
      <color indexed="15"/>
      <name val="Times New Roman"/>
      <family val="1"/>
    </font>
    <font>
      <b/>
      <sz val="30"/>
      <name val="Times New Roman"/>
      <family val="1"/>
    </font>
    <font>
      <b/>
      <sz val="10"/>
      <color indexed="8"/>
      <name val="Times New Roman"/>
      <family val="1"/>
    </font>
    <font>
      <b/>
      <sz val="20"/>
      <color indexed="15"/>
      <name val="Times New Roman"/>
      <family val="1"/>
    </font>
    <font>
      <b/>
      <sz val="30"/>
      <color indexed="10"/>
      <name val="Times New Roman"/>
      <family val="1"/>
    </font>
    <font>
      <sz val="5"/>
      <color indexed="10"/>
      <name val="Times New Roman"/>
      <family val="1"/>
    </font>
    <font>
      <b/>
      <sz val="13"/>
      <color indexed="10"/>
      <name val="Times New Roman"/>
      <family val="1"/>
    </font>
    <font>
      <b/>
      <sz val="13"/>
      <name val="Times New Roman"/>
      <family val="1"/>
    </font>
    <font>
      <b/>
      <sz val="13"/>
      <color indexed="17"/>
      <name val="Times New Roman"/>
      <family val="1"/>
    </font>
    <font>
      <b/>
      <sz val="50"/>
      <color indexed="17"/>
      <name val="Times New Roman"/>
      <family val="1"/>
    </font>
    <font>
      <b/>
      <sz val="26"/>
      <color indexed="9"/>
      <name val="Times New Roman"/>
      <family val="1"/>
    </font>
    <font>
      <sz val="8"/>
      <color indexed="15"/>
      <name val="Times New Roman"/>
      <family val="1"/>
    </font>
    <font>
      <b/>
      <sz val="13"/>
      <color indexed="8"/>
      <name val="Times New Roman"/>
      <family val="1"/>
    </font>
    <font>
      <b/>
      <sz val="16"/>
      <color indexed="12"/>
      <name val="Times New Roman"/>
      <family val="1"/>
    </font>
    <font>
      <b/>
      <sz val="9"/>
      <name val="Times New Roman"/>
      <family val="1"/>
    </font>
    <font>
      <b/>
      <sz val="45"/>
      <color indexed="60"/>
      <name val="Times New Roman"/>
      <family val="1"/>
    </font>
    <font>
      <b/>
      <sz val="40"/>
      <color indexed="60"/>
      <name val="Times New Roman"/>
      <family val="1"/>
    </font>
    <font>
      <b/>
      <sz val="30"/>
      <color indexed="15"/>
      <name val="Times New Roman"/>
      <family val="1"/>
    </font>
    <font>
      <b/>
      <sz val="100"/>
      <color indexed="8"/>
      <name val="Times New Roman"/>
      <family val="1"/>
    </font>
    <font>
      <b/>
      <sz val="30"/>
      <color indexed="8"/>
      <name val="Times New Roman"/>
      <family val="1"/>
    </font>
    <font>
      <b/>
      <sz val="30"/>
      <color indexed="17"/>
      <name val="Times New Roman"/>
      <family val="1"/>
    </font>
    <font>
      <b/>
      <sz val="13"/>
      <color indexed="13"/>
      <name val="Lucida Handwriting"/>
      <family val="4"/>
    </font>
    <font>
      <b/>
      <sz val="32"/>
      <name val="Times New Roman"/>
      <family val="1"/>
    </font>
    <font>
      <b/>
      <sz val="15"/>
      <color indexed="15"/>
      <name val="Lucida Handwriting"/>
      <family val="4"/>
    </font>
    <font>
      <b/>
      <sz val="5"/>
      <color indexed="8"/>
      <name val="Times New Roman"/>
      <family val="1"/>
    </font>
    <font>
      <b/>
      <sz val="7"/>
      <color theme="1"/>
      <name val="Times New Roman"/>
      <family val="1"/>
    </font>
    <font>
      <b/>
      <sz val="6"/>
      <color rgb="FF0000FF"/>
      <name val="Times New Roman"/>
      <family val="1"/>
    </font>
    <font>
      <b/>
      <sz val="13"/>
      <color rgb="FF00FFFF"/>
      <name val="Times New Roman"/>
      <family val="1"/>
    </font>
    <font>
      <b/>
      <sz val="13"/>
      <color theme="0" tint="0.79998168889431442"/>
      <name val="Times New Roman"/>
      <family val="1"/>
    </font>
    <font>
      <b/>
      <sz val="8"/>
      <color theme="1"/>
      <name val="Times New Roman"/>
      <family val="1"/>
    </font>
    <font>
      <b/>
      <sz val="6"/>
      <color theme="1"/>
      <name val="Times New Roman"/>
      <family val="1"/>
    </font>
    <font>
      <b/>
      <sz val="6"/>
      <color rgb="FFFFFF00"/>
      <name val="Times New Roman"/>
      <family val="1"/>
    </font>
    <font>
      <b/>
      <sz val="8"/>
      <color theme="0" tint="0.79998168889431442"/>
      <name val="Times New Roman"/>
      <family val="1"/>
    </font>
    <font>
      <b/>
      <sz val="8"/>
      <color rgb="FFFFFF00"/>
      <name val="Times New Roman"/>
      <family val="1"/>
    </font>
    <font>
      <b/>
      <sz val="8"/>
      <color rgb="FF7030A0"/>
      <name val="Times New Roman"/>
      <family val="1"/>
    </font>
    <font>
      <b/>
      <sz val="8"/>
      <color rgb="FF0000FF"/>
      <name val="Times New Roman"/>
      <family val="1"/>
    </font>
    <font>
      <b/>
      <sz val="6"/>
      <color rgb="FF00FFFF"/>
      <name val="Times New Roman"/>
      <family val="1"/>
    </font>
    <font>
      <b/>
      <sz val="6"/>
      <color rgb="FF800000"/>
      <name val="Times New Roman"/>
      <family val="1"/>
    </font>
    <font>
      <b/>
      <sz val="6"/>
      <color rgb="FF008000"/>
      <name val="Times New Roman"/>
      <family val="1"/>
    </font>
    <font>
      <b/>
      <sz val="6"/>
      <color theme="0" tint="0.79998168889431442"/>
      <name val="Times New Roman"/>
      <family val="1"/>
    </font>
    <font>
      <b/>
      <sz val="6"/>
      <color rgb="FFFF0000"/>
      <name val="Times New Roman"/>
      <family val="1"/>
    </font>
    <font>
      <b/>
      <sz val="13"/>
      <color rgb="FFFFFF00"/>
      <name val="Times New Roman"/>
      <family val="1"/>
    </font>
    <font>
      <b/>
      <sz val="13"/>
      <color rgb="FF00FF00"/>
      <name val="Times New Roman"/>
      <family val="1"/>
    </font>
    <font>
      <b/>
      <sz val="8"/>
      <color rgb="FFFF0000"/>
      <name val="Times New Roman"/>
      <family val="1"/>
    </font>
    <font>
      <b/>
      <sz val="8"/>
      <color rgb="FFFF6600"/>
      <name val="Times New Roman"/>
      <family val="1"/>
    </font>
    <font>
      <b/>
      <sz val="20"/>
      <color theme="1"/>
      <name val="Times New Roman"/>
      <family val="1"/>
    </font>
    <font>
      <b/>
      <sz val="9"/>
      <color rgb="FF006600"/>
      <name val="Times New Roman"/>
      <family val="1"/>
    </font>
    <font>
      <b/>
      <sz val="20"/>
      <color rgb="FF00FFFF"/>
      <name val="Times New Roman"/>
      <family val="1"/>
    </font>
    <font>
      <b/>
      <sz val="13"/>
      <color rgb="FFFF0000"/>
      <name val="Times New Roman"/>
      <family val="1"/>
    </font>
    <font>
      <b/>
      <sz val="26"/>
      <color theme="9" tint="-0.499984740745262"/>
      <name val="Times New Roman"/>
      <family val="1"/>
    </font>
    <font>
      <sz val="13"/>
      <name val="Times New Roman"/>
      <family val="1"/>
    </font>
    <font>
      <sz val="13"/>
      <color rgb="FFFF0000"/>
      <name val="Times New Roman"/>
      <family val="1"/>
    </font>
    <font>
      <b/>
      <sz val="10"/>
      <color rgb="FFFF0000"/>
      <name val="Times New Roman"/>
      <family val="1"/>
    </font>
    <font>
      <b/>
      <sz val="9"/>
      <color rgb="FFFF0000"/>
      <name val="Times New Roman"/>
      <family val="1"/>
    </font>
    <font>
      <b/>
      <sz val="7"/>
      <color rgb="FFFF0000"/>
      <name val="Times New Roman"/>
      <family val="1"/>
    </font>
    <font>
      <sz val="8"/>
      <color rgb="FFFF0000"/>
      <name val="Times New Roman"/>
      <family val="1"/>
    </font>
    <font>
      <sz val="6"/>
      <color theme="1"/>
      <name val="Times New Roman"/>
      <family val="1"/>
    </font>
    <font>
      <b/>
      <sz val="10"/>
      <color theme="1"/>
      <name val="Times New Roman"/>
      <family val="1"/>
    </font>
    <font>
      <b/>
      <sz val="26"/>
      <color theme="1"/>
      <name val="Times New Roman"/>
      <family val="1"/>
    </font>
    <font>
      <b/>
      <sz val="13"/>
      <name val="Lucida Handwriting"/>
      <family val="4"/>
    </font>
    <font>
      <sz val="13"/>
      <name val="Lucida Handwriting"/>
      <family val="4"/>
    </font>
    <font>
      <b/>
      <sz val="13"/>
      <color indexed="15"/>
      <name val="Lucida Handwriting"/>
      <family val="4"/>
    </font>
    <font>
      <b/>
      <sz val="13"/>
      <color rgb="FF008000"/>
      <name val="Times New Roman"/>
      <family val="1"/>
    </font>
    <font>
      <b/>
      <sz val="13"/>
      <color rgb="FF0000FF"/>
      <name val="Times New Roman"/>
      <family val="1"/>
    </font>
    <font>
      <b/>
      <sz val="13"/>
      <color rgb="FF993300"/>
      <name val="Times New Roman"/>
      <family val="1"/>
    </font>
    <font>
      <b/>
      <sz val="8"/>
      <color rgb="FF00FFFF"/>
      <name val="Times New Roman"/>
      <family val="1"/>
    </font>
    <font>
      <b/>
      <sz val="8"/>
      <color rgb="FF006600"/>
      <name val="Times New Roman"/>
      <family val="1"/>
    </font>
    <font>
      <b/>
      <sz val="13"/>
      <color theme="1"/>
      <name val="Times New Roman"/>
      <family val="1"/>
    </font>
    <font>
      <b/>
      <sz val="13"/>
      <color rgb="FF008080"/>
      <name val="Times New Roman"/>
      <family val="1"/>
    </font>
    <font>
      <b/>
      <sz val="13"/>
      <color rgb="FF7030A0"/>
      <name val="Times New Roman"/>
      <family val="1"/>
    </font>
    <font>
      <b/>
      <sz val="13"/>
      <color theme="9" tint="-0.499984740745262"/>
      <name val="Times New Roman"/>
      <family val="1"/>
    </font>
    <font>
      <b/>
      <sz val="13"/>
      <color rgb="FF000080"/>
      <name val="Times New Roman"/>
      <family val="1"/>
    </font>
    <font>
      <b/>
      <sz val="11"/>
      <name val="Times New Roman"/>
      <family val="1"/>
    </font>
    <font>
      <b/>
      <sz val="32"/>
      <color rgb="FFFF0000"/>
      <name val="Times New Roman"/>
      <family val="1"/>
    </font>
    <font>
      <b/>
      <sz val="10"/>
      <name val="Cambria"/>
      <family val="1"/>
      <scheme val="major"/>
    </font>
    <font>
      <b/>
      <sz val="11"/>
      <color rgb="FFFF0000"/>
      <name val="Cambria"/>
      <family val="1"/>
      <scheme val="major"/>
    </font>
    <font>
      <b/>
      <sz val="8"/>
      <color rgb="FF0000FF"/>
      <name val="Cambria"/>
      <family val="1"/>
      <scheme val="major"/>
    </font>
    <font>
      <b/>
      <sz val="10"/>
      <color theme="0" tint="0.79998168889431442"/>
      <name val="Cambria"/>
      <family val="1"/>
      <scheme val="major"/>
    </font>
    <font>
      <b/>
      <sz val="8"/>
      <color rgb="FF000080"/>
      <name val="Cambria"/>
      <family val="1"/>
      <scheme val="major"/>
    </font>
    <font>
      <b/>
      <sz val="8"/>
      <color rgb="FF7030A0"/>
      <name val="Cambria"/>
      <family val="1"/>
      <scheme val="major"/>
    </font>
    <font>
      <b/>
      <sz val="8"/>
      <color rgb="FFFFFF00"/>
      <name val="Cambria"/>
      <family val="1"/>
      <scheme val="major"/>
    </font>
    <font>
      <b/>
      <sz val="8"/>
      <color rgb="FF008080"/>
      <name val="Cambria"/>
      <family val="1"/>
      <scheme val="major"/>
    </font>
    <font>
      <b/>
      <sz val="8"/>
      <color theme="1"/>
      <name val="Cambria"/>
      <family val="1"/>
      <scheme val="major"/>
    </font>
    <font>
      <b/>
      <sz val="6"/>
      <color rgb="FF00FFFF"/>
      <name val="Cambria"/>
      <family val="1"/>
      <scheme val="major"/>
    </font>
    <font>
      <b/>
      <sz val="6"/>
      <color indexed="15"/>
      <name val="Cambria"/>
      <family val="1"/>
      <scheme val="major"/>
    </font>
    <font>
      <b/>
      <sz val="6"/>
      <color rgb="FF969696"/>
      <name val="Cambria"/>
      <family val="1"/>
      <scheme val="major"/>
    </font>
    <font>
      <b/>
      <sz val="6"/>
      <color rgb="FF00B0F0"/>
      <name val="Cambria"/>
      <family val="1"/>
      <scheme val="major"/>
    </font>
    <font>
      <b/>
      <sz val="6"/>
      <color theme="0"/>
      <name val="Cambria"/>
      <family val="1"/>
      <scheme val="major"/>
    </font>
    <font>
      <b/>
      <sz val="6"/>
      <color indexed="16"/>
      <name val="Cambria"/>
      <family val="1"/>
      <scheme val="major"/>
    </font>
    <font>
      <b/>
      <sz val="6"/>
      <color rgb="FF0F253F"/>
      <name val="Cambria"/>
      <family val="1"/>
      <scheme val="major"/>
    </font>
    <font>
      <b/>
      <sz val="6"/>
      <color indexed="12"/>
      <name val="Cambria"/>
      <family val="1"/>
      <scheme val="major"/>
    </font>
    <font>
      <b/>
      <sz val="6"/>
      <color indexed="13"/>
      <name val="Cambria"/>
      <family val="1"/>
      <scheme val="major"/>
    </font>
    <font>
      <b/>
      <sz val="6"/>
      <color rgb="FFFFFF00"/>
      <name val="Cambria"/>
      <family val="1"/>
      <scheme val="major"/>
    </font>
    <font>
      <b/>
      <sz val="6"/>
      <color rgb="FFE46D0A"/>
      <name val="Cambria"/>
      <family val="1"/>
      <scheme val="major"/>
    </font>
    <font>
      <b/>
      <sz val="6"/>
      <color rgb="FF003300"/>
      <name val="Cambria"/>
      <family val="1"/>
      <scheme val="major"/>
    </font>
    <font>
      <b/>
      <sz val="6"/>
      <color rgb="FF00B050"/>
      <name val="Cambria"/>
      <family val="1"/>
      <scheme val="major"/>
    </font>
    <font>
      <b/>
      <sz val="6"/>
      <color theme="0" tint="0.79998168889431442"/>
      <name val="Cambria"/>
      <family val="1"/>
      <scheme val="major"/>
    </font>
    <font>
      <b/>
      <sz val="6"/>
      <color theme="1"/>
      <name val="Cambria"/>
      <family val="1"/>
      <scheme val="major"/>
    </font>
    <font>
      <b/>
      <sz val="6"/>
      <color indexed="20"/>
      <name val="Cambria"/>
      <family val="1"/>
      <scheme val="major"/>
    </font>
    <font>
      <b/>
      <sz val="6"/>
      <color rgb="FF3F3151"/>
      <name val="Cambria"/>
      <family val="1"/>
      <scheme val="major"/>
    </font>
    <font>
      <b/>
      <sz val="6"/>
      <color indexed="40"/>
      <name val="Cambria"/>
      <family val="1"/>
      <scheme val="major"/>
    </font>
    <font>
      <b/>
      <sz val="10"/>
      <color indexed="16"/>
      <name val="Cambria"/>
      <family val="1"/>
      <scheme val="major"/>
    </font>
    <font>
      <b/>
      <sz val="10"/>
      <color indexed="12"/>
      <name val="Cambria"/>
      <family val="1"/>
      <scheme val="major"/>
    </font>
    <font>
      <b/>
      <sz val="10"/>
      <color indexed="13"/>
      <name val="Cambria"/>
      <family val="1"/>
      <scheme val="major"/>
    </font>
    <font>
      <b/>
      <sz val="10"/>
      <color indexed="17"/>
      <name val="Cambria"/>
      <family val="1"/>
      <scheme val="major"/>
    </font>
    <font>
      <b/>
      <sz val="10"/>
      <color indexed="20"/>
      <name val="Cambria"/>
      <family val="1"/>
      <scheme val="major"/>
    </font>
    <font>
      <b/>
      <sz val="6"/>
      <color indexed="60"/>
      <name val="Cambria"/>
      <family val="1"/>
      <scheme val="major"/>
    </font>
    <font>
      <b/>
      <sz val="9"/>
      <color rgb="FF008080"/>
      <name val="Times New Roman"/>
      <family val="1"/>
    </font>
    <font>
      <b/>
      <sz val="5"/>
      <name val="Times New Roman"/>
      <family val="1"/>
    </font>
    <font>
      <b/>
      <sz val="9"/>
      <color indexed="10"/>
      <name val="Times New Roman"/>
      <family val="1"/>
    </font>
    <font>
      <b/>
      <sz val="9"/>
      <color rgb="FF00CCFF"/>
      <name val="Times New Roman"/>
      <family val="1"/>
    </font>
    <font>
      <b/>
      <sz val="9"/>
      <color theme="0" tint="0.79998168889431442"/>
      <name val="Times New Roman"/>
      <family val="1"/>
    </font>
    <font>
      <b/>
      <sz val="9"/>
      <color rgb="FFFFFF00"/>
      <name val="Times New Roman"/>
      <family val="1"/>
    </font>
    <font>
      <b/>
      <sz val="13"/>
      <color indexed="55"/>
      <name val="Cambria"/>
      <family val="1"/>
      <scheme val="major"/>
    </font>
    <font>
      <sz val="13"/>
      <color indexed="55"/>
      <name val="Cambria"/>
      <family val="1"/>
      <scheme val="major"/>
    </font>
    <font>
      <sz val="13"/>
      <color theme="1"/>
      <name val="Lucida Handwriting"/>
      <family val="4"/>
    </font>
    <font>
      <b/>
      <sz val="9"/>
      <color rgb="FF7030A0"/>
      <name val="Times New Roman"/>
      <family val="1"/>
    </font>
    <font>
      <b/>
      <sz val="9"/>
      <color rgb="FF0000FF"/>
      <name val="Times New Roman"/>
      <family val="1"/>
    </font>
    <font>
      <b/>
      <sz val="13"/>
      <color theme="1"/>
      <name val="Lucida Handwriting"/>
      <family val="4"/>
    </font>
    <font>
      <b/>
      <sz val="9"/>
      <color rgb="FF993300"/>
      <name val="Times New Roman"/>
      <family val="1"/>
    </font>
    <font>
      <b/>
      <sz val="9"/>
      <color rgb="FF000080"/>
      <name val="Times New Roman"/>
      <family val="1"/>
    </font>
    <font>
      <b/>
      <sz val="9"/>
      <color indexed="13"/>
      <name val="Times New Roman"/>
      <family val="1"/>
    </font>
    <font>
      <b/>
      <sz val="8"/>
      <color indexed="15"/>
      <name val="Lucida Handwriting"/>
      <family val="4"/>
    </font>
    <font>
      <b/>
      <sz val="9"/>
      <color indexed="12"/>
      <name val="Times New Roman"/>
      <family val="1"/>
    </font>
    <font>
      <sz val="7"/>
      <color rgb="FFFF0000"/>
      <name val="Times New Roman"/>
      <family val="1"/>
    </font>
    <font>
      <sz val="8"/>
      <color theme="1"/>
      <name val="Times New Roman"/>
      <family val="1"/>
    </font>
    <font>
      <sz val="8"/>
      <color rgb="FF00FFFF"/>
      <name val="Times New Roman"/>
      <family val="1"/>
    </font>
    <font>
      <sz val="8"/>
      <color theme="9" tint="-0.249977111117893"/>
      <name val="Times New Roman"/>
      <family val="1"/>
    </font>
    <font>
      <sz val="8"/>
      <color rgb="FF0000FF"/>
      <name val="Times New Roman"/>
      <family val="1"/>
    </font>
    <font>
      <sz val="8"/>
      <color rgb="FFFFFF00"/>
      <name val="Times New Roman"/>
      <family val="1"/>
    </font>
    <font>
      <b/>
      <sz val="8"/>
      <color rgb="FF008000"/>
      <name val="Times New Roman"/>
      <family val="1"/>
    </font>
    <font>
      <sz val="8"/>
      <color rgb="FF008000"/>
      <name val="Times New Roman"/>
      <family val="1"/>
    </font>
    <font>
      <sz val="8"/>
      <color theme="0" tint="0.79998168889431442"/>
      <name val="Times New Roman"/>
      <family val="1"/>
    </font>
    <font>
      <sz val="8"/>
      <color rgb="FF7030A0"/>
      <name val="Times New Roman"/>
      <family val="1"/>
    </font>
    <font>
      <b/>
      <sz val="10"/>
      <color theme="1"/>
      <name val="Cambria"/>
      <family val="1"/>
      <scheme val="major"/>
    </font>
    <font>
      <sz val="51"/>
      <name val="Times New Roman"/>
      <family val="1"/>
    </font>
    <font>
      <b/>
      <sz val="20"/>
      <color theme="0" tint="0.79998168889431442"/>
      <name val="Times New Roman"/>
      <family val="1"/>
    </font>
    <font>
      <b/>
      <sz val="12"/>
      <color theme="1"/>
      <name val="Times New Roman"/>
      <family val="1"/>
    </font>
    <font>
      <b/>
      <sz val="9"/>
      <name val="Cambria"/>
      <family val="1"/>
      <scheme val="major"/>
    </font>
    <font>
      <b/>
      <sz val="8"/>
      <color theme="9" tint="-0.499984740745262"/>
      <name val="Cambria"/>
      <family val="1"/>
      <scheme val="major"/>
    </font>
    <font>
      <b/>
      <sz val="6"/>
      <name val="Cambria"/>
      <family val="1"/>
      <scheme val="major"/>
    </font>
    <font>
      <b/>
      <sz val="8"/>
      <color theme="0" tint="0.79998168889431442"/>
      <name val="Cambria"/>
      <family val="1"/>
      <scheme val="major"/>
    </font>
    <font>
      <b/>
      <sz val="40"/>
      <color rgb="FF0000FF"/>
      <name val="Times New Roman"/>
      <family val="1"/>
    </font>
    <font>
      <b/>
      <sz val="45"/>
      <color rgb="FF0000FF"/>
      <name val="Times New Roman"/>
      <family val="1"/>
    </font>
    <font>
      <b/>
      <sz val="10"/>
      <color rgb="FF0000FF"/>
      <name val="Cambria"/>
      <family val="1"/>
      <scheme val="major"/>
    </font>
    <font>
      <sz val="11"/>
      <name val="Times New Roman"/>
      <family val="1"/>
    </font>
    <font>
      <b/>
      <sz val="7"/>
      <color indexed="8"/>
      <name val="Times New Roman"/>
      <family val="1"/>
    </font>
    <font>
      <b/>
      <sz val="9"/>
      <color rgb="FF0000FF"/>
      <name val="Cambria"/>
      <family val="1"/>
      <scheme val="major"/>
    </font>
    <font>
      <b/>
      <sz val="7"/>
      <color rgb="FFFF0000"/>
      <name val="Cambria"/>
      <family val="1"/>
      <scheme val="major"/>
    </font>
    <font>
      <b/>
      <sz val="17"/>
      <color rgb="FF00FFFF"/>
      <name val="Times New Roman"/>
      <family val="1"/>
    </font>
    <font>
      <b/>
      <sz val="6"/>
      <color rgb="FFFF0000"/>
      <name val="Cambria"/>
      <family val="1"/>
      <scheme val="major"/>
    </font>
    <font>
      <b/>
      <sz val="6"/>
      <color theme="9" tint="-0.499984740745262"/>
      <name val="Cambria"/>
      <family val="1"/>
      <scheme val="major"/>
    </font>
    <font>
      <b/>
      <sz val="8"/>
      <color theme="9" tint="-0.499984740745262"/>
      <name val="Times New Roman"/>
      <family val="1"/>
    </font>
    <font>
      <b/>
      <sz val="6"/>
      <color rgb="FFE46D0A"/>
      <name val="Times New Roman"/>
      <family val="1"/>
    </font>
    <font>
      <b/>
      <sz val="6"/>
      <color rgb="FF0F253F"/>
      <name val="Times New Roman"/>
      <family val="1"/>
    </font>
    <font>
      <b/>
      <sz val="6"/>
      <color rgb="FF00B0F0"/>
      <name val="Times New Roman"/>
      <family val="1"/>
    </font>
    <font>
      <b/>
      <sz val="6"/>
      <color theme="9" tint="-0.499984740745262"/>
      <name val="Times New Roman"/>
      <family val="1"/>
    </font>
    <font>
      <b/>
      <sz val="6"/>
      <color rgb="FF003300"/>
      <name val="Times New Roman"/>
      <family val="1"/>
    </font>
    <font>
      <b/>
      <sz val="6"/>
      <color rgb="FF800080"/>
      <name val="Times New Roman"/>
      <family val="1"/>
    </font>
    <font>
      <b/>
      <sz val="6"/>
      <color rgb="FF3F3151"/>
      <name val="Times New Roman"/>
      <family val="1"/>
    </font>
    <font>
      <b/>
      <sz val="10"/>
      <color rgb="FF008000"/>
      <name val="Times New Roman"/>
      <family val="1"/>
    </font>
    <font>
      <b/>
      <sz val="13"/>
      <color rgb="FF00FFFF"/>
      <name val="Lucida Handwriting"/>
      <family val="4"/>
    </font>
    <font>
      <b/>
      <sz val="30"/>
      <color rgb="FF909090"/>
      <name val="Times New Roman"/>
      <family val="1"/>
    </font>
    <font>
      <b/>
      <sz val="30"/>
      <color rgb="FFB2B2B2"/>
      <name val="Times New Roman"/>
      <family val="1"/>
    </font>
    <font>
      <b/>
      <sz val="7"/>
      <color indexed="12"/>
      <name val="Cambria"/>
      <family val="1"/>
      <scheme val="major"/>
    </font>
    <font>
      <b/>
      <sz val="7"/>
      <color indexed="16"/>
      <name val="Cambria"/>
      <family val="1"/>
      <scheme val="major"/>
    </font>
    <font>
      <b/>
      <sz val="7"/>
      <color indexed="13"/>
      <name val="Cambria"/>
      <family val="1"/>
      <scheme val="major"/>
    </font>
    <font>
      <b/>
      <sz val="7"/>
      <color indexed="14"/>
      <name val="Cambria"/>
      <family val="1"/>
      <scheme val="major"/>
    </font>
    <font>
      <b/>
      <sz val="7"/>
      <color indexed="17"/>
      <name val="Cambria"/>
      <family val="1"/>
      <scheme val="major"/>
    </font>
    <font>
      <b/>
      <sz val="7"/>
      <color indexed="20"/>
      <name val="Cambria"/>
      <family val="1"/>
      <scheme val="major"/>
    </font>
    <font>
      <b/>
      <sz val="7"/>
      <color indexed="21"/>
      <name val="Cambria"/>
      <family val="1"/>
      <scheme val="major"/>
    </font>
    <font>
      <b/>
      <sz val="1"/>
      <name val="Times New Roman"/>
      <family val="1"/>
    </font>
    <font>
      <b/>
      <sz val="9"/>
      <color indexed="15"/>
      <name val="Lucida Handwriting"/>
      <family val="4"/>
    </font>
    <font>
      <b/>
      <sz val="10"/>
      <color indexed="15"/>
      <name val="Lucida Handwriting"/>
      <family val="4"/>
    </font>
    <font>
      <b/>
      <sz val="10"/>
      <color rgb="FF00FFFF"/>
      <name val="Lucida Handwriting"/>
      <family val="4"/>
    </font>
    <font>
      <b/>
      <sz val="43"/>
      <color rgb="FFFFFF00"/>
      <name val="Times New Roman"/>
      <family val="1"/>
    </font>
    <font>
      <b/>
      <sz val="7"/>
      <color rgb="FF00FFFF"/>
      <name val="Times New Roman"/>
      <family val="1"/>
    </font>
    <font>
      <b/>
      <sz val="7"/>
      <color rgb="FFFFFF00"/>
      <name val="Times New Roman"/>
      <family val="1"/>
    </font>
    <font>
      <b/>
      <sz val="7"/>
      <color theme="0" tint="0.79998168889431442"/>
      <name val="Times New Roman"/>
      <family val="1"/>
    </font>
    <font>
      <b/>
      <sz val="8"/>
      <color rgb="FF00B050"/>
      <name val="Times New Roman"/>
      <family val="1"/>
    </font>
    <font>
      <sz val="30"/>
      <color rgb="FFFF0000"/>
      <name val="Times New Roman"/>
      <family val="1"/>
    </font>
    <font>
      <b/>
      <sz val="30"/>
      <color theme="1"/>
      <name val="Times New Roman"/>
      <family val="1"/>
    </font>
    <font>
      <b/>
      <sz val="7"/>
      <color rgb="FF006600"/>
      <name val="Times New Roman"/>
      <family val="1"/>
    </font>
    <font>
      <b/>
      <sz val="13"/>
      <color indexed="10"/>
      <name val="Lucida Handwriting"/>
      <family val="4"/>
    </font>
    <font>
      <b/>
      <sz val="13"/>
      <color rgb="FF000080"/>
      <name val="Lucida Handwriting"/>
      <family val="4"/>
    </font>
    <font>
      <b/>
      <sz val="16"/>
      <color indexed="15"/>
      <name val="Lucida Handwriting"/>
      <family val="4"/>
    </font>
    <font>
      <b/>
      <sz val="6"/>
      <color rgb="FF800080"/>
      <name val="Cambria"/>
      <family val="1"/>
      <scheme val="major"/>
    </font>
    <font>
      <b/>
      <sz val="6"/>
      <color rgb="FF909090"/>
      <name val="Cambria"/>
      <family val="1"/>
      <scheme val="major"/>
    </font>
    <font>
      <b/>
      <sz val="6"/>
      <color rgb="FFB2B2B2"/>
      <name val="Cambria"/>
      <family val="1"/>
      <scheme val="major"/>
    </font>
    <font>
      <b/>
      <sz val="20"/>
      <color rgb="FFFF0000"/>
      <name val="Times New Roman"/>
      <family val="1"/>
    </font>
    <font>
      <b/>
      <sz val="9"/>
      <color indexed="15"/>
      <name val="Cambria"/>
      <family val="1"/>
      <scheme val="major"/>
    </font>
    <font>
      <b/>
      <sz val="9"/>
      <color indexed="16"/>
      <name val="Cambria"/>
      <family val="1"/>
      <scheme val="major"/>
    </font>
    <font>
      <b/>
      <sz val="9"/>
      <color indexed="12"/>
      <name val="Cambria"/>
      <family val="1"/>
      <scheme val="major"/>
    </font>
    <font>
      <b/>
      <sz val="9"/>
      <color indexed="13"/>
      <name val="Cambria"/>
      <family val="1"/>
      <scheme val="major"/>
    </font>
    <font>
      <b/>
      <sz val="9"/>
      <color indexed="17"/>
      <name val="Cambria"/>
      <family val="1"/>
      <scheme val="major"/>
    </font>
    <font>
      <b/>
      <sz val="9"/>
      <color indexed="20"/>
      <name val="Cambria"/>
      <family val="1"/>
      <scheme val="major"/>
    </font>
    <font>
      <b/>
      <sz val="20"/>
      <color rgb="FFFF3300"/>
      <name val="Times New Roman"/>
      <family val="1"/>
    </font>
    <font>
      <u/>
      <sz val="11.1"/>
      <color theme="10"/>
      <name val="Times New Roman"/>
      <family val="1"/>
    </font>
    <font>
      <b/>
      <sz val="16"/>
      <color rgb="FF00FFFF"/>
      <name val="Times New Roman"/>
      <family val="1"/>
    </font>
    <font>
      <b/>
      <sz val="7"/>
      <color rgb="FF7030A0"/>
      <name val="Times New Roman"/>
      <family val="1"/>
    </font>
    <font>
      <b/>
      <sz val="7"/>
      <color rgb="FF000080"/>
      <name val="Times New Roman"/>
      <family val="1"/>
    </font>
    <font>
      <b/>
      <sz val="7"/>
      <color rgb="FF008080"/>
      <name val="Times New Roman"/>
      <family val="1"/>
    </font>
    <font>
      <b/>
      <sz val="7"/>
      <color rgb="FF0000FF"/>
      <name val="Times New Roman"/>
      <family val="1"/>
    </font>
    <font>
      <b/>
      <sz val="7"/>
      <color theme="9" tint="-0.499984740745262"/>
      <name val="Times New Roman"/>
      <family val="1"/>
    </font>
    <font>
      <sz val="6"/>
      <color rgb="FFFF0000"/>
      <name val="Times New Roman"/>
      <family val="1"/>
    </font>
    <font>
      <b/>
      <sz val="32"/>
      <color theme="1"/>
      <name val="Times New Roman"/>
      <family val="1"/>
    </font>
    <font>
      <b/>
      <sz val="20"/>
      <color rgb="FFFC1908"/>
      <name val="Times New Roman"/>
      <family val="1"/>
    </font>
    <font>
      <b/>
      <sz val="20"/>
      <color indexed="10"/>
      <name val="Times New Roman"/>
      <family val="1"/>
    </font>
    <font>
      <b/>
      <sz val="7"/>
      <color rgb="FF974807"/>
      <name val="Times New Roman"/>
      <family val="1"/>
    </font>
    <font>
      <b/>
      <sz val="8"/>
      <color rgb="FFFC1908"/>
      <name val="Times New Roman"/>
      <family val="1"/>
    </font>
    <font>
      <b/>
      <sz val="10"/>
      <color rgb="FF00FFFF"/>
      <name val="Times New Roman"/>
      <family val="1"/>
    </font>
    <font>
      <b/>
      <sz val="13"/>
      <color rgb="FF00B0F0"/>
      <name val="Times New Roman"/>
      <family val="1"/>
    </font>
    <font>
      <b/>
      <sz val="7"/>
      <color rgb="FFFFC000"/>
      <name val="Times New Roman"/>
      <family val="1"/>
    </font>
    <font>
      <b/>
      <sz val="7"/>
      <color rgb="FF008000"/>
      <name val="Times New Roman"/>
      <family val="1"/>
    </font>
    <font>
      <b/>
      <sz val="8"/>
      <color rgb="FF92D050"/>
      <name val="Times New Roman"/>
      <family val="1"/>
    </font>
    <font>
      <b/>
      <sz val="15"/>
      <color rgb="FFFF0000"/>
      <name val="Times New Roman"/>
      <family val="1"/>
    </font>
    <font>
      <sz val="13"/>
      <color rgb="FF00B0F0"/>
      <name val="Times New Roman"/>
      <family val="1"/>
    </font>
    <font>
      <b/>
      <sz val="16"/>
      <color rgb="FFFF0000"/>
      <name val="Times New Roman"/>
      <family val="1"/>
    </font>
    <font>
      <b/>
      <sz val="11"/>
      <color indexed="15"/>
      <name val="Lucida Handwriting"/>
      <family val="4"/>
    </font>
    <font>
      <b/>
      <sz val="7"/>
      <name val="Cambria"/>
      <family val="1"/>
      <scheme val="major"/>
    </font>
    <font>
      <b/>
      <sz val="9"/>
      <color theme="1"/>
      <name val="Cambria"/>
      <family val="1"/>
      <scheme val="major"/>
    </font>
    <font>
      <b/>
      <sz val="20"/>
      <color rgb="FF92D050"/>
      <name val="Times New Roman"/>
      <family val="1"/>
    </font>
    <font>
      <b/>
      <sz val="9"/>
      <color rgb="FF0070C0"/>
      <name val="Cambria"/>
      <family val="1"/>
      <scheme val="major"/>
    </font>
    <font>
      <b/>
      <sz val="10"/>
      <color rgb="FF0070C0"/>
      <name val="Cambria"/>
      <family val="1"/>
      <scheme val="major"/>
    </font>
    <font>
      <b/>
      <sz val="30"/>
      <color rgb="FFFF0000"/>
      <name val="Cambria"/>
      <family val="1"/>
      <scheme val="major"/>
    </font>
    <font>
      <b/>
      <sz val="50"/>
      <color rgb="FF0070C0"/>
      <name val="Times New Roman"/>
      <family val="1"/>
    </font>
    <font>
      <b/>
      <sz val="8"/>
      <color theme="0"/>
      <name val="Times New Roman"/>
      <family val="1"/>
    </font>
    <font>
      <b/>
      <sz val="13"/>
      <color rgb="FF0070C0"/>
      <name val="Times New Roman"/>
      <family val="1"/>
    </font>
    <font>
      <sz val="13"/>
      <color rgb="FF0070C0"/>
      <name val="Times New Roman"/>
      <family val="1"/>
    </font>
    <font>
      <sz val="8"/>
      <color rgb="FF0070C0"/>
      <name val="Times New Roman"/>
      <family val="1"/>
    </font>
    <font>
      <b/>
      <sz val="7"/>
      <color rgb="FF0070C0"/>
      <name val="Times New Roman"/>
      <family val="1"/>
    </font>
    <font>
      <b/>
      <sz val="10"/>
      <color theme="0" tint="0.79998168889431442"/>
      <name val="Times New Roman"/>
      <family val="1"/>
    </font>
    <font>
      <b/>
      <sz val="32"/>
      <color theme="0" tint="0.79998168889431442"/>
      <name val="Times New Roman"/>
      <family val="1"/>
    </font>
    <font>
      <b/>
      <sz val="5"/>
      <color theme="1"/>
      <name val="Times New Roman"/>
      <family val="1"/>
    </font>
    <font>
      <b/>
      <sz val="5"/>
      <color rgb="FFFF0000"/>
      <name val="Times New Roman"/>
      <family val="1"/>
    </font>
    <font>
      <sz val="9"/>
      <color theme="1"/>
      <name val="Cambria"/>
      <family val="1"/>
      <scheme val="major"/>
    </font>
    <font>
      <b/>
      <sz val="8"/>
      <color rgb="FF0070C0"/>
      <name val="Cambria"/>
      <family val="1"/>
      <scheme val="major"/>
    </font>
    <font>
      <b/>
      <sz val="8"/>
      <name val="Cambria"/>
      <family val="1"/>
      <scheme val="major"/>
    </font>
    <font>
      <b/>
      <sz val="7"/>
      <color rgb="FF00CCFF"/>
      <name val="Times New Roman"/>
      <family val="1"/>
    </font>
    <font>
      <b/>
      <sz val="33"/>
      <name val="Times New Roman"/>
      <family val="1"/>
    </font>
    <font>
      <b/>
      <sz val="8"/>
      <color rgb="FFFF0000"/>
      <name val="Lucida Handwriting"/>
      <family val="4"/>
    </font>
    <font>
      <b/>
      <sz val="10"/>
      <color rgb="FFFF0000"/>
      <name val="Lucida Handwriting"/>
      <family val="4"/>
    </font>
    <font>
      <b/>
      <sz val="20"/>
      <color rgb="FFFFFF00"/>
      <name val="Times New Roman"/>
      <family val="1"/>
    </font>
    <font>
      <b/>
      <sz val="20"/>
      <color indexed="9"/>
      <name val="Times New Roman"/>
      <family val="1"/>
    </font>
    <font>
      <b/>
      <sz val="20"/>
      <color indexed="8"/>
      <name val="Times New Roman"/>
      <family val="1"/>
    </font>
    <font>
      <b/>
      <sz val="20"/>
      <color indexed="13"/>
      <name val="Times New Roman"/>
      <family val="1"/>
    </font>
    <font>
      <b/>
      <sz val="10"/>
      <color rgb="FF00B0F0"/>
      <name val="Lucida Handwriting"/>
      <family val="4"/>
    </font>
    <font>
      <sz val="10"/>
      <color theme="1"/>
      <name val="Cambria"/>
      <family val="1"/>
      <scheme val="major"/>
    </font>
    <font>
      <b/>
      <sz val="13"/>
      <color rgb="FFFF0000"/>
      <name val="Lucida Handwriting"/>
      <family val="4"/>
    </font>
    <font>
      <b/>
      <sz val="12"/>
      <color indexed="15"/>
      <name val="Lucida Handwriting"/>
      <family val="4"/>
    </font>
    <font>
      <b/>
      <sz val="18"/>
      <name val="Times New Roman"/>
      <family val="1"/>
    </font>
    <font>
      <b/>
      <sz val="62"/>
      <color rgb="FFFFFF00"/>
      <name val="Times New Roman"/>
      <family val="1"/>
    </font>
    <font>
      <b/>
      <sz val="62"/>
      <color rgb="FF00B0F0"/>
      <name val="Times New Roman"/>
      <family val="1"/>
    </font>
    <font>
      <b/>
      <sz val="62"/>
      <name val="Times New Roman"/>
      <family val="1"/>
    </font>
    <font>
      <b/>
      <sz val="62"/>
      <color theme="1"/>
      <name val="Times New Roman"/>
      <family val="1"/>
    </font>
    <font>
      <b/>
      <sz val="8"/>
      <color rgb="FF00B0F0"/>
      <name val="Cambria"/>
      <family val="1"/>
      <scheme val="major"/>
    </font>
    <font>
      <b/>
      <sz val="8"/>
      <color rgb="FF00FFFF"/>
      <name val="Cambria"/>
      <family val="1"/>
      <scheme val="major"/>
    </font>
    <font>
      <b/>
      <sz val="8"/>
      <color indexed="16"/>
      <name val="Cambria"/>
      <family val="1"/>
      <scheme val="major"/>
    </font>
    <font>
      <b/>
      <sz val="8"/>
      <color indexed="12"/>
      <name val="Cambria"/>
      <family val="1"/>
      <scheme val="major"/>
    </font>
    <font>
      <b/>
      <sz val="8"/>
      <color rgb="FF0F253F"/>
      <name val="Cambria"/>
      <family val="1"/>
      <scheme val="major"/>
    </font>
    <font>
      <b/>
      <sz val="8"/>
      <color rgb="FFE46D0A"/>
      <name val="Cambria"/>
      <family val="1"/>
      <scheme val="major"/>
    </font>
    <font>
      <b/>
      <sz val="8"/>
      <color rgb="FF003300"/>
      <name val="Cambria"/>
      <family val="1"/>
      <scheme val="major"/>
    </font>
    <font>
      <b/>
      <sz val="8"/>
      <color rgb="FF00B050"/>
      <name val="Cambria"/>
      <family val="1"/>
      <scheme val="major"/>
    </font>
    <font>
      <b/>
      <sz val="8"/>
      <color indexed="20"/>
      <name val="Cambria"/>
      <family val="1"/>
      <scheme val="major"/>
    </font>
    <font>
      <b/>
      <sz val="8"/>
      <color rgb="FF3F3151"/>
      <name val="Cambria"/>
      <family val="1"/>
      <scheme val="major"/>
    </font>
  </fonts>
  <fills count="26">
    <fill>
      <patternFill patternType="none"/>
    </fill>
    <fill>
      <patternFill patternType="gray125"/>
    </fill>
    <fill>
      <patternFill patternType="solid">
        <fgColor indexed="8"/>
        <bgColor indexed="64"/>
      </patternFill>
    </fill>
    <fill>
      <patternFill patternType="solid">
        <fgColor indexed="15"/>
        <bgColor indexed="64"/>
      </patternFill>
    </fill>
    <fill>
      <patternFill patternType="solid">
        <fgColor indexed="12"/>
        <bgColor indexed="64"/>
      </patternFill>
    </fill>
    <fill>
      <patternFill patternType="solid">
        <fgColor indexed="18"/>
        <bgColor indexed="64"/>
      </patternFill>
    </fill>
    <fill>
      <patternFill patternType="solid">
        <fgColor indexed="43"/>
        <bgColor indexed="64"/>
      </patternFill>
    </fill>
    <fill>
      <patternFill patternType="solid">
        <fgColor indexed="48"/>
        <bgColor indexed="64"/>
      </patternFill>
    </fill>
    <fill>
      <patternFill patternType="solid">
        <fgColor theme="1"/>
        <bgColor indexed="64"/>
      </patternFill>
    </fill>
    <fill>
      <patternFill patternType="solid">
        <fgColor rgb="FF7030A0"/>
        <bgColor indexed="64"/>
      </patternFill>
    </fill>
    <fill>
      <patternFill patternType="solid">
        <fgColor rgb="FF008080"/>
        <bgColor indexed="64"/>
      </patternFill>
    </fill>
    <fill>
      <patternFill patternType="solid">
        <fgColor rgb="FF969696"/>
        <bgColor indexed="64"/>
      </patternFill>
    </fill>
    <fill>
      <patternFill patternType="solid">
        <fgColor rgb="FF909090"/>
        <bgColor indexed="64"/>
      </patternFill>
    </fill>
    <fill>
      <patternFill patternType="solid">
        <fgColor rgb="FFB2B2B2"/>
        <bgColor indexed="64"/>
      </patternFill>
    </fill>
    <fill>
      <patternFill patternType="solid">
        <fgColor rgb="FFC0C0C0"/>
        <bgColor indexed="64"/>
      </patternFill>
    </fill>
    <fill>
      <patternFill patternType="solid">
        <fgColor rgb="FF808080"/>
        <bgColor indexed="64"/>
      </patternFill>
    </fill>
    <fill>
      <patternFill patternType="solid">
        <fgColor theme="1" tint="0.499984740745262"/>
        <bgColor indexed="64"/>
      </patternFill>
    </fill>
    <fill>
      <patternFill patternType="solid">
        <fgColor rgb="FFE46D0A"/>
        <bgColor indexed="64"/>
      </patternFill>
    </fill>
    <fill>
      <patternFill patternType="solid">
        <fgColor rgb="FF0070C0"/>
        <bgColor indexed="64"/>
      </patternFill>
    </fill>
    <fill>
      <patternFill patternType="solid">
        <fgColor theme="0" tint="-0.249977111117893"/>
        <bgColor indexed="64"/>
      </patternFill>
    </fill>
    <fill>
      <patternFill patternType="solid">
        <fgColor rgb="FF00B0F0"/>
        <bgColor indexed="64"/>
      </patternFill>
    </fill>
    <fill>
      <patternFill patternType="solid">
        <fgColor rgb="FF006600"/>
        <bgColor indexed="64"/>
      </patternFill>
    </fill>
    <fill>
      <patternFill patternType="solid">
        <fgColor theme="9" tint="-0.499984740745262"/>
        <bgColor indexed="64"/>
      </patternFill>
    </fill>
    <fill>
      <patternFill patternType="solid">
        <fgColor rgb="FF00CCFF"/>
        <bgColor indexed="64"/>
      </patternFill>
    </fill>
    <fill>
      <patternFill patternType="solid">
        <fgColor rgb="FF008000"/>
        <bgColor indexed="64"/>
      </patternFill>
    </fill>
    <fill>
      <patternFill patternType="solid">
        <fgColor rgb="FFFFFF00"/>
        <bgColor indexed="64"/>
      </patternFill>
    </fill>
  </fills>
  <borders count="214">
    <border>
      <left/>
      <right/>
      <top/>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medium">
        <color indexed="64"/>
      </right>
      <top style="thin">
        <color indexed="64"/>
      </top>
      <bottom/>
      <diagonal/>
    </border>
    <border>
      <left style="thin">
        <color indexed="64"/>
      </left>
      <right style="medium">
        <color indexed="64"/>
      </right>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style="thin">
        <color indexed="64"/>
      </top>
      <bottom style="thin">
        <color indexed="64"/>
      </bottom>
      <diagonal/>
    </border>
    <border>
      <left style="thin">
        <color indexed="64"/>
      </left>
      <right style="medium">
        <color indexed="64"/>
      </right>
      <top style="thin">
        <color indexed="64"/>
      </top>
      <bottom/>
      <diagonal/>
    </border>
    <border>
      <left style="thick">
        <color indexed="64"/>
      </left>
      <right/>
      <top style="medium">
        <color indexed="64"/>
      </top>
      <bottom/>
      <diagonal/>
    </border>
    <border>
      <left style="thick">
        <color indexed="64"/>
      </left>
      <right/>
      <top style="thin">
        <color indexed="64"/>
      </top>
      <bottom style="thin">
        <color indexed="64"/>
      </bottom>
      <diagonal/>
    </border>
    <border>
      <left style="thick">
        <color indexed="64"/>
      </left>
      <right/>
      <top style="thin">
        <color indexed="64"/>
      </top>
      <bottom style="medium">
        <color indexed="64"/>
      </bottom>
      <diagonal/>
    </border>
    <border>
      <left style="thick">
        <color indexed="64"/>
      </left>
      <right/>
      <top/>
      <bottom/>
      <diagonal/>
    </border>
    <border>
      <left/>
      <right style="thick">
        <color indexed="64"/>
      </right>
      <top style="thin">
        <color indexed="64"/>
      </top>
      <bottom style="thin">
        <color indexed="64"/>
      </bottom>
      <diagonal/>
    </border>
    <border>
      <left/>
      <right/>
      <top/>
      <bottom style="thick">
        <color indexed="64"/>
      </bottom>
      <diagonal/>
    </border>
    <border>
      <left style="thick">
        <color indexed="64"/>
      </left>
      <right style="thin">
        <color indexed="64"/>
      </right>
      <top style="thin">
        <color indexed="64"/>
      </top>
      <bottom style="thin">
        <color indexed="64"/>
      </bottom>
      <diagonal/>
    </border>
    <border>
      <left style="thick">
        <color indexed="64"/>
      </left>
      <right style="thin">
        <color indexed="64"/>
      </right>
      <top style="thick">
        <color indexed="64"/>
      </top>
      <bottom style="thin">
        <color indexed="64"/>
      </bottom>
      <diagonal/>
    </border>
    <border>
      <left style="thick">
        <color indexed="64"/>
      </left>
      <right/>
      <top style="medium">
        <color indexed="64"/>
      </top>
      <bottom style="thin">
        <color indexed="64"/>
      </bottom>
      <diagonal/>
    </border>
    <border>
      <left style="thin">
        <color indexed="64"/>
      </left>
      <right style="thick">
        <color indexed="64"/>
      </right>
      <top style="medium">
        <color indexed="64"/>
      </top>
      <bottom style="thin">
        <color indexed="64"/>
      </bottom>
      <diagonal/>
    </border>
    <border>
      <left style="thin">
        <color indexed="64"/>
      </left>
      <right style="thick">
        <color indexed="64"/>
      </right>
      <top style="thin">
        <color indexed="64"/>
      </top>
      <bottom style="thin">
        <color indexed="64"/>
      </bottom>
      <diagonal/>
    </border>
    <border>
      <left/>
      <right style="thick">
        <color indexed="64"/>
      </right>
      <top/>
      <bottom style="thin">
        <color indexed="64"/>
      </bottom>
      <diagonal/>
    </border>
    <border>
      <left/>
      <right/>
      <top style="medium">
        <color indexed="64"/>
      </top>
      <bottom/>
      <diagonal/>
    </border>
    <border>
      <left/>
      <right style="thick">
        <color indexed="64"/>
      </right>
      <top/>
      <bottom style="thick">
        <color indexed="64"/>
      </bottom>
      <diagonal/>
    </border>
    <border>
      <left style="thick">
        <color indexed="64"/>
      </left>
      <right/>
      <top/>
      <bottom style="medium">
        <color indexed="64"/>
      </bottom>
      <diagonal/>
    </border>
    <border>
      <left style="thin">
        <color indexed="64"/>
      </left>
      <right style="thin">
        <color indexed="64"/>
      </right>
      <top/>
      <bottom style="medium">
        <color indexed="64"/>
      </bottom>
      <diagonal/>
    </border>
    <border>
      <left style="thick">
        <color indexed="64"/>
      </left>
      <right/>
      <top style="thin">
        <color indexed="64"/>
      </top>
      <bottom/>
      <diagonal/>
    </border>
    <border>
      <left style="thick">
        <color indexed="64"/>
      </left>
      <right style="thin">
        <color indexed="64"/>
      </right>
      <top style="thin">
        <color indexed="64"/>
      </top>
      <bottom style="medium">
        <color indexed="64"/>
      </bottom>
      <diagonal/>
    </border>
    <border>
      <left/>
      <right style="thick">
        <color indexed="64"/>
      </right>
      <top style="medium">
        <color indexed="64"/>
      </top>
      <bottom/>
      <diagonal/>
    </border>
    <border>
      <left style="medium">
        <color indexed="64"/>
      </left>
      <right style="medium">
        <color indexed="64"/>
      </right>
      <top/>
      <bottom/>
      <diagonal/>
    </border>
    <border>
      <left style="thick">
        <color indexed="64"/>
      </left>
      <right/>
      <top style="medium">
        <color indexed="64"/>
      </top>
      <bottom style="thick">
        <color indexed="64"/>
      </bottom>
      <diagonal/>
    </border>
    <border>
      <left/>
      <right/>
      <top style="medium">
        <color indexed="64"/>
      </top>
      <bottom style="thick">
        <color indexed="64"/>
      </bottom>
      <diagonal/>
    </border>
    <border>
      <left/>
      <right style="thick">
        <color indexed="64"/>
      </right>
      <top style="medium">
        <color indexed="64"/>
      </top>
      <bottom style="thick">
        <color indexed="64"/>
      </bottom>
      <diagonal/>
    </border>
    <border>
      <left style="thick">
        <color indexed="64"/>
      </left>
      <right style="thick">
        <color indexed="64"/>
      </right>
      <top style="thick">
        <color indexed="64"/>
      </top>
      <bottom style="thick">
        <color indexed="64"/>
      </bottom>
      <diagonal/>
    </border>
    <border>
      <left/>
      <right style="medium">
        <color indexed="64"/>
      </right>
      <top style="medium">
        <color indexed="64"/>
      </top>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ck">
        <color indexed="64"/>
      </left>
      <right/>
      <top style="thin">
        <color indexed="64"/>
      </top>
      <bottom style="thick">
        <color indexed="64"/>
      </bottom>
      <diagonal/>
    </border>
    <border>
      <left/>
      <right/>
      <top style="thin">
        <color indexed="64"/>
      </top>
      <bottom style="thick">
        <color indexed="64"/>
      </bottom>
      <diagonal/>
    </border>
    <border>
      <left style="thin">
        <color indexed="64"/>
      </left>
      <right style="thin">
        <color indexed="64"/>
      </right>
      <top style="thin">
        <color indexed="64"/>
      </top>
      <bottom style="thick">
        <color indexed="64"/>
      </bottom>
      <diagonal/>
    </border>
    <border>
      <left style="thick">
        <color indexed="64"/>
      </left>
      <right/>
      <top style="thick">
        <color indexed="64"/>
      </top>
      <bottom/>
      <diagonal/>
    </border>
    <border>
      <left/>
      <right/>
      <top style="thick">
        <color indexed="64"/>
      </top>
      <bottom/>
      <diagonal/>
    </border>
    <border>
      <left style="thin">
        <color indexed="64"/>
      </left>
      <right style="thin">
        <color indexed="64"/>
      </right>
      <top style="thick">
        <color indexed="64"/>
      </top>
      <bottom/>
      <diagonal/>
    </border>
    <border>
      <left style="thick">
        <color indexed="64"/>
      </left>
      <right style="thick">
        <color indexed="64"/>
      </right>
      <top/>
      <bottom/>
      <diagonal/>
    </border>
    <border>
      <left style="thick">
        <color indexed="64"/>
      </left>
      <right style="thick">
        <color indexed="64"/>
      </right>
      <top/>
      <bottom style="thick">
        <color indexed="64"/>
      </bottom>
      <diagonal/>
    </border>
    <border>
      <left style="thick">
        <color indexed="64"/>
      </left>
      <right/>
      <top style="medium">
        <color indexed="64"/>
      </top>
      <bottom style="medium">
        <color indexed="64"/>
      </bottom>
      <diagonal/>
    </border>
    <border>
      <left style="thick">
        <color indexed="64"/>
      </left>
      <right style="thick">
        <color indexed="64"/>
      </right>
      <top style="thick">
        <color indexed="64"/>
      </top>
      <bottom/>
      <diagonal/>
    </border>
    <border>
      <left style="thick">
        <color indexed="64"/>
      </left>
      <right style="thick">
        <color indexed="64"/>
      </right>
      <top style="thin">
        <color indexed="64"/>
      </top>
      <bottom style="thin">
        <color indexed="64"/>
      </bottom>
      <diagonal/>
    </border>
    <border>
      <left style="thick">
        <color indexed="64"/>
      </left>
      <right/>
      <top/>
      <bottom style="thick">
        <color indexed="64"/>
      </bottom>
      <diagonal/>
    </border>
    <border>
      <left style="thin">
        <color indexed="64"/>
      </left>
      <right style="medium">
        <color indexed="64"/>
      </right>
      <top style="thick">
        <color indexed="64"/>
      </top>
      <bottom style="thin">
        <color indexed="64"/>
      </bottom>
      <diagonal/>
    </border>
    <border>
      <left/>
      <right style="thick">
        <color indexed="64"/>
      </right>
      <top style="thin">
        <color indexed="64"/>
      </top>
      <bottom style="thick">
        <color indexed="64"/>
      </bottom>
      <diagonal/>
    </border>
    <border>
      <left style="thin">
        <color indexed="64"/>
      </left>
      <right style="thick">
        <color indexed="64"/>
      </right>
      <top style="thin">
        <color indexed="64"/>
      </top>
      <bottom style="thick">
        <color indexed="64"/>
      </bottom>
      <diagonal/>
    </border>
    <border>
      <left style="thick">
        <color indexed="64"/>
      </left>
      <right style="thin">
        <color indexed="64"/>
      </right>
      <top style="thick">
        <color indexed="64"/>
      </top>
      <bottom style="medium">
        <color indexed="64"/>
      </bottom>
      <diagonal/>
    </border>
    <border>
      <left style="thick">
        <color indexed="64"/>
      </left>
      <right style="thick">
        <color indexed="64"/>
      </right>
      <top style="thin">
        <color indexed="64"/>
      </top>
      <bottom/>
      <diagonal/>
    </border>
    <border>
      <left style="thin">
        <color indexed="64"/>
      </left>
      <right style="thin">
        <color indexed="64"/>
      </right>
      <top style="thick">
        <color indexed="64"/>
      </top>
      <bottom style="thin">
        <color indexed="64"/>
      </bottom>
      <diagonal/>
    </border>
    <border>
      <left style="thick">
        <color indexed="64"/>
      </left>
      <right style="thick">
        <color indexed="64"/>
      </right>
      <top style="medium">
        <color indexed="64"/>
      </top>
      <bottom/>
      <diagonal/>
    </border>
    <border>
      <left style="thin">
        <color indexed="64"/>
      </left>
      <right style="thick">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thick">
        <color indexed="64"/>
      </right>
      <top style="thin">
        <color indexed="64"/>
      </top>
      <bottom/>
      <diagonal/>
    </border>
    <border>
      <left/>
      <right style="thick">
        <color indexed="64"/>
      </right>
      <top style="thin">
        <color indexed="64"/>
      </top>
      <bottom style="medium">
        <color indexed="64"/>
      </bottom>
      <diagonal/>
    </border>
    <border>
      <left style="thick">
        <color indexed="64"/>
      </left>
      <right style="thin">
        <color indexed="64"/>
      </right>
      <top style="thin">
        <color indexed="64"/>
      </top>
      <bottom style="thick">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ck">
        <color indexed="64"/>
      </left>
      <right style="thin">
        <color indexed="64"/>
      </right>
      <top style="thin">
        <color indexed="64"/>
      </top>
      <bottom/>
      <diagonal/>
    </border>
    <border>
      <left style="thin">
        <color indexed="64"/>
      </left>
      <right style="thin">
        <color indexed="64"/>
      </right>
      <top style="thin">
        <color indexed="64"/>
      </top>
      <bottom/>
      <diagonal/>
    </border>
    <border>
      <left/>
      <right style="thick">
        <color indexed="64"/>
      </right>
      <top style="medium">
        <color indexed="64"/>
      </top>
      <bottom style="thin">
        <color indexed="64"/>
      </bottom>
      <diagonal/>
    </border>
    <border>
      <left style="thick">
        <color indexed="64"/>
      </left>
      <right/>
      <top style="thick">
        <color indexed="64"/>
      </top>
      <bottom style="thin">
        <color indexed="64"/>
      </bottom>
      <diagonal/>
    </border>
    <border>
      <left style="thin">
        <color indexed="64"/>
      </left>
      <right style="thin">
        <color indexed="64"/>
      </right>
      <top style="medium">
        <color indexed="64"/>
      </top>
      <bottom/>
      <diagonal/>
    </border>
    <border>
      <left style="thin">
        <color indexed="64"/>
      </left>
      <right style="thin">
        <color indexed="64"/>
      </right>
      <top/>
      <bottom/>
      <diagonal/>
    </border>
    <border>
      <left style="thin">
        <color indexed="64"/>
      </left>
      <right style="thick">
        <color indexed="64"/>
      </right>
      <top style="medium">
        <color indexed="64"/>
      </top>
      <bottom/>
      <diagonal/>
    </border>
    <border>
      <left style="thin">
        <color indexed="64"/>
      </left>
      <right style="thick">
        <color indexed="64"/>
      </right>
      <top/>
      <bottom/>
      <diagonal/>
    </border>
    <border>
      <left/>
      <right style="thin">
        <color indexed="64"/>
      </right>
      <top style="medium">
        <color indexed="64"/>
      </top>
      <bottom style="thin">
        <color indexed="64"/>
      </bottom>
      <diagonal/>
    </border>
    <border>
      <left style="thick">
        <color indexed="64"/>
      </left>
      <right style="thin">
        <color indexed="64"/>
      </right>
      <top style="medium">
        <color indexed="64"/>
      </top>
      <bottom style="thin">
        <color indexed="64"/>
      </bottom>
      <diagonal/>
    </border>
    <border>
      <left style="thin">
        <color indexed="64"/>
      </left>
      <right/>
      <top style="medium">
        <color indexed="64"/>
      </top>
      <bottom/>
      <diagonal/>
    </border>
    <border>
      <left style="thin">
        <color indexed="64"/>
      </left>
      <right/>
      <top style="thin">
        <color indexed="64"/>
      </top>
      <bottom style="thin">
        <color indexed="64"/>
      </bottom>
      <diagonal/>
    </border>
    <border>
      <left style="thin">
        <color indexed="64"/>
      </left>
      <right/>
      <top/>
      <bottom/>
      <diagonal/>
    </border>
    <border>
      <left style="thin">
        <color indexed="64"/>
      </left>
      <right/>
      <top style="thin">
        <color indexed="64"/>
      </top>
      <bottom style="medium">
        <color indexed="64"/>
      </bottom>
      <diagonal/>
    </border>
    <border>
      <left style="thick">
        <color indexed="64"/>
      </left>
      <right style="thin">
        <color indexed="64"/>
      </right>
      <top/>
      <bottom/>
      <diagonal/>
    </border>
    <border>
      <left style="thin">
        <color indexed="64"/>
      </left>
      <right style="thin">
        <color indexed="64"/>
      </right>
      <top style="medium">
        <color indexed="64"/>
      </top>
      <bottom style="thin">
        <color indexed="64"/>
      </bottom>
      <diagonal/>
    </border>
    <border>
      <left/>
      <right style="medium">
        <color indexed="64"/>
      </right>
      <top/>
      <bottom/>
      <diagonal/>
    </border>
    <border>
      <left style="thin">
        <color indexed="64"/>
      </left>
      <right style="thick">
        <color indexed="64"/>
      </right>
      <top style="thick">
        <color indexed="64"/>
      </top>
      <bottom/>
      <diagonal/>
    </border>
    <border>
      <left style="thin">
        <color indexed="64"/>
      </left>
      <right style="medium">
        <color indexed="64"/>
      </right>
      <top style="thick">
        <color indexed="64"/>
      </top>
      <bottom/>
      <diagonal/>
    </border>
    <border>
      <left style="thin">
        <color indexed="64"/>
      </left>
      <right style="medium">
        <color indexed="64"/>
      </right>
      <top style="thin">
        <color indexed="64"/>
      </top>
      <bottom style="medium">
        <color indexed="64"/>
      </bottom>
      <diagonal/>
    </border>
    <border>
      <left style="thick">
        <color indexed="64"/>
      </left>
      <right style="thin">
        <color indexed="64"/>
      </right>
      <top/>
      <bottom style="thin">
        <color indexed="64"/>
      </bottom>
      <diagonal/>
    </border>
    <border>
      <left/>
      <right style="thick">
        <color indexed="64"/>
      </right>
      <top style="thick">
        <color indexed="64"/>
      </top>
      <bottom style="thin">
        <color indexed="64"/>
      </bottom>
      <diagonal/>
    </border>
    <border>
      <left style="thin">
        <color indexed="64"/>
      </left>
      <right/>
      <top style="thick">
        <color indexed="64"/>
      </top>
      <bottom style="thin">
        <color indexed="64"/>
      </bottom>
      <diagonal/>
    </border>
    <border>
      <left/>
      <right/>
      <top style="thick">
        <color indexed="64"/>
      </top>
      <bottom style="thin">
        <color indexed="64"/>
      </bottom>
      <diagonal/>
    </border>
    <border>
      <left style="medium">
        <color indexed="64"/>
      </left>
      <right/>
      <top style="thick">
        <color indexed="64"/>
      </top>
      <bottom/>
      <diagonal/>
    </border>
    <border>
      <left/>
      <right style="thick">
        <color indexed="64"/>
      </right>
      <top style="thick">
        <color indexed="64"/>
      </top>
      <bottom/>
      <diagonal/>
    </border>
    <border>
      <left style="medium">
        <color indexed="64"/>
      </left>
      <right/>
      <top/>
      <bottom/>
      <diagonal/>
    </border>
    <border>
      <left/>
      <right style="thick">
        <color indexed="64"/>
      </right>
      <top/>
      <bottom/>
      <diagonal/>
    </border>
    <border>
      <left/>
      <right/>
      <top/>
      <bottom style="medium">
        <color indexed="64"/>
      </bottom>
      <diagonal/>
    </border>
    <border>
      <left/>
      <right/>
      <top style="thin">
        <color indexed="64"/>
      </top>
      <bottom style="medium">
        <color indexed="64"/>
      </bottom>
      <diagonal/>
    </border>
    <border>
      <left/>
      <right style="thin">
        <color indexed="64"/>
      </right>
      <top style="thick">
        <color indexed="64"/>
      </top>
      <bottom/>
      <diagonal/>
    </border>
    <border>
      <left style="thin">
        <color indexed="64"/>
      </left>
      <right style="thick">
        <color indexed="64"/>
      </right>
      <top style="thick">
        <color indexed="64"/>
      </top>
      <bottom style="thin">
        <color indexed="64"/>
      </bottom>
      <diagonal/>
    </border>
    <border>
      <left/>
      <right/>
      <top style="thin">
        <color indexed="64"/>
      </top>
      <bottom/>
      <diagonal/>
    </border>
    <border>
      <left/>
      <right style="thin">
        <color indexed="64"/>
      </right>
      <top style="thin">
        <color indexed="64"/>
      </top>
      <bottom/>
      <diagonal/>
    </border>
    <border>
      <left style="medium">
        <color indexed="64"/>
      </left>
      <right style="thin">
        <color indexed="64"/>
      </right>
      <top style="thick">
        <color indexed="64"/>
      </top>
      <bottom style="thin">
        <color indexed="64"/>
      </bottom>
      <diagonal/>
    </border>
    <border>
      <left style="thick">
        <color indexed="64"/>
      </left>
      <right/>
      <top/>
      <bottom style="thin">
        <color indexed="64"/>
      </bottom>
      <diagonal/>
    </border>
    <border>
      <left/>
      <right style="thin">
        <color indexed="64"/>
      </right>
      <top/>
      <bottom style="thin">
        <color indexed="64"/>
      </bottom>
      <diagonal/>
    </border>
    <border>
      <left/>
      <right/>
      <top style="thick">
        <color indexed="64"/>
      </top>
      <bottom style="medium">
        <color indexed="64"/>
      </bottom>
      <diagonal/>
    </border>
    <border>
      <left style="thin">
        <color indexed="64"/>
      </left>
      <right/>
      <top style="thick">
        <color indexed="64"/>
      </top>
      <bottom style="medium">
        <color indexed="64"/>
      </bottom>
      <diagonal/>
    </border>
    <border>
      <left/>
      <right style="thin">
        <color indexed="64"/>
      </right>
      <top style="medium">
        <color indexed="64"/>
      </top>
      <bottom/>
      <diagonal/>
    </border>
    <border>
      <left style="thin">
        <color indexed="64"/>
      </left>
      <right/>
      <top style="thin">
        <color indexed="64"/>
      </top>
      <bottom/>
      <diagonal/>
    </border>
    <border>
      <left/>
      <right style="thick">
        <color indexed="64"/>
      </right>
      <top style="thin">
        <color indexed="64"/>
      </top>
      <bottom/>
      <diagonal/>
    </border>
    <border>
      <left style="medium">
        <color indexed="64"/>
      </left>
      <right style="thin">
        <color indexed="64"/>
      </right>
      <top/>
      <bottom style="thin">
        <color indexed="64"/>
      </bottom>
      <diagonal/>
    </border>
    <border>
      <left style="thin">
        <color indexed="64"/>
      </left>
      <right style="thick">
        <color indexed="64"/>
      </right>
      <top/>
      <bottom style="thin">
        <color indexed="64"/>
      </bottom>
      <diagonal/>
    </border>
    <border>
      <left/>
      <right style="thick">
        <color indexed="64"/>
      </right>
      <top style="thick">
        <color indexed="64"/>
      </top>
      <bottom style="thick">
        <color indexed="64"/>
      </bottom>
      <diagonal/>
    </border>
    <border>
      <left/>
      <right style="thick">
        <color indexed="64"/>
      </right>
      <top/>
      <bottom style="medium">
        <color indexed="64"/>
      </bottom>
      <diagonal/>
    </border>
    <border>
      <left style="thin">
        <color indexed="64"/>
      </left>
      <right/>
      <top style="thick">
        <color indexed="64"/>
      </top>
      <bottom/>
      <diagonal/>
    </border>
    <border>
      <left style="thin">
        <color indexed="64"/>
      </left>
      <right/>
      <top style="thin">
        <color indexed="64"/>
      </top>
      <bottom style="thick">
        <color indexed="64"/>
      </bottom>
      <diagonal/>
    </border>
    <border>
      <left/>
      <right style="thin">
        <color indexed="64"/>
      </right>
      <top style="thin">
        <color indexed="64"/>
      </top>
      <bottom style="thick">
        <color indexed="64"/>
      </bottom>
      <diagonal/>
    </border>
    <border>
      <left style="medium">
        <color indexed="64"/>
      </left>
      <right/>
      <top/>
      <bottom style="thick">
        <color indexed="64"/>
      </bottom>
      <diagonal/>
    </border>
    <border>
      <left style="medium">
        <color indexed="64"/>
      </left>
      <right/>
      <top style="medium">
        <color indexed="64"/>
      </top>
      <bottom/>
      <diagonal/>
    </border>
    <border>
      <left style="thick">
        <color indexed="64"/>
      </left>
      <right style="medium">
        <color indexed="64"/>
      </right>
      <top style="thin">
        <color indexed="64"/>
      </top>
      <bottom style="thick">
        <color indexed="64"/>
      </bottom>
      <diagonal/>
    </border>
    <border>
      <left style="thick">
        <color indexed="64"/>
      </left>
      <right style="medium">
        <color indexed="64"/>
      </right>
      <top style="thin">
        <color indexed="64"/>
      </top>
      <bottom style="thin">
        <color indexed="64"/>
      </bottom>
      <diagonal/>
    </border>
    <border>
      <left style="thick">
        <color indexed="64"/>
      </left>
      <right style="thin">
        <color indexed="64"/>
      </right>
      <top style="thick">
        <color indexed="64"/>
      </top>
      <bottom/>
      <diagonal/>
    </border>
    <border>
      <left style="thin">
        <color indexed="64"/>
      </left>
      <right/>
      <top/>
      <bottom style="thick">
        <color indexed="64"/>
      </bottom>
      <diagonal/>
    </border>
    <border>
      <left/>
      <right style="thick">
        <color indexed="64"/>
      </right>
      <top style="medium">
        <color indexed="64"/>
      </top>
      <bottom style="medium">
        <color indexed="64"/>
      </bottom>
      <diagonal/>
    </border>
    <border>
      <left style="thin">
        <color indexed="64"/>
      </left>
      <right/>
      <top style="medium">
        <color indexed="64"/>
      </top>
      <bottom style="thin">
        <color indexed="64"/>
      </bottom>
      <diagonal/>
    </border>
    <border>
      <left style="thick">
        <color indexed="64"/>
      </left>
      <right style="thick">
        <color indexed="64"/>
      </right>
      <top style="thin">
        <color indexed="64"/>
      </top>
      <bottom style="thick">
        <color indexed="64"/>
      </bottom>
      <diagonal/>
    </border>
    <border>
      <left/>
      <right/>
      <top/>
      <bottom style="thin">
        <color indexed="64"/>
      </bottom>
      <diagonal/>
    </border>
    <border>
      <left style="thin">
        <color indexed="64"/>
      </left>
      <right/>
      <top/>
      <bottom style="thin">
        <color indexed="64"/>
      </bottom>
      <diagonal/>
    </border>
    <border>
      <left/>
      <right style="thin">
        <color indexed="64"/>
      </right>
      <top/>
      <bottom style="thick">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right style="medium">
        <color indexed="64"/>
      </right>
      <top style="thin">
        <color indexed="64"/>
      </top>
      <bottom style="thin">
        <color indexed="64"/>
      </bottom>
      <diagonal/>
    </border>
    <border>
      <left/>
      <right style="medium">
        <color indexed="64"/>
      </right>
      <top style="thin">
        <color indexed="64"/>
      </top>
      <bottom style="medium">
        <color indexed="64"/>
      </bottom>
      <diagonal/>
    </border>
    <border>
      <left/>
      <right style="medium">
        <color indexed="64"/>
      </right>
      <top/>
      <bottom style="thin">
        <color indexed="64"/>
      </bottom>
      <diagonal/>
    </border>
    <border>
      <left/>
      <right style="medium">
        <color indexed="64"/>
      </right>
      <top style="thin">
        <color indexed="64"/>
      </top>
      <bottom/>
      <diagonal/>
    </border>
    <border>
      <left style="thin">
        <color indexed="64"/>
      </left>
      <right/>
      <top/>
      <bottom style="medium">
        <color indexed="64"/>
      </bottom>
      <diagonal/>
    </border>
    <border>
      <left style="thick">
        <color indexed="64"/>
      </left>
      <right/>
      <top style="thick">
        <color indexed="64"/>
      </top>
      <bottom style="thick">
        <color indexed="64"/>
      </bottom>
      <diagonal/>
    </border>
    <border>
      <left/>
      <right/>
      <top style="thick">
        <color indexed="64"/>
      </top>
      <bottom style="thick">
        <color indexed="64"/>
      </bottom>
      <diagonal/>
    </border>
    <border>
      <left style="thick">
        <color indexed="64"/>
      </left>
      <right/>
      <top style="thick">
        <color indexed="64"/>
      </top>
      <bottom style="medium">
        <color indexed="64"/>
      </bottom>
      <diagonal/>
    </border>
    <border>
      <left/>
      <right style="thick">
        <color indexed="64"/>
      </right>
      <top style="thick">
        <color indexed="64"/>
      </top>
      <bottom style="medium">
        <color indexed="64"/>
      </bottom>
      <diagonal/>
    </border>
    <border>
      <left/>
      <right style="medium">
        <color indexed="64"/>
      </right>
      <top style="thick">
        <color indexed="64"/>
      </top>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style="medium">
        <color indexed="64"/>
      </right>
      <top/>
      <bottom style="medium">
        <color indexed="64"/>
      </bottom>
      <diagonal/>
    </border>
    <border>
      <left/>
      <right style="thin">
        <color indexed="64"/>
      </right>
      <top style="thick">
        <color indexed="64"/>
      </top>
      <bottom style="medium">
        <color indexed="64"/>
      </bottom>
      <diagonal/>
    </border>
    <border>
      <left style="medium">
        <color indexed="64"/>
      </left>
      <right style="thick">
        <color indexed="64"/>
      </right>
      <top style="thick">
        <color indexed="64"/>
      </top>
      <bottom/>
      <diagonal/>
    </border>
    <border>
      <left style="medium">
        <color indexed="64"/>
      </left>
      <right style="thick">
        <color indexed="64"/>
      </right>
      <top/>
      <bottom/>
      <diagonal/>
    </border>
    <border>
      <left style="medium">
        <color indexed="64"/>
      </left>
      <right style="thick">
        <color indexed="64"/>
      </right>
      <top/>
      <bottom style="medium">
        <color indexed="64"/>
      </bottom>
      <diagonal/>
    </border>
    <border>
      <left style="mediumDashed">
        <color indexed="64"/>
      </left>
      <right style="thick">
        <color indexed="64"/>
      </right>
      <top style="thick">
        <color indexed="64"/>
      </top>
      <bottom/>
      <diagonal/>
    </border>
    <border>
      <left style="mediumDashed">
        <color indexed="64"/>
      </left>
      <right style="thick">
        <color indexed="64"/>
      </right>
      <top/>
      <bottom/>
      <diagonal/>
    </border>
    <border>
      <left style="mediumDashed">
        <color indexed="64"/>
      </left>
      <right style="thick">
        <color indexed="64"/>
      </right>
      <top/>
      <bottom style="double">
        <color indexed="64"/>
      </bottom>
      <diagonal/>
    </border>
    <border>
      <left style="thick">
        <color indexed="64"/>
      </left>
      <right/>
      <top style="double">
        <color indexed="64"/>
      </top>
      <bottom/>
      <diagonal/>
    </border>
    <border>
      <left/>
      <right/>
      <top style="double">
        <color indexed="64"/>
      </top>
      <bottom/>
      <diagonal/>
    </border>
    <border>
      <left/>
      <right style="thick">
        <color indexed="64"/>
      </right>
      <top style="double">
        <color indexed="64"/>
      </top>
      <bottom/>
      <diagonal/>
    </border>
    <border>
      <left style="medium">
        <color indexed="64"/>
      </left>
      <right/>
      <top/>
      <bottom style="double">
        <color indexed="64"/>
      </bottom>
      <diagonal/>
    </border>
    <border>
      <left/>
      <right/>
      <top style="medium">
        <color indexed="64"/>
      </top>
      <bottom style="medium">
        <color indexed="64"/>
      </bottom>
      <diagonal/>
    </border>
    <border>
      <left/>
      <right style="thin">
        <color indexed="64"/>
      </right>
      <top style="thick">
        <color indexed="64"/>
      </top>
      <bottom style="thin">
        <color indexed="64"/>
      </bottom>
      <diagonal/>
    </border>
    <border>
      <left/>
      <right style="medium">
        <color indexed="64"/>
      </right>
      <top/>
      <bottom style="thick">
        <color indexed="64"/>
      </bottom>
      <diagonal/>
    </border>
    <border>
      <left/>
      <right style="medium">
        <color indexed="64"/>
      </right>
      <top style="thick">
        <color indexed="64"/>
      </top>
      <bottom style="thin">
        <color indexed="64"/>
      </bottom>
      <diagonal/>
    </border>
    <border>
      <left/>
      <right style="thin">
        <color indexed="64"/>
      </right>
      <top/>
      <bottom/>
      <diagonal/>
    </border>
    <border>
      <left style="thick">
        <color indexed="64"/>
      </left>
      <right style="thick">
        <color indexed="64"/>
      </right>
      <top style="thick">
        <color indexed="64"/>
      </top>
      <bottom style="thin">
        <color indexed="64"/>
      </bottom>
      <diagonal/>
    </border>
    <border>
      <left style="medium">
        <color indexed="64"/>
      </left>
      <right/>
      <top style="thin">
        <color indexed="64"/>
      </top>
      <bottom style="thin">
        <color indexed="64"/>
      </bottom>
      <diagonal/>
    </border>
    <border>
      <left style="medium">
        <color indexed="64"/>
      </left>
      <right/>
      <top style="thick">
        <color indexed="64"/>
      </top>
      <bottom style="thin">
        <color indexed="64"/>
      </bottom>
      <diagonal/>
    </border>
    <border>
      <left style="medium">
        <color indexed="64"/>
      </left>
      <right/>
      <top style="thin">
        <color indexed="64"/>
      </top>
      <bottom/>
      <diagonal/>
    </border>
    <border>
      <left style="medium">
        <color indexed="64"/>
      </left>
      <right/>
      <top style="medium">
        <color indexed="64"/>
      </top>
      <bottom style="thin">
        <color indexed="64"/>
      </bottom>
      <diagonal/>
    </border>
    <border>
      <left style="medium">
        <color indexed="64"/>
      </left>
      <right/>
      <top style="thin">
        <color indexed="64"/>
      </top>
      <bottom style="double">
        <color indexed="64"/>
      </bottom>
      <diagonal/>
    </border>
    <border>
      <left/>
      <right style="medium">
        <color indexed="64"/>
      </right>
      <top style="thin">
        <color indexed="64"/>
      </top>
      <bottom style="double">
        <color indexed="64"/>
      </bottom>
      <diagonal/>
    </border>
    <border>
      <left/>
      <right style="thin">
        <color indexed="64"/>
      </right>
      <top style="thin">
        <color indexed="64"/>
      </top>
      <bottom style="medium">
        <color indexed="64"/>
      </bottom>
      <diagonal/>
    </border>
    <border>
      <left style="thin">
        <color indexed="64"/>
      </left>
      <right style="medium">
        <color indexed="64"/>
      </right>
      <top style="medium">
        <color indexed="64"/>
      </top>
      <bottom style="thin">
        <color indexed="64"/>
      </bottom>
      <diagonal/>
    </border>
    <border>
      <left style="medium">
        <color indexed="64"/>
      </left>
      <right style="medium">
        <color indexed="64"/>
      </right>
      <top/>
      <bottom style="thin">
        <color indexed="64"/>
      </bottom>
      <diagonal/>
    </border>
    <border>
      <left style="medium">
        <color indexed="64"/>
      </left>
      <right style="medium">
        <color indexed="64"/>
      </right>
      <top/>
      <bottom style="thick">
        <color indexed="64"/>
      </bottom>
      <diagonal/>
    </border>
    <border>
      <left style="medium">
        <color indexed="64"/>
      </left>
      <right style="medium">
        <color indexed="64"/>
      </right>
      <top style="thick">
        <color indexed="64"/>
      </top>
      <bottom style="medium">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style="thin">
        <color indexed="64"/>
      </top>
      <bottom style="thick">
        <color indexed="64"/>
      </bottom>
      <diagonal/>
    </border>
    <border>
      <left style="thin">
        <color indexed="64"/>
      </left>
      <right style="thin">
        <color indexed="64"/>
      </right>
      <top style="thick">
        <color indexed="64"/>
      </top>
      <bottom style="medium">
        <color indexed="64"/>
      </bottom>
      <diagonal/>
    </border>
    <border>
      <left style="thin">
        <color indexed="64"/>
      </left>
      <right style="thick">
        <color indexed="64"/>
      </right>
      <top style="thick">
        <color indexed="64"/>
      </top>
      <bottom style="medium">
        <color indexed="64"/>
      </bottom>
      <diagonal/>
    </border>
    <border>
      <left style="thick">
        <color indexed="64"/>
      </left>
      <right style="medium">
        <color indexed="64"/>
      </right>
      <top/>
      <bottom/>
      <diagonal/>
    </border>
    <border>
      <left style="thick">
        <color indexed="64"/>
      </left>
      <right style="medium">
        <color indexed="64"/>
      </right>
      <top style="thick">
        <color indexed="64"/>
      </top>
      <bottom/>
      <diagonal/>
    </border>
    <border>
      <left style="thick">
        <color indexed="64"/>
      </left>
      <right style="medium">
        <color indexed="64"/>
      </right>
      <top/>
      <bottom style="thin">
        <color indexed="64"/>
      </bottom>
      <diagonal/>
    </border>
    <border>
      <left style="thick">
        <color indexed="64"/>
      </left>
      <right style="thick">
        <color indexed="64"/>
      </right>
      <top style="thick">
        <color indexed="64"/>
      </top>
      <bottom style="medium">
        <color indexed="64"/>
      </bottom>
      <diagonal/>
    </border>
    <border>
      <left style="thin">
        <color indexed="64"/>
      </left>
      <right style="medium">
        <color indexed="64"/>
      </right>
      <top style="thin">
        <color indexed="64"/>
      </top>
      <bottom style="thick">
        <color indexed="64"/>
      </bottom>
      <diagonal/>
    </border>
    <border>
      <left style="medium">
        <color indexed="64"/>
      </left>
      <right style="thin">
        <color indexed="64"/>
      </right>
      <top/>
      <bottom style="medium">
        <color indexed="64"/>
      </bottom>
      <diagonal/>
    </border>
    <border>
      <left style="thin">
        <color indexed="64"/>
      </left>
      <right style="medium">
        <color indexed="64"/>
      </right>
      <top style="medium">
        <color indexed="64"/>
      </top>
      <bottom/>
      <diagonal/>
    </border>
    <border>
      <left style="thin">
        <color indexed="64"/>
      </left>
      <right style="medium">
        <color indexed="64"/>
      </right>
      <top/>
      <bottom/>
      <diagonal/>
    </border>
    <border>
      <left style="thick">
        <color indexed="64"/>
      </left>
      <right style="medium">
        <color indexed="64"/>
      </right>
      <top/>
      <bottom style="medium">
        <color indexed="64"/>
      </bottom>
      <diagonal/>
    </border>
    <border>
      <left style="thick">
        <color indexed="64"/>
      </left>
      <right style="medium">
        <color indexed="64"/>
      </right>
      <top style="medium">
        <color indexed="64"/>
      </top>
      <bottom style="medium">
        <color indexed="64"/>
      </bottom>
      <diagonal/>
    </border>
    <border>
      <left style="thick">
        <color indexed="64"/>
      </left>
      <right style="medium">
        <color indexed="64"/>
      </right>
      <top style="medium">
        <color indexed="64"/>
      </top>
      <bottom/>
      <diagonal/>
    </border>
    <border>
      <left style="thick">
        <color indexed="64"/>
      </left>
      <right style="medium">
        <color indexed="64"/>
      </right>
      <top/>
      <bottom style="thick">
        <color indexed="64"/>
      </bottom>
      <diagonal/>
    </border>
    <border>
      <left style="thick">
        <color indexed="64"/>
      </left>
      <right style="medium">
        <color indexed="64"/>
      </right>
      <top style="thin">
        <color indexed="64"/>
      </top>
      <bottom/>
      <diagonal/>
    </border>
    <border>
      <left style="medium">
        <color indexed="64"/>
      </left>
      <right/>
      <top style="thick">
        <color indexed="64"/>
      </top>
      <bottom style="medium">
        <color indexed="64"/>
      </bottom>
      <diagonal/>
    </border>
    <border>
      <left style="medium">
        <color indexed="64"/>
      </left>
      <right/>
      <top style="thin">
        <color indexed="64"/>
      </top>
      <bottom style="thick">
        <color indexed="64"/>
      </bottom>
      <diagonal/>
    </border>
    <border>
      <left style="medium">
        <color indexed="64"/>
      </left>
      <right/>
      <top/>
      <bottom style="thin">
        <color indexed="64"/>
      </bottom>
      <diagonal/>
    </border>
    <border>
      <left style="medium">
        <color indexed="64"/>
      </left>
      <right style="thin">
        <color indexed="64"/>
      </right>
      <top style="thin">
        <color indexed="64"/>
      </top>
      <bottom style="thick">
        <color indexed="64"/>
      </bottom>
      <diagonal/>
    </border>
    <border>
      <left style="thick">
        <color indexed="64"/>
      </left>
      <right style="medium">
        <color indexed="64"/>
      </right>
      <top style="thick">
        <color indexed="64"/>
      </top>
      <bottom style="medium">
        <color indexed="64"/>
      </bottom>
      <diagonal/>
    </border>
    <border>
      <left style="medium">
        <color indexed="64"/>
      </left>
      <right style="thin">
        <color indexed="64"/>
      </right>
      <top style="thin">
        <color indexed="64"/>
      </top>
      <bottom/>
      <diagonal/>
    </border>
    <border>
      <left style="medium">
        <color indexed="64"/>
      </left>
      <right style="medium">
        <color indexed="64"/>
      </right>
      <top style="thick">
        <color indexed="64"/>
      </top>
      <bottom/>
      <diagonal/>
    </border>
    <border>
      <left style="medium">
        <color indexed="64"/>
      </left>
      <right style="thin">
        <color indexed="64"/>
      </right>
      <top style="medium">
        <color indexed="64"/>
      </top>
      <bottom/>
      <diagonal/>
    </border>
    <border>
      <left style="medium">
        <color indexed="64"/>
      </left>
      <right/>
      <top style="thin">
        <color indexed="64"/>
      </top>
      <bottom style="medium">
        <color indexed="64"/>
      </bottom>
      <diagonal/>
    </border>
    <border>
      <left/>
      <right style="medium">
        <color indexed="64"/>
      </right>
      <top style="thick">
        <color indexed="64"/>
      </top>
      <bottom style="medium">
        <color indexed="64"/>
      </bottom>
      <diagonal/>
    </border>
    <border>
      <left/>
      <right style="medium">
        <color indexed="64"/>
      </right>
      <top style="thin">
        <color indexed="64"/>
      </top>
      <bottom style="thick">
        <color indexed="64"/>
      </bottom>
      <diagonal/>
    </border>
    <border>
      <left style="medium">
        <color indexed="64"/>
      </left>
      <right style="thick">
        <color indexed="64"/>
      </right>
      <top style="medium">
        <color indexed="64"/>
      </top>
      <bottom/>
      <diagonal/>
    </border>
    <border>
      <left style="medium">
        <color indexed="64"/>
      </left>
      <right/>
      <top style="thick">
        <color indexed="64"/>
      </top>
      <bottom style="thick">
        <color indexed="64"/>
      </bottom>
      <diagonal/>
    </border>
    <border>
      <left style="thin">
        <color indexed="64"/>
      </left>
      <right style="thin">
        <color indexed="64"/>
      </right>
      <top style="thick">
        <color indexed="64"/>
      </top>
      <bottom style="thick">
        <color indexed="64"/>
      </bottom>
      <diagonal/>
    </border>
    <border>
      <left style="thick">
        <color indexed="64"/>
      </left>
      <right style="thin">
        <color indexed="64"/>
      </right>
      <top style="thick">
        <color indexed="64"/>
      </top>
      <bottom style="thick">
        <color indexed="64"/>
      </bottom>
      <diagonal/>
    </border>
    <border>
      <left style="thin">
        <color indexed="64"/>
      </left>
      <right style="thick">
        <color indexed="64"/>
      </right>
      <top style="thick">
        <color indexed="64"/>
      </top>
      <bottom style="thick">
        <color indexed="64"/>
      </bottom>
      <diagonal/>
    </border>
    <border>
      <left style="thin">
        <color indexed="64"/>
      </left>
      <right style="thin">
        <color indexed="64"/>
      </right>
      <top/>
      <bottom style="thick">
        <color indexed="64"/>
      </bottom>
      <diagonal/>
    </border>
    <border>
      <left style="thick">
        <color indexed="64"/>
      </left>
      <right style="thick">
        <color indexed="64"/>
      </right>
      <top style="medium">
        <color indexed="64"/>
      </top>
      <bottom style="thin">
        <color indexed="64"/>
      </bottom>
      <diagonal/>
    </border>
    <border>
      <left style="thick">
        <color indexed="64"/>
      </left>
      <right style="thick">
        <color indexed="64"/>
      </right>
      <top style="thin">
        <color indexed="64"/>
      </top>
      <bottom style="medium">
        <color indexed="64"/>
      </bottom>
      <diagonal/>
    </border>
    <border>
      <left style="thick">
        <color indexed="64"/>
      </left>
      <right style="thick">
        <color indexed="64"/>
      </right>
      <top/>
      <bottom style="medium">
        <color indexed="64"/>
      </bottom>
      <diagonal/>
    </border>
    <border>
      <left style="medium">
        <color indexed="64"/>
      </left>
      <right style="thick">
        <color indexed="64"/>
      </right>
      <top/>
      <bottom style="thick">
        <color indexed="64"/>
      </bottom>
      <diagonal/>
    </border>
    <border>
      <left style="thick">
        <color indexed="64"/>
      </left>
      <right style="thick">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style="thin">
        <color indexed="64"/>
      </left>
      <right style="thick">
        <color indexed="64"/>
      </right>
      <top style="medium">
        <color indexed="64"/>
      </top>
      <bottom style="medium">
        <color indexed="64"/>
      </bottom>
      <diagonal/>
    </border>
    <border>
      <left style="medium">
        <color indexed="64"/>
      </left>
      <right style="thin">
        <color indexed="64"/>
      </right>
      <top/>
      <bottom/>
      <diagonal/>
    </border>
  </borders>
  <cellStyleXfs count="6">
    <xf numFmtId="0" fontId="0" fillId="0" borderId="0">
      <alignment vertical="center"/>
    </xf>
    <xf numFmtId="166" fontId="1" fillId="0" borderId="0" applyFont="0" applyFill="0" applyBorder="0" applyProtection="0">
      <alignment vertical="center"/>
    </xf>
    <xf numFmtId="0" fontId="1" fillId="0" borderId="0"/>
    <xf numFmtId="0" fontId="1" fillId="0" borderId="0"/>
    <xf numFmtId="0" fontId="1" fillId="0" borderId="0">
      <alignment vertical="center"/>
    </xf>
    <xf numFmtId="0" fontId="223" fillId="0" borderId="0" applyNumberFormat="0" applyFill="0" applyBorder="0" applyAlignment="0" applyProtection="0">
      <alignment vertical="top"/>
      <protection locked="0"/>
    </xf>
  </cellStyleXfs>
  <cellXfs count="2674">
    <xf numFmtId="0" fontId="0" fillId="0" borderId="0" xfId="0">
      <alignment vertical="center"/>
    </xf>
    <xf numFmtId="0" fontId="1" fillId="0" borderId="0" xfId="3" applyAlignment="1">
      <alignment vertical="center"/>
    </xf>
    <xf numFmtId="0" fontId="1" fillId="0" borderId="0" xfId="2" applyAlignment="1">
      <alignment vertical="center"/>
    </xf>
    <xf numFmtId="0" fontId="1" fillId="0" borderId="0" xfId="4">
      <alignment vertical="center"/>
    </xf>
    <xf numFmtId="0" fontId="2" fillId="0" borderId="0" xfId="3" applyFont="1" applyAlignment="1" applyProtection="1">
      <alignment vertical="center"/>
      <protection hidden="1"/>
    </xf>
    <xf numFmtId="0" fontId="82" fillId="0" borderId="0" xfId="4" applyFont="1" applyFill="1" applyAlignment="1">
      <alignment horizontal="center" vertical="center" wrapText="1"/>
    </xf>
    <xf numFmtId="0" fontId="81" fillId="11" borderId="35" xfId="0" applyFont="1" applyFill="1" applyBorder="1" applyAlignment="1" applyProtection="1">
      <alignment horizontal="center" vertical="center"/>
      <protection hidden="1"/>
    </xf>
    <xf numFmtId="0" fontId="31" fillId="13" borderId="42" xfId="0" applyFont="1" applyFill="1" applyBorder="1" applyAlignment="1" applyProtection="1">
      <alignment horizontal="center" vertical="center" wrapText="1"/>
      <protection hidden="1"/>
    </xf>
    <xf numFmtId="167" fontId="31" fillId="13" borderId="42" xfId="0" applyNumberFormat="1" applyFont="1" applyFill="1" applyBorder="1" applyAlignment="1" applyProtection="1">
      <alignment horizontal="center" vertical="center" wrapText="1"/>
      <protection hidden="1"/>
    </xf>
    <xf numFmtId="22" fontId="22" fillId="13" borderId="80" xfId="0" applyNumberFormat="1" applyFont="1" applyFill="1" applyBorder="1" applyAlignment="1" applyProtection="1">
      <alignment horizontal="center" vertical="center" wrapText="1"/>
      <protection hidden="1"/>
    </xf>
    <xf numFmtId="0" fontId="1" fillId="13" borderId="34" xfId="0" applyFont="1" applyFill="1" applyBorder="1" applyAlignment="1" applyProtection="1">
      <alignment horizontal="center" vertical="center" wrapText="1"/>
      <protection hidden="1"/>
    </xf>
    <xf numFmtId="0" fontId="5" fillId="13" borderId="46" xfId="0" applyFont="1" applyFill="1" applyBorder="1" applyAlignment="1" applyProtection="1">
      <alignment vertical="center"/>
      <protection hidden="1"/>
    </xf>
    <xf numFmtId="0" fontId="6" fillId="13" borderId="17" xfId="0" applyFont="1" applyFill="1" applyBorder="1" applyAlignment="1" applyProtection="1">
      <alignment horizontal="center" vertical="center"/>
      <protection hidden="1"/>
    </xf>
    <xf numFmtId="0" fontId="6" fillId="13" borderId="49" xfId="0" applyFont="1" applyFill="1" applyBorder="1" applyAlignment="1" applyProtection="1">
      <alignment horizontal="center" vertical="center"/>
      <protection hidden="1"/>
    </xf>
    <xf numFmtId="0" fontId="6" fillId="13" borderId="97" xfId="0" applyFont="1" applyFill="1" applyBorder="1" applyAlignment="1" applyProtection="1">
      <alignment horizontal="center" vertical="center"/>
      <protection hidden="1"/>
    </xf>
    <xf numFmtId="0" fontId="0" fillId="13" borderId="0" xfId="0" applyFill="1" applyBorder="1" applyProtection="1">
      <alignment vertical="center"/>
      <protection hidden="1"/>
    </xf>
    <xf numFmtId="0" fontId="5" fillId="13" borderId="43" xfId="0" applyFont="1" applyFill="1" applyBorder="1" applyAlignment="1" applyProtection="1">
      <alignment vertical="center"/>
      <protection hidden="1"/>
    </xf>
    <xf numFmtId="0" fontId="6" fillId="13" borderId="16" xfId="0" applyFont="1" applyFill="1" applyBorder="1" applyAlignment="1" applyProtection="1">
      <alignment horizontal="center" vertical="center"/>
      <protection hidden="1"/>
    </xf>
    <xf numFmtId="0" fontId="6" fillId="13" borderId="1" xfId="0" applyFont="1" applyFill="1" applyBorder="1" applyAlignment="1" applyProtection="1">
      <alignment horizontal="center" vertical="center"/>
      <protection hidden="1"/>
    </xf>
    <xf numFmtId="0" fontId="6" fillId="13" borderId="2" xfId="0" applyFont="1" applyFill="1" applyBorder="1" applyAlignment="1" applyProtection="1">
      <alignment horizontal="center" vertical="center"/>
      <protection hidden="1"/>
    </xf>
    <xf numFmtId="0" fontId="15" fillId="13" borderId="121" xfId="0" applyNumberFormat="1" applyFont="1" applyFill="1" applyBorder="1" applyAlignment="1" applyProtection="1">
      <alignment horizontal="center" vertical="center"/>
      <protection hidden="1"/>
    </xf>
    <xf numFmtId="0" fontId="5" fillId="13" borderId="90" xfId="0" applyFont="1" applyFill="1" applyBorder="1" applyAlignment="1" applyProtection="1">
      <alignment vertical="center"/>
      <protection hidden="1"/>
    </xf>
    <xf numFmtId="0" fontId="15" fillId="13" borderId="35" xfId="0" applyNumberFormat="1" applyFont="1" applyFill="1" applyBorder="1" applyAlignment="1" applyProtection="1">
      <alignment horizontal="center" vertical="center"/>
      <protection hidden="1"/>
    </xf>
    <xf numFmtId="0" fontId="6" fillId="13" borderId="3" xfId="0" applyFont="1" applyFill="1" applyBorder="1" applyAlignment="1" applyProtection="1">
      <alignment horizontal="center" vertical="center"/>
      <protection hidden="1"/>
    </xf>
    <xf numFmtId="0" fontId="18" fillId="13" borderId="124" xfId="0" applyNumberFormat="1" applyFont="1" applyFill="1" applyBorder="1" applyAlignment="1" applyProtection="1">
      <alignment horizontal="center" vertical="center"/>
      <protection hidden="1"/>
    </xf>
    <xf numFmtId="0" fontId="6" fillId="13" borderId="8" xfId="0" applyFont="1" applyFill="1" applyBorder="1" applyAlignment="1" applyProtection="1">
      <alignment horizontal="center" vertical="center"/>
      <protection hidden="1"/>
    </xf>
    <xf numFmtId="0" fontId="69" fillId="13" borderId="35" xfId="0" applyNumberFormat="1" applyFont="1" applyFill="1" applyBorder="1" applyAlignment="1" applyProtection="1">
      <alignment horizontal="center" vertical="center"/>
      <protection hidden="1"/>
    </xf>
    <xf numFmtId="0" fontId="6" fillId="13" borderId="27" xfId="0" applyFont="1" applyFill="1" applyBorder="1" applyAlignment="1" applyProtection="1">
      <alignment horizontal="center" vertical="center"/>
      <protection hidden="1"/>
    </xf>
    <xf numFmtId="167" fontId="6" fillId="13" borderId="11" xfId="0" applyNumberFormat="1" applyFont="1" applyFill="1" applyBorder="1" applyAlignment="1" applyProtection="1">
      <alignment horizontal="center" vertical="center"/>
      <protection hidden="1"/>
    </xf>
    <xf numFmtId="167" fontId="134" fillId="13" borderId="36" xfId="0" applyNumberFormat="1" applyFont="1" applyFill="1" applyBorder="1" applyAlignment="1" applyProtection="1">
      <alignment horizontal="center" vertical="center"/>
      <protection hidden="1"/>
    </xf>
    <xf numFmtId="167" fontId="6" fillId="13" borderId="126" xfId="0" applyNumberFormat="1" applyFont="1" applyFill="1" applyBorder="1" applyAlignment="1" applyProtection="1">
      <alignment horizontal="center" vertical="center"/>
      <protection hidden="1"/>
    </xf>
    <xf numFmtId="22" fontId="5" fillId="13" borderId="43" xfId="0" applyNumberFormat="1" applyFont="1" applyFill="1" applyBorder="1" applyAlignment="1" applyProtection="1">
      <alignment vertical="center"/>
      <protection hidden="1"/>
    </xf>
    <xf numFmtId="0" fontId="6" fillId="13" borderId="11" xfId="0" applyNumberFormat="1" applyFont="1" applyFill="1" applyBorder="1" applyAlignment="1" applyProtection="1">
      <alignment horizontal="left" vertical="center"/>
      <protection hidden="1"/>
    </xf>
    <xf numFmtId="167" fontId="6" fillId="13" borderId="26" xfId="0" applyNumberFormat="1" applyFont="1" applyFill="1" applyBorder="1" applyAlignment="1" applyProtection="1">
      <alignment horizontal="center" vertical="center"/>
      <protection hidden="1"/>
    </xf>
    <xf numFmtId="167" fontId="134" fillId="13" borderId="64" xfId="0" applyNumberFormat="1" applyFont="1" applyFill="1" applyBorder="1" applyAlignment="1" applyProtection="1">
      <alignment horizontal="center" vertical="center"/>
      <protection hidden="1"/>
    </xf>
    <xf numFmtId="167" fontId="6" fillId="13" borderId="129" xfId="0" applyNumberFormat="1" applyFont="1" applyFill="1" applyBorder="1" applyAlignment="1" applyProtection="1">
      <alignment horizontal="center" vertical="center"/>
      <protection hidden="1"/>
    </xf>
    <xf numFmtId="0" fontId="135" fillId="13" borderId="88" xfId="0" applyNumberFormat="1" applyFont="1" applyFill="1" applyBorder="1" applyAlignment="1" applyProtection="1">
      <alignment horizontal="center" vertical="center"/>
      <protection hidden="1"/>
    </xf>
    <xf numFmtId="0" fontId="0" fillId="13" borderId="41" xfId="0" applyFill="1" applyBorder="1" applyProtection="1">
      <alignment vertical="center"/>
      <protection hidden="1"/>
    </xf>
    <xf numFmtId="0" fontId="40" fillId="13" borderId="90" xfId="0" applyNumberFormat="1" applyFont="1" applyFill="1" applyBorder="1" applyAlignment="1" applyProtection="1">
      <alignment horizontal="center" vertical="center"/>
      <protection hidden="1"/>
    </xf>
    <xf numFmtId="0" fontId="93" fillId="13" borderId="2" xfId="0" applyNumberFormat="1" applyFont="1" applyFill="1" applyBorder="1" applyAlignment="1" applyProtection="1">
      <alignment horizontal="left" vertical="center"/>
      <protection hidden="1"/>
    </xf>
    <xf numFmtId="0" fontId="137" fillId="13" borderId="90" xfId="0" applyNumberFormat="1" applyFont="1" applyFill="1" applyBorder="1" applyAlignment="1" applyProtection="1">
      <alignment horizontal="center" vertical="center"/>
      <protection hidden="1"/>
    </xf>
    <xf numFmtId="0" fontId="138" fillId="13" borderId="90" xfId="0" applyNumberFormat="1" applyFont="1" applyFill="1" applyBorder="1" applyAlignment="1" applyProtection="1">
      <alignment horizontal="center" vertical="center"/>
      <protection hidden="1"/>
    </xf>
    <xf numFmtId="0" fontId="67" fillId="13" borderId="2" xfId="0" applyNumberFormat="1" applyFont="1" applyFill="1" applyBorder="1" applyAlignment="1" applyProtection="1">
      <alignment horizontal="left" vertical="center"/>
      <protection hidden="1"/>
    </xf>
    <xf numFmtId="0" fontId="133" fillId="13" borderId="90" xfId="0" applyFont="1" applyFill="1" applyBorder="1" applyAlignment="1" applyProtection="1">
      <alignment horizontal="center" vertical="center" wrapText="1"/>
      <protection hidden="1"/>
    </xf>
    <xf numFmtId="0" fontId="142" fillId="13" borderId="90" xfId="0" applyFont="1" applyFill="1" applyBorder="1" applyAlignment="1" applyProtection="1">
      <alignment horizontal="center" vertical="center" wrapText="1"/>
      <protection hidden="1"/>
    </xf>
    <xf numFmtId="0" fontId="95" fillId="13" borderId="2" xfId="0" applyNumberFormat="1" applyFont="1" applyFill="1" applyBorder="1" applyAlignment="1" applyProtection="1">
      <alignment horizontal="left" vertical="center"/>
      <protection hidden="1"/>
    </xf>
    <xf numFmtId="0" fontId="143" fillId="13" borderId="90" xfId="0" applyFont="1" applyFill="1" applyBorder="1" applyAlignment="1" applyProtection="1">
      <alignment horizontal="center" vertical="center" wrapText="1"/>
      <protection hidden="1"/>
    </xf>
    <xf numFmtId="0" fontId="144" fillId="13" borderId="0" xfId="0" applyFont="1" applyFill="1" applyBorder="1" applyAlignment="1" applyProtection="1">
      <alignment horizontal="center" vertical="center" wrapText="1"/>
      <protection hidden="1"/>
    </xf>
    <xf numFmtId="0" fontId="145" fillId="13" borderId="90" xfId="0" applyFont="1" applyFill="1" applyBorder="1" applyAlignment="1" applyProtection="1">
      <alignment horizontal="center" vertical="center" wrapText="1"/>
      <protection hidden="1"/>
    </xf>
    <xf numFmtId="0" fontId="96" fillId="13" borderId="2" xfId="0" applyNumberFormat="1" applyFont="1" applyFill="1" applyBorder="1" applyAlignment="1" applyProtection="1">
      <alignment horizontal="left" vertical="center"/>
      <protection hidden="1"/>
    </xf>
    <xf numFmtId="0" fontId="146" fillId="13" borderId="90" xfId="0" applyNumberFormat="1" applyFont="1" applyFill="1" applyBorder="1" applyAlignment="1" applyProtection="1">
      <alignment horizontal="center" vertical="center" wrapText="1"/>
      <protection hidden="1"/>
    </xf>
    <xf numFmtId="0" fontId="147" fillId="13" borderId="90" xfId="0" applyNumberFormat="1" applyFont="1" applyFill="1" applyBorder="1" applyAlignment="1" applyProtection="1">
      <alignment horizontal="center" vertical="center" wrapText="1"/>
      <protection hidden="1"/>
    </xf>
    <xf numFmtId="0" fontId="149" fillId="13" borderId="90" xfId="0" applyNumberFormat="1" applyFont="1" applyFill="1" applyBorder="1" applyAlignment="1" applyProtection="1">
      <alignment horizontal="center" vertical="center" wrapText="1"/>
      <protection hidden="1"/>
    </xf>
    <xf numFmtId="0" fontId="0" fillId="13" borderId="15" xfId="0" applyFill="1" applyBorder="1" applyProtection="1">
      <alignment vertical="center"/>
      <protection hidden="1"/>
    </xf>
    <xf numFmtId="0" fontId="150" fillId="13" borderId="93" xfId="0" applyFont="1" applyFill="1" applyBorder="1" applyAlignment="1" applyProtection="1">
      <alignment vertical="center"/>
      <protection hidden="1"/>
    </xf>
    <xf numFmtId="0" fontId="69" fillId="13" borderId="93" xfId="0" applyFont="1" applyFill="1" applyBorder="1" applyAlignment="1" applyProtection="1">
      <alignment horizontal="center" vertical="center"/>
      <protection hidden="1"/>
    </xf>
    <xf numFmtId="0" fontId="55" fillId="13" borderId="88" xfId="0" applyFont="1" applyFill="1" applyBorder="1" applyAlignment="1" applyProtection="1">
      <alignment horizontal="centerContinuous" vertical="center"/>
      <protection hidden="1"/>
    </xf>
    <xf numFmtId="0" fontId="79" fillId="13" borderId="116" xfId="0" applyFont="1" applyFill="1" applyBorder="1" applyAlignment="1" applyProtection="1">
      <alignment horizontal="centerContinuous" vertical="center" wrapText="1"/>
      <protection hidden="1"/>
    </xf>
    <xf numFmtId="0" fontId="78" fillId="13" borderId="41" xfId="0" applyFont="1" applyFill="1" applyBorder="1" applyAlignment="1" applyProtection="1">
      <alignment horizontal="centerContinuous" vertical="center"/>
      <protection hidden="1"/>
    </xf>
    <xf numFmtId="0" fontId="69" fillId="13" borderId="96" xfId="0" applyFont="1" applyFill="1" applyBorder="1" applyAlignment="1" applyProtection="1">
      <alignment horizontal="center" vertical="center"/>
      <protection hidden="1"/>
    </xf>
    <xf numFmtId="0" fontId="78" fillId="13" borderId="35" xfId="0" applyFont="1" applyFill="1" applyBorder="1" applyAlignment="1" applyProtection="1">
      <alignment horizontal="centerContinuous" vertical="center"/>
      <protection hidden="1"/>
    </xf>
    <xf numFmtId="0" fontId="69" fillId="13" borderId="8" xfId="0" applyFont="1" applyFill="1" applyBorder="1" applyAlignment="1" applyProtection="1">
      <alignment horizontal="center" vertical="center"/>
      <protection hidden="1"/>
    </xf>
    <xf numFmtId="0" fontId="150" fillId="13" borderId="61" xfId="0" applyFont="1" applyFill="1" applyBorder="1" applyAlignment="1" applyProtection="1">
      <alignment vertical="center"/>
      <protection hidden="1"/>
    </xf>
    <xf numFmtId="0" fontId="79" fillId="13" borderId="16" xfId="0" applyFont="1" applyFill="1" applyBorder="1" applyAlignment="1" applyProtection="1">
      <alignment horizontal="centerContinuous" vertical="center" wrapText="1"/>
      <protection hidden="1"/>
    </xf>
    <xf numFmtId="0" fontId="150" fillId="13" borderId="111" xfId="0" applyFont="1" applyFill="1" applyBorder="1" applyAlignment="1" applyProtection="1">
      <alignment vertical="center"/>
      <protection hidden="1"/>
    </xf>
    <xf numFmtId="0" fontId="79" fillId="13" borderId="60" xfId="0" applyFont="1" applyFill="1" applyBorder="1" applyAlignment="1" applyProtection="1">
      <alignment horizontal="centerContinuous" vertical="center" wrapText="1"/>
      <protection hidden="1"/>
    </xf>
    <xf numFmtId="0" fontId="78" fillId="13" borderId="38" xfId="0" applyFont="1" applyFill="1" applyBorder="1" applyAlignment="1" applyProtection="1">
      <alignment horizontal="centerContinuous" vertical="center"/>
      <protection hidden="1"/>
    </xf>
    <xf numFmtId="0" fontId="13" fillId="13" borderId="108" xfId="0" applyFont="1" applyFill="1" applyBorder="1" applyAlignment="1" applyProtection="1">
      <alignment horizontal="center" vertical="center" wrapText="1"/>
      <protection hidden="1"/>
    </xf>
    <xf numFmtId="0" fontId="21" fillId="13" borderId="65" xfId="0" applyFont="1" applyFill="1" applyBorder="1" applyAlignment="1" applyProtection="1">
      <alignment horizontal="center" vertical="center" wrapText="1"/>
      <protection hidden="1"/>
    </xf>
    <xf numFmtId="0" fontId="81" fillId="13" borderId="35" xfId="0" applyFont="1" applyFill="1" applyBorder="1" applyAlignment="1" applyProtection="1">
      <alignment horizontal="center" vertical="center"/>
      <protection hidden="1"/>
    </xf>
    <xf numFmtId="0" fontId="11" fillId="13" borderId="55" xfId="0" applyNumberFormat="1" applyFont="1" applyFill="1" applyBorder="1" applyAlignment="1" applyProtection="1">
      <alignment horizontal="center" vertical="center" wrapText="1"/>
      <protection hidden="1"/>
    </xf>
    <xf numFmtId="0" fontId="0" fillId="13" borderId="100" xfId="0" applyFill="1" applyBorder="1" applyProtection="1">
      <alignment vertical="center"/>
      <protection hidden="1"/>
    </xf>
    <xf numFmtId="0" fontId="11" fillId="13" borderId="43" xfId="0" applyFont="1" applyFill="1" applyBorder="1" applyAlignment="1" applyProtection="1">
      <alignment horizontal="center" vertical="center" wrapText="1"/>
      <protection hidden="1"/>
    </xf>
    <xf numFmtId="0" fontId="152" fillId="13" borderId="22" xfId="0" applyFont="1" applyFill="1" applyBorder="1" applyProtection="1">
      <alignment vertical="center"/>
      <protection hidden="1"/>
    </xf>
    <xf numFmtId="0" fontId="152" fillId="13" borderId="0" xfId="0" applyFont="1" applyFill="1" applyBorder="1" applyProtection="1">
      <alignment vertical="center"/>
      <protection hidden="1"/>
    </xf>
    <xf numFmtId="0" fontId="152" fillId="13" borderId="91" xfId="0" applyFont="1" applyFill="1" applyBorder="1" applyProtection="1">
      <alignment vertical="center"/>
      <protection hidden="1"/>
    </xf>
    <xf numFmtId="0" fontId="153" fillId="13" borderId="121" xfId="0" applyFont="1" applyFill="1" applyBorder="1" applyProtection="1">
      <alignment vertical="center"/>
      <protection hidden="1"/>
    </xf>
    <xf numFmtId="0" fontId="114" fillId="13" borderId="36" xfId="0" applyNumberFormat="1" applyFont="1" applyFill="1" applyBorder="1" applyAlignment="1" applyProtection="1">
      <alignment horizontal="center" vertical="center"/>
      <protection hidden="1"/>
    </xf>
    <xf numFmtId="0" fontId="153" fillId="13" borderId="35" xfId="0" applyFont="1" applyFill="1" applyBorder="1" applyProtection="1">
      <alignment vertical="center"/>
      <protection hidden="1"/>
    </xf>
    <xf numFmtId="0" fontId="153" fillId="13" borderId="95" xfId="0" applyFont="1" applyFill="1" applyBorder="1" applyProtection="1">
      <alignment vertical="center"/>
      <protection hidden="1"/>
    </xf>
    <xf numFmtId="167" fontId="11" fillId="13" borderId="43" xfId="0" applyNumberFormat="1" applyFont="1" applyFill="1" applyBorder="1" applyAlignment="1" applyProtection="1">
      <alignment horizontal="center" vertical="center" wrapText="1"/>
      <protection hidden="1"/>
    </xf>
    <xf numFmtId="0" fontId="154" fillId="13" borderId="124" xfId="0" applyFont="1" applyFill="1" applyBorder="1" applyProtection="1">
      <alignment vertical="center"/>
      <protection hidden="1"/>
    </xf>
    <xf numFmtId="0" fontId="154" fillId="13" borderId="35" xfId="0" applyFont="1" applyFill="1" applyBorder="1" applyProtection="1">
      <alignment vertical="center"/>
      <protection hidden="1"/>
    </xf>
    <xf numFmtId="0" fontId="154" fillId="13" borderId="92" xfId="0" applyFont="1" applyFill="1" applyBorder="1" applyProtection="1">
      <alignment vertical="center"/>
      <protection hidden="1"/>
    </xf>
    <xf numFmtId="0" fontId="155" fillId="13" borderId="121" xfId="0" applyFont="1" applyFill="1" applyBorder="1" applyProtection="1">
      <alignment vertical="center"/>
      <protection hidden="1"/>
    </xf>
    <xf numFmtId="0" fontId="155" fillId="13" borderId="35" xfId="0" applyFont="1" applyFill="1" applyBorder="1" applyProtection="1">
      <alignment vertical="center"/>
      <protection hidden="1"/>
    </xf>
    <xf numFmtId="0" fontId="155" fillId="13" borderId="95" xfId="0" applyFont="1" applyFill="1" applyBorder="1" applyProtection="1">
      <alignment vertical="center"/>
      <protection hidden="1"/>
    </xf>
    <xf numFmtId="0" fontId="157" fillId="13" borderId="124" xfId="0" applyFont="1" applyFill="1" applyBorder="1" applyProtection="1">
      <alignment vertical="center"/>
      <protection hidden="1"/>
    </xf>
    <xf numFmtId="0" fontId="157" fillId="13" borderId="35" xfId="0" applyFont="1" applyFill="1" applyBorder="1" applyProtection="1">
      <alignment vertical="center"/>
      <protection hidden="1"/>
    </xf>
    <xf numFmtId="0" fontId="157" fillId="13" borderId="92" xfId="0" applyFont="1" applyFill="1" applyBorder="1" applyProtection="1">
      <alignment vertical="center"/>
      <protection hidden="1"/>
    </xf>
    <xf numFmtId="0" fontId="158" fillId="13" borderId="124" xfId="0" applyFont="1" applyFill="1" applyBorder="1" applyProtection="1">
      <alignment vertical="center"/>
      <protection hidden="1"/>
    </xf>
    <xf numFmtId="0" fontId="158" fillId="13" borderId="35" xfId="0" applyFont="1" applyFill="1" applyBorder="1" applyProtection="1">
      <alignment vertical="center"/>
      <protection hidden="1"/>
    </xf>
    <xf numFmtId="0" fontId="158" fillId="13" borderId="92" xfId="0" applyFont="1" applyFill="1" applyBorder="1" applyProtection="1">
      <alignment vertical="center"/>
      <protection hidden="1"/>
    </xf>
    <xf numFmtId="0" fontId="159" fillId="13" borderId="0" xfId="0" applyFont="1" applyFill="1" applyBorder="1" applyProtection="1">
      <alignment vertical="center"/>
      <protection hidden="1"/>
    </xf>
    <xf numFmtId="0" fontId="11" fillId="13" borderId="44" xfId="0" applyFont="1" applyFill="1" applyBorder="1" applyAlignment="1" applyProtection="1">
      <alignment horizontal="center" vertical="center" wrapText="1"/>
      <protection hidden="1"/>
    </xf>
    <xf numFmtId="0" fontId="159" fillId="13" borderId="15" xfId="0" applyFont="1" applyFill="1" applyBorder="1" applyProtection="1">
      <alignment vertical="center"/>
      <protection hidden="1"/>
    </xf>
    <xf numFmtId="167" fontId="21" fillId="13" borderId="10" xfId="0" applyNumberFormat="1" applyFont="1" applyFill="1" applyBorder="1" applyAlignment="1" applyProtection="1">
      <alignment horizontal="center" vertical="center" wrapText="1"/>
      <protection hidden="1"/>
    </xf>
    <xf numFmtId="167" fontId="21" fillId="13" borderId="11" xfId="0" applyNumberFormat="1" applyFont="1" applyFill="1" applyBorder="1" applyAlignment="1" applyProtection="1">
      <alignment horizontal="center" vertical="center" wrapText="1"/>
      <protection hidden="1"/>
    </xf>
    <xf numFmtId="167" fontId="16" fillId="13" borderId="11" xfId="0" applyNumberFormat="1" applyFont="1" applyFill="1" applyBorder="1" applyAlignment="1" applyProtection="1">
      <alignment horizontal="center" vertical="center" wrapText="1"/>
      <protection hidden="1"/>
    </xf>
    <xf numFmtId="167" fontId="16" fillId="13" borderId="151" xfId="0" applyNumberFormat="1" applyFont="1" applyFill="1" applyBorder="1" applyAlignment="1" applyProtection="1">
      <alignment horizontal="center" vertical="center" wrapText="1"/>
      <protection hidden="1"/>
    </xf>
    <xf numFmtId="167" fontId="16" fillId="13" borderId="86" xfId="0" applyNumberFormat="1" applyFont="1" applyFill="1" applyBorder="1" applyAlignment="1" applyProtection="1">
      <alignment horizontal="center" vertical="center" wrapText="1"/>
      <protection hidden="1"/>
    </xf>
    <xf numFmtId="167" fontId="16" fillId="13" borderId="61" xfId="0" applyNumberFormat="1" applyFont="1" applyFill="1" applyBorder="1" applyAlignment="1" applyProtection="1">
      <alignment horizontal="center" vertical="center" wrapText="1"/>
      <protection hidden="1"/>
    </xf>
    <xf numFmtId="167" fontId="16" fillId="13" borderId="35" xfId="0" applyNumberFormat="1" applyFont="1" applyFill="1" applyBorder="1" applyAlignment="1" applyProtection="1">
      <alignment horizontal="center" vertical="center" wrapText="1"/>
      <protection hidden="1"/>
    </xf>
    <xf numFmtId="167" fontId="16" fillId="13" borderId="162" xfId="0" applyNumberFormat="1" applyFont="1" applyFill="1" applyBorder="1" applyAlignment="1" applyProtection="1">
      <alignment horizontal="center" vertical="center" wrapText="1"/>
      <protection hidden="1"/>
    </xf>
    <xf numFmtId="167" fontId="16" fillId="13" borderId="92" xfId="0" applyNumberFormat="1" applyFont="1" applyFill="1" applyBorder="1" applyAlignment="1" applyProtection="1">
      <alignment horizontal="center" vertical="center" wrapText="1"/>
      <protection hidden="1"/>
    </xf>
    <xf numFmtId="167" fontId="33" fillId="13" borderId="0" xfId="0" applyNumberFormat="1" applyFont="1" applyFill="1" applyBorder="1" applyAlignment="1" applyProtection="1">
      <alignment horizontal="center" vertical="center" wrapText="1"/>
      <protection hidden="1"/>
    </xf>
    <xf numFmtId="167" fontId="6" fillId="13" borderId="88" xfId="0" applyNumberFormat="1" applyFont="1" applyFill="1" applyBorder="1" applyAlignment="1" applyProtection="1">
      <alignment horizontal="center" vertical="center"/>
      <protection hidden="1"/>
    </xf>
    <xf numFmtId="0" fontId="38" fillId="13" borderId="41" xfId="0" applyFont="1" applyFill="1" applyBorder="1" applyAlignment="1" applyProtection="1">
      <alignment horizontal="center" vertical="center" wrapText="1"/>
      <protection hidden="1"/>
    </xf>
    <xf numFmtId="0" fontId="38" fillId="13" borderId="93" xfId="0" applyFont="1" applyFill="1" applyBorder="1" applyAlignment="1" applyProtection="1">
      <alignment horizontal="center" vertical="center" wrapText="1"/>
      <protection hidden="1"/>
    </xf>
    <xf numFmtId="167" fontId="38" fillId="13" borderId="94" xfId="0" applyNumberFormat="1" applyFont="1" applyFill="1" applyBorder="1" applyAlignment="1" applyProtection="1">
      <alignment horizontal="center" vertical="center" wrapText="1"/>
      <protection hidden="1"/>
    </xf>
    <xf numFmtId="167" fontId="6" fillId="13" borderId="90" xfId="0" applyNumberFormat="1" applyFont="1" applyFill="1" applyBorder="1" applyAlignment="1" applyProtection="1">
      <alignment horizontal="center" vertical="center"/>
      <protection hidden="1"/>
    </xf>
    <xf numFmtId="0" fontId="38" fillId="13" borderId="95" xfId="0" applyFont="1" applyFill="1" applyBorder="1" applyAlignment="1" applyProtection="1">
      <alignment horizontal="center" vertical="center" wrapText="1"/>
      <protection hidden="1"/>
    </xf>
    <xf numFmtId="0" fontId="38" fillId="13" borderId="35" xfId="0" applyFont="1" applyFill="1" applyBorder="1" applyAlignment="1" applyProtection="1">
      <alignment horizontal="center" vertical="center" wrapText="1"/>
      <protection hidden="1"/>
    </xf>
    <xf numFmtId="0" fontId="38" fillId="13" borderId="61" xfId="0" applyFont="1" applyFill="1" applyBorder="1" applyAlignment="1" applyProtection="1">
      <alignment horizontal="center" vertical="center" wrapText="1"/>
      <protection hidden="1"/>
    </xf>
    <xf numFmtId="167" fontId="38" fillId="13" borderId="20" xfId="0" applyNumberFormat="1" applyFont="1" applyFill="1" applyBorder="1" applyAlignment="1" applyProtection="1">
      <alignment horizontal="center" vertical="center" wrapText="1"/>
      <protection hidden="1"/>
    </xf>
    <xf numFmtId="0" fontId="69" fillId="13" borderId="86" xfId="0" applyFont="1" applyFill="1" applyBorder="1" applyAlignment="1" applyProtection="1">
      <alignment horizontal="center" vertical="center" wrapText="1" readingOrder="1"/>
      <protection hidden="1"/>
    </xf>
    <xf numFmtId="0" fontId="69" fillId="13" borderId="54" xfId="0" applyFont="1" applyFill="1" applyBorder="1" applyAlignment="1" applyProtection="1">
      <alignment horizontal="center" vertical="center" wrapText="1" readingOrder="1"/>
      <protection hidden="1"/>
    </xf>
    <xf numFmtId="0" fontId="69" fillId="13" borderId="84" xfId="0" applyFont="1" applyFill="1" applyBorder="1" applyAlignment="1" applyProtection="1">
      <alignment horizontal="center" vertical="center" wrapText="1" readingOrder="1"/>
      <protection hidden="1"/>
    </xf>
    <xf numFmtId="0" fontId="69" fillId="13" borderId="35" xfId="0" applyFont="1" applyFill="1" applyBorder="1" applyAlignment="1" applyProtection="1">
      <alignment horizontal="center" vertical="center" wrapText="1" readingOrder="1"/>
      <protection hidden="1"/>
    </xf>
    <xf numFmtId="0" fontId="69" fillId="13" borderId="36" xfId="0" applyFont="1" applyFill="1" applyBorder="1" applyAlignment="1" applyProtection="1">
      <alignment horizontal="center" vertical="center" wrapText="1" readingOrder="1"/>
      <protection hidden="1"/>
    </xf>
    <xf numFmtId="0" fontId="69" fillId="13" borderId="14" xfId="0" applyFont="1" applyFill="1" applyBorder="1" applyAlignment="1" applyProtection="1">
      <alignment horizontal="center" vertical="center" wrapText="1" readingOrder="1"/>
      <protection hidden="1"/>
    </xf>
    <xf numFmtId="14" fontId="33" fillId="13" borderId="17" xfId="0" applyNumberFormat="1" applyFont="1" applyFill="1" applyBorder="1" applyAlignment="1" applyProtection="1">
      <alignment horizontal="center" vertical="center"/>
      <protection hidden="1"/>
    </xf>
    <xf numFmtId="0" fontId="33" fillId="13" borderId="49" xfId="0" applyFont="1" applyFill="1" applyBorder="1" applyProtection="1">
      <alignment vertical="center"/>
      <protection hidden="1"/>
    </xf>
    <xf numFmtId="14" fontId="33" fillId="13" borderId="16" xfId="0" applyNumberFormat="1" applyFont="1" applyFill="1" applyBorder="1" applyAlignment="1" applyProtection="1">
      <alignment horizontal="center" vertical="center"/>
      <protection hidden="1"/>
    </xf>
    <xf numFmtId="0" fontId="33" fillId="13" borderId="1" xfId="0" applyFont="1" applyFill="1" applyBorder="1" applyProtection="1">
      <alignment vertical="center"/>
      <protection hidden="1"/>
    </xf>
    <xf numFmtId="14" fontId="33" fillId="13" borderId="83" xfId="0" applyNumberFormat="1" applyFont="1" applyFill="1" applyBorder="1" applyAlignment="1" applyProtection="1">
      <alignment horizontal="center" vertical="center"/>
      <protection hidden="1"/>
    </xf>
    <xf numFmtId="0" fontId="33" fillId="13" borderId="122" xfId="0" applyFont="1" applyFill="1" applyBorder="1" applyProtection="1">
      <alignment vertical="center"/>
      <protection hidden="1"/>
    </xf>
    <xf numFmtId="0" fontId="33" fillId="13" borderId="74" xfId="0" applyFont="1" applyFill="1" applyBorder="1" applyProtection="1">
      <alignment vertical="center"/>
      <protection hidden="1"/>
    </xf>
    <xf numFmtId="0" fontId="67" fillId="8" borderId="68" xfId="0" applyFont="1" applyFill="1" applyBorder="1" applyAlignment="1" applyProtection="1">
      <alignment horizontal="center" vertical="center"/>
      <protection hidden="1"/>
    </xf>
    <xf numFmtId="0" fontId="68" fillId="8" borderId="130" xfId="0" applyFont="1" applyFill="1" applyBorder="1" applyAlignment="1" applyProtection="1">
      <alignment horizontal="center" vertical="center"/>
      <protection hidden="1"/>
    </xf>
    <xf numFmtId="0" fontId="151" fillId="8" borderId="41" xfId="0" applyFont="1" applyFill="1" applyBorder="1" applyAlignment="1" applyProtection="1">
      <alignment horizontal="center" vertical="center"/>
      <protection hidden="1"/>
    </xf>
    <xf numFmtId="14" fontId="33" fillId="11" borderId="16" xfId="0" applyNumberFormat="1" applyFont="1" applyFill="1" applyBorder="1" applyAlignment="1" applyProtection="1">
      <alignment horizontal="center" vertical="center"/>
      <protection hidden="1"/>
    </xf>
    <xf numFmtId="0" fontId="33" fillId="11" borderId="1" xfId="0" applyFont="1" applyFill="1" applyBorder="1" applyProtection="1">
      <alignment vertical="center"/>
      <protection hidden="1"/>
    </xf>
    <xf numFmtId="0" fontId="33" fillId="11" borderId="74" xfId="0" applyFont="1" applyFill="1" applyBorder="1" applyProtection="1">
      <alignment vertical="center"/>
      <protection hidden="1"/>
    </xf>
    <xf numFmtId="0" fontId="88" fillId="14" borderId="0" xfId="3" applyFont="1" applyFill="1" applyAlignment="1" applyProtection="1">
      <alignment horizontal="left" vertical="center"/>
    </xf>
    <xf numFmtId="0" fontId="76" fillId="14" borderId="0" xfId="3" applyFont="1" applyFill="1" applyAlignment="1" applyProtection="1">
      <alignment horizontal="left" vertical="center"/>
    </xf>
    <xf numFmtId="0" fontId="76" fillId="14" borderId="0" xfId="2" applyFont="1" applyFill="1" applyAlignment="1">
      <alignment vertical="center"/>
    </xf>
    <xf numFmtId="0" fontId="76" fillId="14" borderId="0" xfId="0" applyFont="1" applyFill="1">
      <alignment vertical="center"/>
    </xf>
    <xf numFmtId="0" fontId="1" fillId="14" borderId="0" xfId="2" applyFill="1" applyAlignment="1">
      <alignment vertical="center"/>
    </xf>
    <xf numFmtId="0" fontId="77" fillId="14" borderId="0" xfId="3" applyFont="1" applyFill="1" applyAlignment="1" applyProtection="1">
      <alignment horizontal="left" vertical="center"/>
    </xf>
    <xf numFmtId="0" fontId="88" fillId="14" borderId="0" xfId="3" applyFont="1" applyFill="1" applyAlignment="1" applyProtection="1">
      <alignment horizontal="left" vertical="center"/>
      <protection locked="0"/>
    </xf>
    <xf numFmtId="0" fontId="54" fillId="11" borderId="105" xfId="0" applyNumberFormat="1" applyFont="1" applyFill="1" applyBorder="1" applyAlignment="1" applyProtection="1">
      <alignment horizontal="left" vertical="center"/>
      <protection hidden="1"/>
    </xf>
    <xf numFmtId="0" fontId="94" fillId="11" borderId="105" xfId="0" applyNumberFormat="1" applyFont="1" applyFill="1" applyBorder="1" applyAlignment="1" applyProtection="1">
      <alignment horizontal="left" vertical="center"/>
      <protection hidden="1"/>
    </xf>
    <xf numFmtId="0" fontId="89" fillId="11" borderId="105" xfId="0" applyNumberFormat="1" applyFont="1" applyFill="1" applyBorder="1" applyAlignment="1" applyProtection="1">
      <alignment horizontal="left" vertical="center"/>
      <protection hidden="1"/>
    </xf>
    <xf numFmtId="0" fontId="108" fillId="12" borderId="11" xfId="0" applyNumberFormat="1" applyFont="1" applyFill="1" applyBorder="1" applyAlignment="1" applyProtection="1">
      <alignment horizontal="center" vertical="center"/>
      <protection hidden="1"/>
    </xf>
    <xf numFmtId="1" fontId="108" fillId="12" borderId="36" xfId="0" applyNumberFormat="1" applyFont="1" applyFill="1" applyBorder="1" applyAlignment="1" applyProtection="1">
      <alignment horizontal="center" vertical="center"/>
      <protection hidden="1"/>
    </xf>
    <xf numFmtId="167" fontId="108" fillId="12" borderId="36" xfId="0" applyNumberFormat="1" applyFont="1" applyFill="1" applyBorder="1" applyAlignment="1" applyProtection="1">
      <alignment horizontal="center" vertical="center"/>
      <protection hidden="1"/>
    </xf>
    <xf numFmtId="0" fontId="108" fillId="12" borderId="14" xfId="0" applyNumberFormat="1" applyFont="1" applyFill="1" applyBorder="1" applyAlignment="1" applyProtection="1">
      <alignment horizontal="center" vertical="center" wrapText="1"/>
      <protection hidden="1"/>
    </xf>
    <xf numFmtId="0" fontId="106" fillId="12" borderId="11" xfId="0" applyNumberFormat="1" applyFont="1" applyFill="1" applyBorder="1" applyAlignment="1" applyProtection="1">
      <alignment horizontal="center" vertical="center"/>
      <protection hidden="1"/>
    </xf>
    <xf numFmtId="1" fontId="106" fillId="12" borderId="36" xfId="0" applyNumberFormat="1" applyFont="1" applyFill="1" applyBorder="1" applyAlignment="1" applyProtection="1">
      <alignment horizontal="center" vertical="center"/>
      <protection hidden="1"/>
    </xf>
    <xf numFmtId="167" fontId="106" fillId="12" borderId="36" xfId="0" applyNumberFormat="1" applyFont="1" applyFill="1" applyBorder="1" applyAlignment="1" applyProtection="1">
      <alignment horizontal="center" vertical="center"/>
      <protection hidden="1"/>
    </xf>
    <xf numFmtId="0" fontId="106" fillId="12" borderId="14" xfId="0" applyNumberFormat="1" applyFont="1" applyFill="1" applyBorder="1" applyAlignment="1" applyProtection="1">
      <alignment horizontal="center" vertical="center" wrapText="1"/>
      <protection hidden="1"/>
    </xf>
    <xf numFmtId="0" fontId="105" fillId="12" borderId="11" xfId="0" applyNumberFormat="1" applyFont="1" applyFill="1" applyBorder="1" applyAlignment="1" applyProtection="1">
      <alignment horizontal="center" vertical="center"/>
      <protection hidden="1"/>
    </xf>
    <xf numFmtId="1" fontId="105" fillId="12" borderId="36" xfId="0" applyNumberFormat="1" applyFont="1" applyFill="1" applyBorder="1" applyAlignment="1" applyProtection="1">
      <alignment horizontal="center" vertical="center"/>
      <protection hidden="1"/>
    </xf>
    <xf numFmtId="167" fontId="105" fillId="12" borderId="36" xfId="0" applyNumberFormat="1" applyFont="1" applyFill="1" applyBorder="1" applyAlignment="1" applyProtection="1">
      <alignment horizontal="center" vertical="center"/>
      <protection hidden="1"/>
    </xf>
    <xf numFmtId="0" fontId="105" fillId="12" borderId="14" xfId="0" applyNumberFormat="1" applyFont="1" applyFill="1" applyBorder="1" applyAlignment="1" applyProtection="1">
      <alignment horizontal="center" vertical="center" wrapText="1"/>
      <protection hidden="1"/>
    </xf>
    <xf numFmtId="0" fontId="165" fillId="12" borderId="11" xfId="0" applyNumberFormat="1" applyFont="1" applyFill="1" applyBorder="1" applyAlignment="1" applyProtection="1">
      <alignment horizontal="center" vertical="center"/>
      <protection hidden="1"/>
    </xf>
    <xf numFmtId="1" fontId="165" fillId="12" borderId="36" xfId="0" applyNumberFormat="1" applyFont="1" applyFill="1" applyBorder="1" applyAlignment="1" applyProtection="1">
      <alignment horizontal="center" vertical="center"/>
      <protection hidden="1"/>
    </xf>
    <xf numFmtId="167" fontId="165" fillId="12" borderId="36" xfId="0" applyNumberFormat="1" applyFont="1" applyFill="1" applyBorder="1" applyAlignment="1" applyProtection="1">
      <alignment horizontal="center" vertical="center"/>
      <protection hidden="1"/>
    </xf>
    <xf numFmtId="0" fontId="165" fillId="12" borderId="14" xfId="0" applyNumberFormat="1" applyFont="1" applyFill="1" applyBorder="1" applyAlignment="1" applyProtection="1">
      <alignment horizontal="center" vertical="center" wrapText="1"/>
      <protection hidden="1"/>
    </xf>
    <xf numFmtId="0" fontId="107" fillId="13" borderId="11" xfId="0" applyNumberFormat="1" applyFont="1" applyFill="1" applyBorder="1" applyAlignment="1" applyProtection="1">
      <alignment horizontal="center" vertical="center"/>
      <protection hidden="1"/>
    </xf>
    <xf numFmtId="1" fontId="107" fillId="13" borderId="36" xfId="0" applyNumberFormat="1" applyFont="1" applyFill="1" applyBorder="1" applyAlignment="1" applyProtection="1">
      <alignment horizontal="center" vertical="center"/>
      <protection hidden="1"/>
    </xf>
    <xf numFmtId="167" fontId="107" fillId="13" borderId="36" xfId="0" applyNumberFormat="1" applyFont="1" applyFill="1" applyBorder="1" applyAlignment="1" applyProtection="1">
      <alignment horizontal="center" vertical="center"/>
      <protection hidden="1"/>
    </xf>
    <xf numFmtId="0" fontId="107" fillId="13" borderId="14" xfId="0" applyNumberFormat="1" applyFont="1" applyFill="1" applyBorder="1" applyAlignment="1" applyProtection="1">
      <alignment horizontal="center" vertical="center" wrapText="1"/>
      <protection hidden="1"/>
    </xf>
    <xf numFmtId="0" fontId="102" fillId="13" borderId="11" xfId="0" applyNumberFormat="1" applyFont="1" applyFill="1" applyBorder="1" applyAlignment="1" applyProtection="1">
      <alignment horizontal="center" vertical="center"/>
      <protection hidden="1"/>
    </xf>
    <xf numFmtId="1" fontId="102" fillId="13" borderId="36" xfId="0" applyNumberFormat="1" applyFont="1" applyFill="1" applyBorder="1" applyAlignment="1" applyProtection="1">
      <alignment horizontal="center" vertical="center"/>
      <protection hidden="1"/>
    </xf>
    <xf numFmtId="167" fontId="102" fillId="13" borderId="36" xfId="0" applyNumberFormat="1" applyFont="1" applyFill="1" applyBorder="1" applyAlignment="1" applyProtection="1">
      <alignment horizontal="center" vertical="center"/>
      <protection hidden="1"/>
    </xf>
    <xf numFmtId="0" fontId="102" fillId="13" borderId="14" xfId="0" applyNumberFormat="1" applyFont="1" applyFill="1" applyBorder="1" applyAlignment="1" applyProtection="1">
      <alignment horizontal="center" vertical="center" wrapText="1"/>
      <protection hidden="1"/>
    </xf>
    <xf numFmtId="0" fontId="104" fillId="13" borderId="13" xfId="0" applyNumberFormat="1" applyFont="1" applyFill="1" applyBorder="1" applyAlignment="1" applyProtection="1">
      <alignment horizontal="center" vertical="center"/>
      <protection hidden="1"/>
    </xf>
    <xf numFmtId="1" fontId="104" fillId="13" borderId="68" xfId="0" applyNumberFormat="1" applyFont="1" applyFill="1" applyBorder="1" applyAlignment="1" applyProtection="1">
      <alignment horizontal="center" vertical="center"/>
      <protection hidden="1"/>
    </xf>
    <xf numFmtId="167" fontId="104" fillId="13" borderId="68" xfId="0" applyNumberFormat="1" applyFont="1" applyFill="1" applyBorder="1" applyAlignment="1" applyProtection="1">
      <alignment horizontal="center" vertical="center"/>
      <protection hidden="1"/>
    </xf>
    <xf numFmtId="0" fontId="104" fillId="13" borderId="90" xfId="0" applyNumberFormat="1" applyFont="1" applyFill="1" applyBorder="1" applyAlignment="1" applyProtection="1">
      <alignment horizontal="center" vertical="center" wrapText="1"/>
      <protection hidden="1"/>
    </xf>
    <xf numFmtId="0" fontId="28" fillId="16" borderId="68" xfId="0" applyFont="1" applyFill="1" applyBorder="1" applyAlignment="1" applyProtection="1">
      <alignment horizontal="center" vertical="center"/>
      <protection hidden="1"/>
    </xf>
    <xf numFmtId="0" fontId="167" fillId="13" borderId="11" xfId="0" applyNumberFormat="1" applyFont="1" applyFill="1" applyBorder="1" applyAlignment="1" applyProtection="1">
      <alignment horizontal="center" vertical="center"/>
      <protection hidden="1"/>
    </xf>
    <xf numFmtId="1" fontId="167" fillId="13" borderId="36" xfId="0" applyNumberFormat="1" applyFont="1" applyFill="1" applyBorder="1" applyAlignment="1" applyProtection="1">
      <alignment horizontal="center" vertical="center"/>
      <protection hidden="1"/>
    </xf>
    <xf numFmtId="167" fontId="167" fillId="13" borderId="36" xfId="0" applyNumberFormat="1" applyFont="1" applyFill="1" applyBorder="1" applyAlignment="1" applyProtection="1">
      <alignment horizontal="center" vertical="center"/>
      <protection hidden="1"/>
    </xf>
    <xf numFmtId="0" fontId="167" fillId="13" borderId="14" xfId="0" applyNumberFormat="1" applyFont="1" applyFill="1" applyBorder="1" applyAlignment="1" applyProtection="1">
      <alignment horizontal="center" vertical="center" wrapText="1"/>
      <protection hidden="1"/>
    </xf>
    <xf numFmtId="0" fontId="110" fillId="12" borderId="77" xfId="0" applyNumberFormat="1" applyFont="1" applyFill="1" applyBorder="1" applyAlignment="1" applyProtection="1">
      <alignment horizontal="center" vertical="center"/>
      <protection hidden="1"/>
    </xf>
    <xf numFmtId="0" fontId="110" fillId="12" borderId="68" xfId="0" applyNumberFormat="1" applyFont="1" applyFill="1" applyBorder="1" applyAlignment="1" applyProtection="1">
      <alignment horizontal="center" vertical="center"/>
      <protection hidden="1"/>
    </xf>
    <xf numFmtId="0" fontId="110" fillId="12" borderId="16" xfId="0" applyNumberFormat="1" applyFont="1" applyFill="1" applyBorder="1" applyAlignment="1" applyProtection="1">
      <alignment horizontal="center" vertical="center"/>
      <protection hidden="1"/>
    </xf>
    <xf numFmtId="0" fontId="110" fillId="12" borderId="36" xfId="0" applyNumberFormat="1" applyFont="1" applyFill="1" applyBorder="1" applyAlignment="1" applyProtection="1">
      <alignment horizontal="center" vertical="center"/>
      <protection hidden="1"/>
    </xf>
    <xf numFmtId="0" fontId="118" fillId="12" borderId="72" xfId="0" applyNumberFormat="1" applyFont="1" applyFill="1" applyBorder="1" applyAlignment="1" applyProtection="1">
      <alignment horizontal="center" vertical="center"/>
      <protection hidden="1"/>
    </xf>
    <xf numFmtId="0" fontId="118" fillId="12" borderId="78" xfId="0" applyNumberFormat="1" applyFont="1" applyFill="1" applyBorder="1" applyAlignment="1" applyProtection="1">
      <alignment horizontal="center" vertical="center"/>
      <protection hidden="1"/>
    </xf>
    <xf numFmtId="0" fontId="114" fillId="12" borderId="72" xfId="0" applyNumberFormat="1" applyFont="1" applyFill="1" applyBorder="1" applyAlignment="1" applyProtection="1">
      <alignment horizontal="center" vertical="center"/>
      <protection hidden="1"/>
    </xf>
    <xf numFmtId="0" fontId="114" fillId="12" borderId="78" xfId="0" applyNumberFormat="1" applyFont="1" applyFill="1" applyBorder="1" applyAlignment="1" applyProtection="1">
      <alignment horizontal="center" vertical="center"/>
      <protection hidden="1"/>
    </xf>
    <xf numFmtId="0" fontId="114" fillId="12" borderId="16" xfId="0" applyNumberFormat="1" applyFont="1" applyFill="1" applyBorder="1" applyAlignment="1" applyProtection="1">
      <alignment horizontal="center" vertical="center"/>
      <protection hidden="1"/>
    </xf>
    <xf numFmtId="0" fontId="114" fillId="12" borderId="36" xfId="0" applyNumberFormat="1" applyFont="1" applyFill="1" applyBorder="1" applyAlignment="1" applyProtection="1">
      <alignment horizontal="center" vertical="center"/>
      <protection hidden="1"/>
    </xf>
    <xf numFmtId="0" fontId="110" fillId="12" borderId="67" xfId="0" applyNumberFormat="1" applyFont="1" applyFill="1" applyBorder="1" applyAlignment="1" applyProtection="1">
      <alignment horizontal="left" vertical="center"/>
      <protection hidden="1"/>
    </xf>
    <xf numFmtId="0" fontId="110" fillId="12" borderId="69" xfId="0" applyNumberFormat="1" applyFont="1" applyFill="1" applyBorder="1" applyAlignment="1" applyProtection="1">
      <alignment horizontal="left" vertical="center"/>
      <protection hidden="1"/>
    </xf>
    <xf numFmtId="0" fontId="115" fillId="12" borderId="68" xfId="0" applyNumberFormat="1" applyFont="1" applyFill="1" applyBorder="1" applyAlignment="1" applyProtection="1">
      <alignment horizontal="left" vertical="center"/>
      <protection hidden="1"/>
    </xf>
    <xf numFmtId="0" fontId="115" fillId="12" borderId="70" xfId="0" applyNumberFormat="1" applyFont="1" applyFill="1" applyBorder="1" applyAlignment="1" applyProtection="1">
      <alignment horizontal="left" vertical="center"/>
      <protection hidden="1"/>
    </xf>
    <xf numFmtId="0" fontId="114" fillId="12" borderId="68" xfId="0" applyNumberFormat="1" applyFont="1" applyFill="1" applyBorder="1" applyAlignment="1" applyProtection="1">
      <alignment horizontal="left" vertical="center"/>
      <protection hidden="1"/>
    </xf>
    <xf numFmtId="0" fontId="114" fillId="12" borderId="70" xfId="0" applyNumberFormat="1" applyFont="1" applyFill="1" applyBorder="1" applyAlignment="1" applyProtection="1">
      <alignment horizontal="left" vertical="center"/>
      <protection hidden="1"/>
    </xf>
    <xf numFmtId="0" fontId="118" fillId="12" borderId="68" xfId="0" applyNumberFormat="1" applyFont="1" applyFill="1" applyBorder="1" applyAlignment="1" applyProtection="1">
      <alignment horizontal="left" vertical="center"/>
      <protection hidden="1"/>
    </xf>
    <xf numFmtId="0" fontId="120" fillId="12" borderId="68" xfId="0" applyNumberFormat="1" applyFont="1" applyFill="1" applyBorder="1" applyAlignment="1" applyProtection="1">
      <alignment horizontal="left" vertical="center"/>
      <protection hidden="1"/>
    </xf>
    <xf numFmtId="0" fontId="120" fillId="12" borderId="70" xfId="0" applyNumberFormat="1" applyFont="1" applyFill="1" applyBorder="1" applyAlignment="1" applyProtection="1">
      <alignment horizontal="left" vertical="center"/>
      <protection hidden="1"/>
    </xf>
    <xf numFmtId="0" fontId="118" fillId="12" borderId="36" xfId="0" applyNumberFormat="1" applyFont="1" applyFill="1" applyBorder="1" applyAlignment="1" applyProtection="1">
      <alignment horizontal="left" vertical="center"/>
      <protection hidden="1"/>
    </xf>
    <xf numFmtId="0" fontId="118" fillId="12" borderId="20" xfId="0" applyNumberFormat="1" applyFont="1" applyFill="1" applyBorder="1" applyAlignment="1" applyProtection="1">
      <alignment horizontal="left" vertical="center"/>
      <protection hidden="1"/>
    </xf>
    <xf numFmtId="0" fontId="115" fillId="12" borderId="36" xfId="0" applyNumberFormat="1" applyFont="1" applyFill="1" applyBorder="1" applyAlignment="1" applyProtection="1">
      <alignment horizontal="left" vertical="center"/>
      <protection hidden="1"/>
    </xf>
    <xf numFmtId="0" fontId="115" fillId="12" borderId="20" xfId="0" applyNumberFormat="1" applyFont="1" applyFill="1" applyBorder="1" applyAlignment="1" applyProtection="1">
      <alignment horizontal="left" vertical="center"/>
      <protection hidden="1"/>
    </xf>
    <xf numFmtId="0" fontId="120" fillId="12" borderId="36" xfId="0" applyNumberFormat="1" applyFont="1" applyFill="1" applyBorder="1" applyAlignment="1" applyProtection="1">
      <alignment horizontal="left" vertical="center"/>
      <protection hidden="1"/>
    </xf>
    <xf numFmtId="0" fontId="120" fillId="12" borderId="20" xfId="0" applyNumberFormat="1" applyFont="1" applyFill="1" applyBorder="1" applyAlignment="1" applyProtection="1">
      <alignment horizontal="left" vertical="center"/>
      <protection hidden="1"/>
    </xf>
    <xf numFmtId="0" fontId="124" fillId="12" borderId="36" xfId="0" applyNumberFormat="1" applyFont="1" applyFill="1" applyBorder="1" applyAlignment="1" applyProtection="1">
      <alignment horizontal="left" vertical="center"/>
      <protection hidden="1"/>
    </xf>
    <xf numFmtId="0" fontId="124" fillId="12" borderId="20" xfId="0" applyNumberFormat="1" applyFont="1" applyFill="1" applyBorder="1" applyAlignment="1" applyProtection="1">
      <alignment horizontal="left" vertical="center"/>
      <protection hidden="1"/>
    </xf>
    <xf numFmtId="0" fontId="115" fillId="12" borderId="72" xfId="0" applyNumberFormat="1" applyFont="1" applyFill="1" applyBorder="1" applyAlignment="1" applyProtection="1">
      <alignment horizontal="center" vertical="center"/>
      <protection hidden="1"/>
    </xf>
    <xf numFmtId="0" fontId="115" fillId="12" borderId="78" xfId="0" applyNumberFormat="1" applyFont="1" applyFill="1" applyBorder="1" applyAlignment="1" applyProtection="1">
      <alignment horizontal="center" vertical="center"/>
      <protection hidden="1"/>
    </xf>
    <xf numFmtId="0" fontId="118" fillId="12" borderId="16" xfId="0" applyNumberFormat="1" applyFont="1" applyFill="1" applyBorder="1" applyAlignment="1" applyProtection="1">
      <alignment horizontal="center" vertical="center"/>
      <protection hidden="1"/>
    </xf>
    <xf numFmtId="0" fontId="118" fillId="12" borderId="36" xfId="0" applyNumberFormat="1" applyFont="1" applyFill="1" applyBorder="1" applyAlignment="1" applyProtection="1">
      <alignment horizontal="center" vertical="center"/>
      <protection hidden="1"/>
    </xf>
    <xf numFmtId="0" fontId="115" fillId="12" borderId="16" xfId="0" applyNumberFormat="1" applyFont="1" applyFill="1" applyBorder="1" applyAlignment="1" applyProtection="1">
      <alignment horizontal="center" vertical="center"/>
      <protection hidden="1"/>
    </xf>
    <xf numFmtId="0" fontId="115" fillId="12" borderId="36" xfId="0" applyNumberFormat="1" applyFont="1" applyFill="1" applyBorder="1" applyAlignment="1" applyProtection="1">
      <alignment horizontal="center" vertical="center"/>
      <protection hidden="1"/>
    </xf>
    <xf numFmtId="0" fontId="120" fillId="12" borderId="16" xfId="0" applyNumberFormat="1" applyFont="1" applyFill="1" applyBorder="1" applyAlignment="1" applyProtection="1">
      <alignment horizontal="center" vertical="center"/>
      <protection hidden="1"/>
    </xf>
    <xf numFmtId="0" fontId="120" fillId="12" borderId="36" xfId="0" applyNumberFormat="1" applyFont="1" applyFill="1" applyBorder="1" applyAlignment="1" applyProtection="1">
      <alignment horizontal="center" vertical="center"/>
      <protection hidden="1"/>
    </xf>
    <xf numFmtId="0" fontId="120" fillId="12" borderId="72" xfId="0" applyNumberFormat="1" applyFont="1" applyFill="1" applyBorder="1" applyAlignment="1" applyProtection="1">
      <alignment horizontal="center" vertical="center"/>
      <protection hidden="1"/>
    </xf>
    <xf numFmtId="0" fontId="120" fillId="12" borderId="78" xfId="0" applyNumberFormat="1" applyFont="1" applyFill="1" applyBorder="1" applyAlignment="1" applyProtection="1">
      <alignment horizontal="center" vertical="center"/>
      <protection hidden="1"/>
    </xf>
    <xf numFmtId="0" fontId="124" fillId="12" borderId="16" xfId="0" applyNumberFormat="1" applyFont="1" applyFill="1" applyBorder="1" applyAlignment="1" applyProtection="1">
      <alignment horizontal="center" vertical="center"/>
      <protection hidden="1"/>
    </xf>
    <xf numFmtId="0" fontId="124" fillId="12" borderId="36" xfId="0" applyNumberFormat="1" applyFont="1" applyFill="1" applyBorder="1" applyAlignment="1" applyProtection="1">
      <alignment horizontal="center" vertical="center"/>
      <protection hidden="1"/>
    </xf>
    <xf numFmtId="0" fontId="114" fillId="12" borderId="11" xfId="0" applyNumberFormat="1" applyFont="1" applyFill="1" applyBorder="1" applyAlignment="1" applyProtection="1">
      <alignment horizontal="center" vertical="center"/>
      <protection hidden="1"/>
    </xf>
    <xf numFmtId="0" fontId="124" fillId="12" borderId="11" xfId="0" applyNumberFormat="1" applyFont="1" applyFill="1" applyBorder="1" applyAlignment="1" applyProtection="1">
      <alignment horizontal="center" vertical="center"/>
      <protection hidden="1"/>
    </xf>
    <xf numFmtId="0" fontId="109" fillId="12" borderId="11" xfId="0" applyNumberFormat="1" applyFont="1" applyFill="1" applyBorder="1" applyAlignment="1" applyProtection="1">
      <alignment horizontal="center" vertical="center"/>
      <protection hidden="1"/>
    </xf>
    <xf numFmtId="0" fontId="109" fillId="12" borderId="10" xfId="0" applyNumberFormat="1" applyFont="1" applyFill="1" applyBorder="1" applyAlignment="1" applyProtection="1">
      <alignment horizontal="center" vertical="center"/>
      <protection hidden="1"/>
    </xf>
    <xf numFmtId="0" fontId="115" fillId="12" borderId="11" xfId="0" applyNumberFormat="1" applyFont="1" applyFill="1" applyBorder="1" applyAlignment="1" applyProtection="1">
      <alignment horizontal="center" vertical="center"/>
      <protection hidden="1"/>
    </xf>
    <xf numFmtId="0" fontId="114" fillId="12" borderId="13" xfId="0" applyNumberFormat="1" applyFont="1" applyFill="1" applyBorder="1" applyAlignment="1" applyProtection="1">
      <alignment horizontal="center" vertical="center"/>
      <protection hidden="1"/>
    </xf>
    <xf numFmtId="0" fontId="115" fillId="12" borderId="13" xfId="0" applyNumberFormat="1" applyFont="1" applyFill="1" applyBorder="1" applyAlignment="1" applyProtection="1">
      <alignment horizontal="center" vertical="center"/>
      <protection hidden="1"/>
    </xf>
    <xf numFmtId="0" fontId="118" fillId="12" borderId="13" xfId="0" applyNumberFormat="1" applyFont="1" applyFill="1" applyBorder="1" applyAlignment="1" applyProtection="1">
      <alignment horizontal="center" vertical="center"/>
      <protection hidden="1"/>
    </xf>
    <xf numFmtId="0" fontId="120" fillId="12" borderId="11" xfId="0" applyNumberFormat="1" applyFont="1" applyFill="1" applyBorder="1" applyAlignment="1" applyProtection="1">
      <alignment horizontal="center" vertical="center"/>
      <protection hidden="1"/>
    </xf>
    <xf numFmtId="0" fontId="118" fillId="12" borderId="11" xfId="0" applyNumberFormat="1" applyFont="1" applyFill="1" applyBorder="1" applyAlignment="1" applyProtection="1">
      <alignment horizontal="center" vertical="center"/>
      <protection hidden="1"/>
    </xf>
    <xf numFmtId="0" fontId="120" fillId="12" borderId="13" xfId="0" applyNumberFormat="1" applyFont="1" applyFill="1" applyBorder="1" applyAlignment="1" applyProtection="1">
      <alignment horizontal="center" vertical="center"/>
      <protection hidden="1"/>
    </xf>
    <xf numFmtId="0" fontId="114" fillId="12" borderId="68" xfId="0" applyNumberFormat="1" applyFont="1" applyFill="1" applyBorder="1" applyAlignment="1" applyProtection="1">
      <alignment horizontal="center" vertical="center"/>
      <protection hidden="1"/>
    </xf>
    <xf numFmtId="0" fontId="109" fillId="12" borderId="67" xfId="0" applyNumberFormat="1" applyFont="1" applyFill="1" applyBorder="1" applyAlignment="1" applyProtection="1">
      <alignment horizontal="center" vertical="center"/>
      <protection hidden="1"/>
    </xf>
    <xf numFmtId="0" fontId="120" fillId="12" borderId="68" xfId="0" applyNumberFormat="1" applyFont="1" applyFill="1" applyBorder="1" applyAlignment="1" applyProtection="1">
      <alignment horizontal="center" vertical="center"/>
      <protection hidden="1"/>
    </xf>
    <xf numFmtId="0" fontId="118" fillId="12" borderId="68" xfId="0" applyNumberFormat="1" applyFont="1" applyFill="1" applyBorder="1" applyAlignment="1" applyProtection="1">
      <alignment horizontal="center" vertical="center"/>
      <protection hidden="1"/>
    </xf>
    <xf numFmtId="0" fontId="115" fillId="12" borderId="68" xfId="0" applyNumberFormat="1" applyFont="1" applyFill="1" applyBorder="1" applyAlignment="1" applyProtection="1">
      <alignment horizontal="center" vertical="center"/>
      <protection hidden="1"/>
    </xf>
    <xf numFmtId="0" fontId="109" fillId="12" borderId="36" xfId="0" applyNumberFormat="1" applyFont="1" applyFill="1" applyBorder="1" applyAlignment="1" applyProtection="1">
      <alignment horizontal="center" vertical="center"/>
      <protection hidden="1"/>
    </xf>
    <xf numFmtId="0" fontId="15" fillId="12" borderId="35" xfId="0" applyNumberFormat="1" applyFont="1" applyFill="1" applyBorder="1" applyAlignment="1" applyProtection="1">
      <alignment horizontal="center" vertical="center"/>
      <protection hidden="1"/>
    </xf>
    <xf numFmtId="0" fontId="15" fillId="12" borderId="95" xfId="0" applyNumberFormat="1" applyFont="1" applyFill="1" applyBorder="1" applyAlignment="1" applyProtection="1">
      <alignment horizontal="center" vertical="center"/>
      <protection hidden="1"/>
    </xf>
    <xf numFmtId="167" fontId="18" fillId="12" borderId="35" xfId="0" applyNumberFormat="1" applyFont="1" applyFill="1" applyBorder="1" applyAlignment="1" applyProtection="1">
      <alignment horizontal="center" vertical="center"/>
      <protection hidden="1"/>
    </xf>
    <xf numFmtId="0" fontId="18" fillId="12" borderId="95" xfId="0" applyNumberFormat="1" applyFont="1" applyFill="1" applyBorder="1" applyAlignment="1" applyProtection="1">
      <alignment horizontal="center" vertical="center"/>
      <protection hidden="1"/>
    </xf>
    <xf numFmtId="0" fontId="122" fillId="12" borderId="68" xfId="0" applyNumberFormat="1" applyFont="1" applyFill="1" applyBorder="1" applyAlignment="1" applyProtection="1">
      <alignment horizontal="center" vertical="center"/>
      <protection hidden="1"/>
    </xf>
    <xf numFmtId="0" fontId="109" fillId="12" borderId="10" xfId="0" applyNumberFormat="1" applyFont="1" applyFill="1" applyBorder="1" applyAlignment="1" applyProtection="1">
      <alignment horizontal="left" vertical="center"/>
      <protection hidden="1"/>
    </xf>
    <xf numFmtId="0" fontId="109" fillId="12" borderId="11" xfId="0" applyNumberFormat="1" applyFont="1" applyFill="1" applyBorder="1" applyAlignment="1" applyProtection="1">
      <alignment horizontal="left" vertical="center"/>
      <protection hidden="1"/>
    </xf>
    <xf numFmtId="0" fontId="115" fillId="12" borderId="13" xfId="0" applyNumberFormat="1" applyFont="1" applyFill="1" applyBorder="1" applyAlignment="1" applyProtection="1">
      <alignment horizontal="left" vertical="center"/>
      <protection hidden="1"/>
    </xf>
    <xf numFmtId="0" fontId="114" fillId="12" borderId="11" xfId="0" applyNumberFormat="1" applyFont="1" applyFill="1" applyBorder="1" applyAlignment="1" applyProtection="1">
      <alignment horizontal="left" vertical="center"/>
      <protection hidden="1"/>
    </xf>
    <xf numFmtId="0" fontId="120" fillId="12" borderId="13" xfId="0" applyNumberFormat="1" applyFont="1" applyFill="1" applyBorder="1" applyAlignment="1" applyProtection="1">
      <alignment horizontal="left" vertical="center"/>
      <protection hidden="1"/>
    </xf>
    <xf numFmtId="0" fontId="116" fillId="12" borderId="11" xfId="0" applyNumberFormat="1" applyFont="1" applyFill="1" applyBorder="1" applyAlignment="1" applyProtection="1">
      <alignment horizontal="left" vertical="center"/>
      <protection hidden="1"/>
    </xf>
    <xf numFmtId="0" fontId="116" fillId="12" borderId="36" xfId="0" applyNumberFormat="1" applyFont="1" applyFill="1" applyBorder="1" applyAlignment="1" applyProtection="1">
      <alignment horizontal="center" vertical="center"/>
      <protection hidden="1"/>
    </xf>
    <xf numFmtId="0" fontId="118" fillId="12" borderId="13" xfId="0" applyNumberFormat="1" applyFont="1" applyFill="1" applyBorder="1" applyAlignment="1" applyProtection="1">
      <alignment horizontal="left" vertical="center"/>
      <protection hidden="1"/>
    </xf>
    <xf numFmtId="0" fontId="118" fillId="12" borderId="11" xfId="0" applyNumberFormat="1" applyFont="1" applyFill="1" applyBorder="1" applyAlignment="1" applyProtection="1">
      <alignment horizontal="left" vertical="center"/>
      <protection hidden="1"/>
    </xf>
    <xf numFmtId="0" fontId="120" fillId="12" borderId="11" xfId="0" applyNumberFormat="1" applyFont="1" applyFill="1" applyBorder="1" applyAlignment="1" applyProtection="1">
      <alignment horizontal="left" vertical="center"/>
      <protection hidden="1"/>
    </xf>
    <xf numFmtId="0" fontId="124" fillId="12" borderId="13" xfId="0" applyNumberFormat="1" applyFont="1" applyFill="1" applyBorder="1" applyAlignment="1" applyProtection="1">
      <alignment horizontal="left" vertical="center"/>
      <protection hidden="1"/>
    </xf>
    <xf numFmtId="0" fontId="124" fillId="12" borderId="11" xfId="0" applyNumberFormat="1" applyFont="1" applyFill="1" applyBorder="1" applyAlignment="1" applyProtection="1">
      <alignment horizontal="left" vertical="center"/>
      <protection hidden="1"/>
    </xf>
    <xf numFmtId="0" fontId="81" fillId="15" borderId="22" xfId="0" applyFont="1" applyFill="1" applyBorder="1" applyAlignment="1" applyProtection="1">
      <alignment horizontal="center" vertical="center"/>
      <protection hidden="1"/>
    </xf>
    <xf numFmtId="0" fontId="81" fillId="15" borderId="0" xfId="0" applyFont="1" applyFill="1" applyBorder="1" applyAlignment="1" applyProtection="1">
      <alignment horizontal="center" vertical="center"/>
      <protection hidden="1"/>
    </xf>
    <xf numFmtId="0" fontId="81" fillId="15" borderId="15" xfId="0" applyFont="1" applyFill="1" applyBorder="1" applyAlignment="1" applyProtection="1">
      <alignment horizontal="center" vertical="center"/>
      <protection hidden="1"/>
    </xf>
    <xf numFmtId="0" fontId="114" fillId="12" borderId="13" xfId="0" applyNumberFormat="1" applyFont="1" applyFill="1" applyBorder="1" applyAlignment="1" applyProtection="1">
      <alignment horizontal="left" vertical="center"/>
      <protection hidden="1"/>
    </xf>
    <xf numFmtId="0" fontId="33" fillId="13" borderId="16" xfId="0" applyFont="1" applyFill="1" applyBorder="1" applyProtection="1">
      <alignment vertical="center"/>
      <protection hidden="1"/>
    </xf>
    <xf numFmtId="14" fontId="33" fillId="13" borderId="74" xfId="0" applyNumberFormat="1" applyFont="1" applyFill="1" applyBorder="1" applyAlignment="1" applyProtection="1">
      <alignment horizontal="center" vertical="center"/>
      <protection hidden="1"/>
    </xf>
    <xf numFmtId="0" fontId="33" fillId="13" borderId="36" xfId="0" applyFont="1" applyFill="1" applyBorder="1" applyProtection="1">
      <alignment vertical="center"/>
      <protection hidden="1"/>
    </xf>
    <xf numFmtId="0" fontId="69" fillId="12" borderId="35" xfId="0" applyFont="1" applyFill="1" applyBorder="1" applyAlignment="1" applyProtection="1">
      <alignment horizontal="center" vertical="center" wrapText="1" readingOrder="1"/>
      <protection hidden="1"/>
    </xf>
    <xf numFmtId="0" fontId="69" fillId="12" borderId="36" xfId="0" applyFont="1" applyFill="1" applyBorder="1" applyAlignment="1" applyProtection="1">
      <alignment horizontal="center" vertical="center" wrapText="1" readingOrder="1"/>
      <protection hidden="1"/>
    </xf>
    <xf numFmtId="0" fontId="69" fillId="12" borderId="14" xfId="0" applyFont="1" applyFill="1" applyBorder="1" applyAlignment="1" applyProtection="1">
      <alignment horizontal="center" vertical="center" wrapText="1" readingOrder="1"/>
      <protection hidden="1"/>
    </xf>
    <xf numFmtId="0" fontId="69" fillId="12" borderId="95" xfId="0" applyFont="1" applyFill="1" applyBorder="1" applyAlignment="1" applyProtection="1">
      <alignment horizontal="center" vertical="center" wrapText="1" readingOrder="1"/>
      <protection hidden="1"/>
    </xf>
    <xf numFmtId="0" fontId="69" fillId="12" borderId="64" xfId="0" applyFont="1" applyFill="1" applyBorder="1" applyAlignment="1" applyProtection="1">
      <alignment horizontal="center" vertical="center" wrapText="1" readingOrder="1"/>
      <protection hidden="1"/>
    </xf>
    <xf numFmtId="0" fontId="69" fillId="12" borderId="104" xfId="0" applyFont="1" applyFill="1" applyBorder="1" applyAlignment="1" applyProtection="1">
      <alignment horizontal="center" vertical="center" wrapText="1" readingOrder="1"/>
      <protection hidden="1"/>
    </xf>
    <xf numFmtId="167" fontId="109" fillId="12" borderId="10" xfId="0" applyNumberFormat="1" applyFont="1" applyFill="1" applyBorder="1" applyAlignment="1" applyProtection="1">
      <alignment horizontal="center" vertical="center"/>
      <protection hidden="1"/>
    </xf>
    <xf numFmtId="0" fontId="110" fillId="12" borderId="73" xfId="0" applyNumberFormat="1" applyFont="1" applyFill="1" applyBorder="1" applyAlignment="1" applyProtection="1">
      <alignment horizontal="left" vertical="center"/>
      <protection hidden="1"/>
    </xf>
    <xf numFmtId="0" fontId="110" fillId="12" borderId="67" xfId="0" applyNumberFormat="1" applyFont="1" applyFill="1" applyBorder="1" applyAlignment="1" applyProtection="1">
      <alignment horizontal="center" vertical="center"/>
      <protection hidden="1"/>
    </xf>
    <xf numFmtId="0" fontId="111" fillId="12" borderId="67" xfId="0" applyNumberFormat="1" applyFont="1" applyFill="1" applyBorder="1" applyAlignment="1" applyProtection="1">
      <alignment horizontal="center" vertical="center"/>
      <protection hidden="1"/>
    </xf>
    <xf numFmtId="167" fontId="109" fillId="12" borderId="11" xfId="0" applyNumberFormat="1" applyFont="1" applyFill="1" applyBorder="1" applyAlignment="1" applyProtection="1">
      <alignment horizontal="center" vertical="center"/>
      <protection hidden="1"/>
    </xf>
    <xf numFmtId="0" fontId="110" fillId="12" borderId="74" xfId="0" applyNumberFormat="1" applyFont="1" applyFill="1" applyBorder="1" applyAlignment="1" applyProtection="1">
      <alignment horizontal="left" vertical="center"/>
      <protection hidden="1"/>
    </xf>
    <xf numFmtId="0" fontId="110" fillId="12" borderId="36" xfId="0" applyNumberFormat="1" applyFont="1" applyFill="1" applyBorder="1" applyAlignment="1" applyProtection="1">
      <alignment horizontal="left" vertical="center"/>
      <protection hidden="1"/>
    </xf>
    <xf numFmtId="0" fontId="111" fillId="12" borderId="36" xfId="0" applyNumberFormat="1" applyFont="1" applyFill="1" applyBorder="1" applyAlignment="1" applyProtection="1">
      <alignment horizontal="center" vertical="center"/>
      <protection hidden="1"/>
    </xf>
    <xf numFmtId="0" fontId="110" fillId="12" borderId="20" xfId="0" applyNumberFormat="1" applyFont="1" applyFill="1" applyBorder="1" applyAlignment="1" applyProtection="1">
      <alignment horizontal="left" vertical="center"/>
      <protection hidden="1"/>
    </xf>
    <xf numFmtId="167" fontId="112" fillId="13" borderId="11" xfId="0" applyNumberFormat="1" applyFont="1" applyFill="1" applyBorder="1" applyAlignment="1" applyProtection="1">
      <alignment horizontal="center" vertical="center"/>
      <protection hidden="1"/>
    </xf>
    <xf numFmtId="0" fontId="112" fillId="13" borderId="74" xfId="0" applyNumberFormat="1" applyFont="1" applyFill="1" applyBorder="1" applyAlignment="1" applyProtection="1">
      <alignment horizontal="left" vertical="center"/>
      <protection hidden="1"/>
    </xf>
    <xf numFmtId="0" fontId="112" fillId="13" borderId="36" xfId="0" applyNumberFormat="1" applyFont="1" applyFill="1" applyBorder="1" applyAlignment="1" applyProtection="1">
      <alignment horizontal="left" vertical="center"/>
      <protection hidden="1"/>
    </xf>
    <xf numFmtId="0" fontId="112" fillId="13" borderId="36" xfId="0" applyNumberFormat="1" applyFont="1" applyFill="1" applyBorder="1" applyAlignment="1" applyProtection="1">
      <alignment horizontal="center" vertical="center"/>
      <protection hidden="1"/>
    </xf>
    <xf numFmtId="0" fontId="113" fillId="13" borderId="36" xfId="0" applyNumberFormat="1" applyFont="1" applyFill="1" applyBorder="1" applyAlignment="1" applyProtection="1">
      <alignment horizontal="center" vertical="center"/>
      <protection hidden="1"/>
    </xf>
    <xf numFmtId="0" fontId="112" fillId="13" borderId="20" xfId="0" applyNumberFormat="1" applyFont="1" applyFill="1" applyBorder="1" applyAlignment="1" applyProtection="1">
      <alignment horizontal="left" vertical="center"/>
      <protection hidden="1"/>
    </xf>
    <xf numFmtId="167" fontId="112" fillId="13" borderId="12" xfId="0" applyNumberFormat="1" applyFont="1" applyFill="1" applyBorder="1" applyAlignment="1" applyProtection="1">
      <alignment horizontal="center" vertical="center"/>
      <protection hidden="1"/>
    </xf>
    <xf numFmtId="0" fontId="112" fillId="13" borderId="76" xfId="0" applyNumberFormat="1" applyFont="1" applyFill="1" applyBorder="1" applyAlignment="1" applyProtection="1">
      <alignment horizontal="left" vertical="center"/>
      <protection hidden="1"/>
    </xf>
    <xf numFmtId="0" fontId="112" fillId="13" borderId="57" xfId="0" applyNumberFormat="1" applyFont="1" applyFill="1" applyBorder="1" applyAlignment="1" applyProtection="1">
      <alignment horizontal="left" vertical="center"/>
      <protection hidden="1"/>
    </xf>
    <xf numFmtId="0" fontId="112" fillId="13" borderId="57" xfId="0" applyNumberFormat="1" applyFont="1" applyFill="1" applyBorder="1" applyAlignment="1" applyProtection="1">
      <alignment horizontal="center" vertical="center"/>
      <protection hidden="1"/>
    </xf>
    <xf numFmtId="0" fontId="113" fillId="13" borderId="57" xfId="0" applyNumberFormat="1" applyFont="1" applyFill="1" applyBorder="1" applyAlignment="1" applyProtection="1">
      <alignment horizontal="center" vertical="center"/>
      <protection hidden="1"/>
    </xf>
    <xf numFmtId="0" fontId="112" fillId="13" borderId="56" xfId="0" applyNumberFormat="1" applyFont="1" applyFill="1" applyBorder="1" applyAlignment="1" applyProtection="1">
      <alignment horizontal="left" vertical="center"/>
      <protection hidden="1"/>
    </xf>
    <xf numFmtId="0" fontId="114" fillId="13" borderId="57" xfId="0" applyNumberFormat="1" applyFont="1" applyFill="1" applyBorder="1" applyAlignment="1" applyProtection="1">
      <alignment horizontal="center" vertical="center"/>
      <protection hidden="1"/>
    </xf>
    <xf numFmtId="0" fontId="116" fillId="13" borderId="74" xfId="0" applyNumberFormat="1" applyFont="1" applyFill="1" applyBorder="1" applyAlignment="1" applyProtection="1">
      <alignment horizontal="left" vertical="center"/>
      <protection hidden="1"/>
    </xf>
    <xf numFmtId="0" fontId="116" fillId="13" borderId="36" xfId="0" applyNumberFormat="1" applyFont="1" applyFill="1" applyBorder="1" applyAlignment="1" applyProtection="1">
      <alignment horizontal="left" vertical="center"/>
      <protection hidden="1"/>
    </xf>
    <xf numFmtId="0" fontId="116" fillId="13" borderId="36" xfId="0" applyNumberFormat="1" applyFont="1" applyFill="1" applyBorder="1" applyAlignment="1" applyProtection="1">
      <alignment horizontal="center" vertical="center"/>
      <protection hidden="1"/>
    </xf>
    <xf numFmtId="0" fontId="116" fillId="13" borderId="20" xfId="0" applyNumberFormat="1" applyFont="1" applyFill="1" applyBorder="1" applyAlignment="1" applyProtection="1">
      <alignment horizontal="left" vertical="center"/>
      <protection hidden="1"/>
    </xf>
    <xf numFmtId="167" fontId="116" fillId="13" borderId="12" xfId="0" applyNumberFormat="1" applyFont="1" applyFill="1" applyBorder="1" applyAlignment="1" applyProtection="1">
      <alignment horizontal="center" vertical="center"/>
      <protection hidden="1"/>
    </xf>
    <xf numFmtId="0" fontId="116" fillId="13" borderId="76" xfId="0" applyNumberFormat="1" applyFont="1" applyFill="1" applyBorder="1" applyAlignment="1" applyProtection="1">
      <alignment horizontal="left" vertical="center"/>
      <protection hidden="1"/>
    </xf>
    <xf numFmtId="0" fontId="116" fillId="13" borderId="57" xfId="0" applyNumberFormat="1" applyFont="1" applyFill="1" applyBorder="1" applyAlignment="1" applyProtection="1">
      <alignment horizontal="left" vertical="center"/>
      <protection hidden="1"/>
    </xf>
    <xf numFmtId="0" fontId="116" fillId="13" borderId="57" xfId="0" applyNumberFormat="1" applyFont="1" applyFill="1" applyBorder="1" applyAlignment="1" applyProtection="1">
      <alignment horizontal="center" vertical="center"/>
      <protection hidden="1"/>
    </xf>
    <xf numFmtId="0" fontId="116" fillId="13" borderId="56" xfId="0" applyNumberFormat="1" applyFont="1" applyFill="1" applyBorder="1" applyAlignment="1" applyProtection="1">
      <alignment horizontal="left" vertical="center"/>
      <protection hidden="1"/>
    </xf>
    <xf numFmtId="167" fontId="119" fillId="13" borderId="11" xfId="0" applyNumberFormat="1" applyFont="1" applyFill="1" applyBorder="1" applyAlignment="1" applyProtection="1">
      <alignment horizontal="center" vertical="center"/>
      <protection hidden="1"/>
    </xf>
    <xf numFmtId="0" fontId="119" fillId="13" borderId="74" xfId="0" applyNumberFormat="1" applyFont="1" applyFill="1" applyBorder="1" applyAlignment="1" applyProtection="1">
      <alignment horizontal="left" vertical="center"/>
      <protection hidden="1"/>
    </xf>
    <xf numFmtId="0" fontId="119" fillId="13" borderId="36" xfId="0" applyNumberFormat="1" applyFont="1" applyFill="1" applyBorder="1" applyAlignment="1" applyProtection="1">
      <alignment horizontal="left" vertical="center"/>
      <protection hidden="1"/>
    </xf>
    <xf numFmtId="0" fontId="119" fillId="13" borderId="36" xfId="0" applyNumberFormat="1" applyFont="1" applyFill="1" applyBorder="1" applyAlignment="1" applyProtection="1">
      <alignment horizontal="center" vertical="center"/>
      <protection hidden="1"/>
    </xf>
    <xf numFmtId="0" fontId="119" fillId="13" borderId="20" xfId="0" applyNumberFormat="1" applyFont="1" applyFill="1" applyBorder="1" applyAlignment="1" applyProtection="1">
      <alignment horizontal="left" vertical="center"/>
      <protection hidden="1"/>
    </xf>
    <xf numFmtId="167" fontId="119" fillId="13" borderId="12" xfId="0" applyNumberFormat="1" applyFont="1" applyFill="1" applyBorder="1" applyAlignment="1" applyProtection="1">
      <alignment horizontal="center" vertical="center"/>
      <protection hidden="1"/>
    </xf>
    <xf numFmtId="0" fontId="119" fillId="13" borderId="76" xfId="0" applyNumberFormat="1" applyFont="1" applyFill="1" applyBorder="1" applyAlignment="1" applyProtection="1">
      <alignment horizontal="left" vertical="center"/>
      <protection hidden="1"/>
    </xf>
    <xf numFmtId="0" fontId="119" fillId="13" borderId="57" xfId="0" applyNumberFormat="1" applyFont="1" applyFill="1" applyBorder="1" applyAlignment="1" applyProtection="1">
      <alignment horizontal="left" vertical="center"/>
      <protection hidden="1"/>
    </xf>
    <xf numFmtId="0" fontId="119" fillId="13" borderId="57" xfId="0" applyNumberFormat="1" applyFont="1" applyFill="1" applyBorder="1" applyAlignment="1" applyProtection="1">
      <alignment horizontal="center" vertical="center"/>
      <protection hidden="1"/>
    </xf>
    <xf numFmtId="0" fontId="119" fillId="13" borderId="56" xfId="0" applyNumberFormat="1" applyFont="1" applyFill="1" applyBorder="1" applyAlignment="1" applyProtection="1">
      <alignment horizontal="left" vertical="center"/>
      <protection hidden="1"/>
    </xf>
    <xf numFmtId="167" fontId="121" fillId="13" borderId="11" xfId="0" applyNumberFormat="1" applyFont="1" applyFill="1" applyBorder="1" applyAlignment="1" applyProtection="1">
      <alignment horizontal="center" vertical="center"/>
      <protection hidden="1"/>
    </xf>
    <xf numFmtId="0" fontId="121" fillId="13" borderId="36" xfId="0" applyNumberFormat="1" applyFont="1" applyFill="1" applyBorder="1" applyAlignment="1" applyProtection="1">
      <alignment horizontal="left" vertical="center"/>
      <protection hidden="1"/>
    </xf>
    <xf numFmtId="0" fontId="121" fillId="13" borderId="36" xfId="0" applyNumberFormat="1" applyFont="1" applyFill="1" applyBorder="1" applyAlignment="1" applyProtection="1">
      <alignment horizontal="center" vertical="center"/>
      <protection hidden="1"/>
    </xf>
    <xf numFmtId="0" fontId="121" fillId="13" borderId="20" xfId="0" applyNumberFormat="1" applyFont="1" applyFill="1" applyBorder="1" applyAlignment="1" applyProtection="1">
      <alignment horizontal="left" vertical="center"/>
      <protection hidden="1"/>
    </xf>
    <xf numFmtId="167" fontId="121" fillId="13" borderId="12" xfId="0" applyNumberFormat="1" applyFont="1" applyFill="1" applyBorder="1" applyAlignment="1" applyProtection="1">
      <alignment horizontal="center" vertical="center"/>
      <protection hidden="1"/>
    </xf>
    <xf numFmtId="0" fontId="121" fillId="13" borderId="76" xfId="0" applyNumberFormat="1" applyFont="1" applyFill="1" applyBorder="1" applyAlignment="1" applyProtection="1">
      <alignment horizontal="left" vertical="center"/>
      <protection hidden="1"/>
    </xf>
    <xf numFmtId="0" fontId="121" fillId="13" borderId="57" xfId="0" applyNumberFormat="1" applyFont="1" applyFill="1" applyBorder="1" applyAlignment="1" applyProtection="1">
      <alignment horizontal="left" vertical="center"/>
      <protection hidden="1"/>
    </xf>
    <xf numFmtId="0" fontId="121" fillId="13" borderId="57" xfId="0" applyNumberFormat="1" applyFont="1" applyFill="1" applyBorder="1" applyAlignment="1" applyProtection="1">
      <alignment horizontal="center" vertical="center"/>
      <protection hidden="1"/>
    </xf>
    <xf numFmtId="0" fontId="121" fillId="13" borderId="56" xfId="0" applyNumberFormat="1" applyFont="1" applyFill="1" applyBorder="1" applyAlignment="1" applyProtection="1">
      <alignment horizontal="left" vertical="center"/>
      <protection hidden="1"/>
    </xf>
    <xf numFmtId="167" fontId="125" fillId="13" borderId="11" xfId="0" applyNumberFormat="1" applyFont="1" applyFill="1" applyBorder="1" applyAlignment="1" applyProtection="1">
      <alignment horizontal="center" vertical="center"/>
      <protection hidden="1"/>
    </xf>
    <xf numFmtId="0" fontId="125" fillId="13" borderId="36" xfId="0" applyNumberFormat="1" applyFont="1" applyFill="1" applyBorder="1" applyAlignment="1" applyProtection="1">
      <alignment horizontal="left" vertical="center"/>
      <protection hidden="1"/>
    </xf>
    <xf numFmtId="0" fontId="125" fillId="13" borderId="36" xfId="0" applyNumberFormat="1" applyFont="1" applyFill="1" applyBorder="1" applyAlignment="1" applyProtection="1">
      <alignment horizontal="center" vertical="center"/>
      <protection hidden="1"/>
    </xf>
    <xf numFmtId="0" fontId="125" fillId="13" borderId="20" xfId="0" applyNumberFormat="1" applyFont="1" applyFill="1" applyBorder="1" applyAlignment="1" applyProtection="1">
      <alignment horizontal="left" vertical="center"/>
      <protection hidden="1"/>
    </xf>
    <xf numFmtId="167" fontId="125" fillId="13" borderId="37" xfId="0" applyNumberFormat="1" applyFont="1" applyFill="1" applyBorder="1" applyAlignment="1" applyProtection="1">
      <alignment horizontal="center" vertical="center"/>
      <protection hidden="1"/>
    </xf>
    <xf numFmtId="0" fontId="125" fillId="13" borderId="110" xfId="0" applyNumberFormat="1" applyFont="1" applyFill="1" applyBorder="1" applyAlignment="1" applyProtection="1">
      <alignment horizontal="left" vertical="center"/>
      <protection hidden="1"/>
    </xf>
    <xf numFmtId="0" fontId="125" fillId="13" borderId="39" xfId="0" applyNumberFormat="1" applyFont="1" applyFill="1" applyBorder="1" applyAlignment="1" applyProtection="1">
      <alignment horizontal="left" vertical="center"/>
      <protection hidden="1"/>
    </xf>
    <xf numFmtId="0" fontId="125" fillId="13" borderId="39" xfId="0" applyNumberFormat="1" applyFont="1" applyFill="1" applyBorder="1" applyAlignment="1" applyProtection="1">
      <alignment horizontal="center" vertical="center"/>
      <protection hidden="1"/>
    </xf>
    <xf numFmtId="0" fontId="125" fillId="13" borderId="51" xfId="0" applyNumberFormat="1" applyFont="1" applyFill="1" applyBorder="1" applyAlignment="1" applyProtection="1">
      <alignment horizontal="left" vertical="center"/>
      <protection hidden="1"/>
    </xf>
    <xf numFmtId="167" fontId="114" fillId="12" borderId="13" xfId="0" applyNumberFormat="1" applyFont="1" applyFill="1" applyBorder="1" applyAlignment="1" applyProtection="1">
      <alignment horizontal="center" vertical="center"/>
      <protection hidden="1"/>
    </xf>
    <xf numFmtId="0" fontId="114" fillId="12" borderId="75" xfId="0" applyNumberFormat="1" applyFont="1" applyFill="1" applyBorder="1" applyAlignment="1" applyProtection="1">
      <alignment horizontal="left" vertical="center"/>
      <protection hidden="1"/>
    </xf>
    <xf numFmtId="167" fontId="114" fillId="12" borderId="11" xfId="0" applyNumberFormat="1" applyFont="1" applyFill="1" applyBorder="1" applyAlignment="1" applyProtection="1">
      <alignment horizontal="center" vertical="center"/>
      <protection hidden="1"/>
    </xf>
    <xf numFmtId="0" fontId="114" fillId="12" borderId="74" xfId="0" applyNumberFormat="1" applyFont="1" applyFill="1" applyBorder="1" applyAlignment="1" applyProtection="1">
      <alignment horizontal="left" vertical="center"/>
      <protection hidden="1"/>
    </xf>
    <xf numFmtId="0" fontId="114" fillId="12" borderId="36" xfId="0" applyNumberFormat="1" applyFont="1" applyFill="1" applyBorder="1" applyAlignment="1" applyProtection="1">
      <alignment horizontal="left" vertical="center"/>
      <protection hidden="1"/>
    </xf>
    <xf numFmtId="0" fontId="114" fillId="12" borderId="20" xfId="0" applyNumberFormat="1" applyFont="1" applyFill="1" applyBorder="1" applyAlignment="1" applyProtection="1">
      <alignment horizontal="left" vertical="center"/>
      <protection hidden="1"/>
    </xf>
    <xf numFmtId="0" fontId="115" fillId="12" borderId="75" xfId="0" applyNumberFormat="1" applyFont="1" applyFill="1" applyBorder="1" applyAlignment="1" applyProtection="1">
      <alignment horizontal="left" vertical="center"/>
      <protection hidden="1"/>
    </xf>
    <xf numFmtId="167" fontId="115" fillId="12" borderId="11" xfId="0" applyNumberFormat="1" applyFont="1" applyFill="1" applyBorder="1" applyAlignment="1" applyProtection="1">
      <alignment horizontal="center" vertical="center"/>
      <protection hidden="1"/>
    </xf>
    <xf numFmtId="0" fontId="115" fillId="12" borderId="74" xfId="0" applyNumberFormat="1" applyFont="1" applyFill="1" applyBorder="1" applyAlignment="1" applyProtection="1">
      <alignment horizontal="left" vertical="center"/>
      <protection hidden="1"/>
    </xf>
    <xf numFmtId="167" fontId="117" fillId="12" borderId="13" xfId="0" applyNumberFormat="1" applyFont="1" applyFill="1" applyBorder="1" applyAlignment="1" applyProtection="1">
      <alignment horizontal="center" vertical="center"/>
      <protection hidden="1"/>
    </xf>
    <xf numFmtId="0" fontId="117" fillId="12" borderId="75" xfId="0" applyNumberFormat="1" applyFont="1" applyFill="1" applyBorder="1" applyAlignment="1" applyProtection="1">
      <alignment horizontal="left" vertical="center"/>
      <protection hidden="1"/>
    </xf>
    <xf numFmtId="0" fontId="117" fillId="12" borderId="68" xfId="0" applyNumberFormat="1" applyFont="1" applyFill="1" applyBorder="1" applyAlignment="1" applyProtection="1">
      <alignment horizontal="left" vertical="center"/>
      <protection hidden="1"/>
    </xf>
    <xf numFmtId="0" fontId="117" fillId="12" borderId="68" xfId="0" applyNumberFormat="1" applyFont="1" applyFill="1" applyBorder="1" applyAlignment="1" applyProtection="1">
      <alignment horizontal="center" vertical="center"/>
      <protection hidden="1"/>
    </xf>
    <xf numFmtId="0" fontId="118" fillId="12" borderId="67" xfId="0" applyNumberFormat="1" applyFont="1" applyFill="1" applyBorder="1" applyAlignment="1" applyProtection="1">
      <alignment horizontal="center" vertical="center"/>
      <protection hidden="1"/>
    </xf>
    <xf numFmtId="0" fontId="117" fillId="12" borderId="70" xfId="0" applyNumberFormat="1" applyFont="1" applyFill="1" applyBorder="1" applyAlignment="1" applyProtection="1">
      <alignment horizontal="left" vertical="center"/>
      <protection hidden="1"/>
    </xf>
    <xf numFmtId="167" fontId="118" fillId="12" borderId="11" xfId="0" applyNumberFormat="1" applyFont="1" applyFill="1" applyBorder="1" applyAlignment="1" applyProtection="1">
      <alignment horizontal="center" vertical="center"/>
      <protection hidden="1"/>
    </xf>
    <xf numFmtId="0" fontId="118" fillId="12" borderId="74" xfId="0" applyNumberFormat="1" applyFont="1" applyFill="1" applyBorder="1" applyAlignment="1" applyProtection="1">
      <alignment horizontal="left" vertical="center"/>
      <protection hidden="1"/>
    </xf>
    <xf numFmtId="167" fontId="120" fillId="12" borderId="13" xfId="0" applyNumberFormat="1" applyFont="1" applyFill="1" applyBorder="1" applyAlignment="1" applyProtection="1">
      <alignment horizontal="center" vertical="center"/>
      <protection hidden="1"/>
    </xf>
    <xf numFmtId="0" fontId="120" fillId="12" borderId="75" xfId="0" applyNumberFormat="1" applyFont="1" applyFill="1" applyBorder="1" applyAlignment="1" applyProtection="1">
      <alignment horizontal="left" vertical="center"/>
      <protection hidden="1"/>
    </xf>
    <xf numFmtId="167" fontId="120" fillId="12" borderId="11" xfId="0" applyNumberFormat="1" applyFont="1" applyFill="1" applyBorder="1" applyAlignment="1" applyProtection="1">
      <alignment horizontal="center" vertical="center"/>
      <protection hidden="1"/>
    </xf>
    <xf numFmtId="0" fontId="120" fillId="12" borderId="74" xfId="0" applyNumberFormat="1" applyFont="1" applyFill="1" applyBorder="1" applyAlignment="1" applyProtection="1">
      <alignment horizontal="left" vertical="center"/>
      <protection hidden="1"/>
    </xf>
    <xf numFmtId="167" fontId="124" fillId="12" borderId="11" xfId="0" applyNumberFormat="1" applyFont="1" applyFill="1" applyBorder="1" applyAlignment="1" applyProtection="1">
      <alignment horizontal="center" vertical="center"/>
      <protection hidden="1"/>
    </xf>
    <xf numFmtId="0" fontId="112" fillId="13" borderId="11" xfId="0" applyNumberFormat="1" applyFont="1" applyFill="1" applyBorder="1" applyAlignment="1" applyProtection="1">
      <alignment horizontal="center" vertical="center"/>
      <protection hidden="1"/>
    </xf>
    <xf numFmtId="0" fontId="112" fillId="13" borderId="12" xfId="0" applyNumberFormat="1" applyFont="1" applyFill="1" applyBorder="1" applyAlignment="1" applyProtection="1">
      <alignment horizontal="center" vertical="center"/>
      <protection hidden="1"/>
    </xf>
    <xf numFmtId="0" fontId="116" fillId="13" borderId="11" xfId="0" applyNumberFormat="1" applyFont="1" applyFill="1" applyBorder="1" applyAlignment="1" applyProtection="1">
      <alignment horizontal="center" vertical="center"/>
      <protection hidden="1"/>
    </xf>
    <xf numFmtId="0" fontId="116" fillId="13" borderId="12" xfId="0" applyNumberFormat="1" applyFont="1" applyFill="1" applyBorder="1" applyAlignment="1" applyProtection="1">
      <alignment horizontal="center" vertical="center"/>
      <protection hidden="1"/>
    </xf>
    <xf numFmtId="0" fontId="119" fillId="13" borderId="11" xfId="0" applyNumberFormat="1" applyFont="1" applyFill="1" applyBorder="1" applyAlignment="1" applyProtection="1">
      <alignment horizontal="center" vertical="center"/>
      <protection hidden="1"/>
    </xf>
    <xf numFmtId="0" fontId="119" fillId="13" borderId="12" xfId="0" applyNumberFormat="1" applyFont="1" applyFill="1" applyBorder="1" applyAlignment="1" applyProtection="1">
      <alignment horizontal="center" vertical="center"/>
      <protection hidden="1"/>
    </xf>
    <xf numFmtId="0" fontId="121" fillId="13" borderId="11" xfId="0" applyNumberFormat="1" applyFont="1" applyFill="1" applyBorder="1" applyAlignment="1" applyProtection="1">
      <alignment horizontal="center" vertical="center"/>
      <protection hidden="1"/>
    </xf>
    <xf numFmtId="0" fontId="121" fillId="13" borderId="12" xfId="0" applyNumberFormat="1" applyFont="1" applyFill="1" applyBorder="1" applyAlignment="1" applyProtection="1">
      <alignment horizontal="center" vertical="center"/>
      <protection hidden="1"/>
    </xf>
    <xf numFmtId="0" fontId="125" fillId="13" borderId="11" xfId="0" applyNumberFormat="1" applyFont="1" applyFill="1" applyBorder="1" applyAlignment="1" applyProtection="1">
      <alignment horizontal="center" vertical="center"/>
      <protection hidden="1"/>
    </xf>
    <xf numFmtId="0" fontId="112" fillId="13" borderId="11" xfId="0" applyNumberFormat="1" applyFont="1" applyFill="1" applyBorder="1" applyAlignment="1" applyProtection="1">
      <alignment horizontal="left" vertical="center"/>
      <protection hidden="1"/>
    </xf>
    <xf numFmtId="0" fontId="112" fillId="13" borderId="12" xfId="0" applyNumberFormat="1" applyFont="1" applyFill="1" applyBorder="1" applyAlignment="1" applyProtection="1">
      <alignment horizontal="left" vertical="center"/>
      <protection hidden="1"/>
    </xf>
    <xf numFmtId="0" fontId="116" fillId="13" borderId="11" xfId="0" applyNumberFormat="1" applyFont="1" applyFill="1" applyBorder="1" applyAlignment="1" applyProtection="1">
      <alignment horizontal="left" vertical="center"/>
      <protection hidden="1"/>
    </xf>
    <xf numFmtId="0" fontId="116" fillId="13" borderId="12" xfId="0" applyNumberFormat="1" applyFont="1" applyFill="1" applyBorder="1" applyAlignment="1" applyProtection="1">
      <alignment horizontal="left" vertical="center"/>
      <protection hidden="1"/>
    </xf>
    <xf numFmtId="0" fontId="119" fillId="13" borderId="11" xfId="0" applyNumberFormat="1" applyFont="1" applyFill="1" applyBorder="1" applyAlignment="1" applyProtection="1">
      <alignment horizontal="left" vertical="center"/>
      <protection hidden="1"/>
    </xf>
    <xf numFmtId="0" fontId="119" fillId="13" borderId="12" xfId="0" applyNumberFormat="1" applyFont="1" applyFill="1" applyBorder="1" applyAlignment="1" applyProtection="1">
      <alignment horizontal="left" vertical="center"/>
      <protection hidden="1"/>
    </xf>
    <xf numFmtId="0" fontId="121" fillId="13" borderId="11" xfId="0" applyNumberFormat="1" applyFont="1" applyFill="1" applyBorder="1" applyAlignment="1" applyProtection="1">
      <alignment horizontal="left" vertical="center"/>
      <protection hidden="1"/>
    </xf>
    <xf numFmtId="0" fontId="121" fillId="13" borderId="12" xfId="0" applyNumberFormat="1" applyFont="1" applyFill="1" applyBorder="1" applyAlignment="1" applyProtection="1">
      <alignment horizontal="left" vertical="center"/>
      <protection hidden="1"/>
    </xf>
    <xf numFmtId="0" fontId="125" fillId="13" borderId="11" xfId="0" applyNumberFormat="1" applyFont="1" applyFill="1" applyBorder="1" applyAlignment="1" applyProtection="1">
      <alignment horizontal="left" vertical="center"/>
      <protection hidden="1"/>
    </xf>
    <xf numFmtId="0" fontId="125" fillId="13" borderId="37" xfId="0" applyNumberFormat="1" applyFont="1" applyFill="1" applyBorder="1" applyAlignment="1" applyProtection="1">
      <alignment horizontal="left" vertical="center"/>
      <protection hidden="1"/>
    </xf>
    <xf numFmtId="0" fontId="100" fillId="13" borderId="16" xfId="4" applyFont="1" applyFill="1" applyBorder="1" applyAlignment="1" applyProtection="1">
      <alignment horizontal="center" vertical="center" wrapText="1"/>
      <protection hidden="1"/>
    </xf>
    <xf numFmtId="0" fontId="100" fillId="13" borderId="36" xfId="4" applyFont="1" applyFill="1" applyBorder="1" applyAlignment="1" applyProtection="1">
      <alignment horizontal="center" vertical="center" wrapText="1"/>
      <protection hidden="1"/>
    </xf>
    <xf numFmtId="0" fontId="100" fillId="13" borderId="20" xfId="4" applyFont="1" applyFill="1" applyBorder="1" applyAlignment="1" applyProtection="1">
      <alignment horizontal="center" vertical="center" wrapText="1"/>
      <protection hidden="1"/>
    </xf>
    <xf numFmtId="0" fontId="100" fillId="13" borderId="60" xfId="4" applyFont="1" applyFill="1" applyBorder="1" applyAlignment="1" applyProtection="1">
      <alignment horizontal="center" vertical="center" wrapText="1"/>
      <protection hidden="1"/>
    </xf>
    <xf numFmtId="0" fontId="100" fillId="13" borderId="39" xfId="4" applyFont="1" applyFill="1" applyBorder="1" applyAlignment="1" applyProtection="1">
      <alignment horizontal="center" vertical="center" wrapText="1"/>
      <protection hidden="1"/>
    </xf>
    <xf numFmtId="0" fontId="170" fillId="13" borderId="51" xfId="4" applyFont="1" applyFill="1" applyBorder="1" applyAlignment="1" applyProtection="1">
      <alignment horizontal="center" vertical="center" wrapText="1"/>
      <protection hidden="1"/>
    </xf>
    <xf numFmtId="0" fontId="171" fillId="14" borderId="0" xfId="3" applyFont="1" applyFill="1" applyAlignment="1" applyProtection="1">
      <alignment horizontal="left" vertical="center"/>
    </xf>
    <xf numFmtId="0" fontId="171" fillId="14" borderId="0" xfId="3" applyFont="1" applyFill="1" applyAlignment="1" applyProtection="1">
      <alignment horizontal="left" vertical="center"/>
      <protection locked="0"/>
    </xf>
    <xf numFmtId="0" fontId="171" fillId="14" borderId="0" xfId="3" applyFont="1" applyFill="1" applyAlignment="1">
      <alignment horizontal="left" vertical="center"/>
    </xf>
    <xf numFmtId="0" fontId="171" fillId="14" borderId="0" xfId="2" applyFont="1" applyFill="1" applyAlignment="1">
      <alignment vertical="center"/>
    </xf>
    <xf numFmtId="0" fontId="171" fillId="14" borderId="0" xfId="2" applyFont="1" applyFill="1" applyAlignment="1" applyProtection="1">
      <alignment horizontal="left" vertical="center"/>
    </xf>
    <xf numFmtId="0" fontId="172" fillId="13" borderId="124" xfId="0" applyFont="1" applyFill="1" applyBorder="1" applyAlignment="1" applyProtection="1">
      <alignment horizontal="center" vertical="center" wrapText="1"/>
      <protection hidden="1"/>
    </xf>
    <xf numFmtId="0" fontId="172" fillId="13" borderId="78" xfId="0" applyFont="1" applyFill="1" applyBorder="1" applyAlignment="1" applyProtection="1">
      <alignment horizontal="center" vertical="center" wrapText="1"/>
      <protection hidden="1"/>
    </xf>
    <xf numFmtId="0" fontId="172" fillId="13" borderId="35" xfId="0" applyFont="1" applyFill="1" applyBorder="1" applyAlignment="1" applyProtection="1">
      <alignment horizontal="center" vertical="center" wrapText="1"/>
      <protection hidden="1"/>
    </xf>
    <xf numFmtId="0" fontId="172" fillId="13" borderId="36" xfId="0" applyFont="1" applyFill="1" applyBorder="1" applyAlignment="1" applyProtection="1">
      <alignment horizontal="center" vertical="center" wrapText="1"/>
      <protection hidden="1"/>
    </xf>
    <xf numFmtId="0" fontId="172" fillId="13" borderId="92" xfId="0" applyFont="1" applyFill="1" applyBorder="1" applyAlignment="1" applyProtection="1">
      <alignment horizontal="center" vertical="center" wrapText="1"/>
      <protection hidden="1"/>
    </xf>
    <xf numFmtId="0" fontId="172" fillId="13" borderId="57" xfId="0" applyFont="1" applyFill="1" applyBorder="1" applyAlignment="1" applyProtection="1">
      <alignment horizontal="center" vertical="center" wrapText="1"/>
      <protection hidden="1"/>
    </xf>
    <xf numFmtId="167" fontId="172" fillId="13" borderId="35" xfId="0" applyNumberFormat="1" applyFont="1" applyFill="1" applyBorder="1" applyAlignment="1" applyProtection="1">
      <alignment horizontal="center" vertical="center" wrapText="1"/>
      <protection hidden="1"/>
    </xf>
    <xf numFmtId="167" fontId="172" fillId="13" borderId="36" xfId="0" applyNumberFormat="1" applyFont="1" applyFill="1" applyBorder="1" applyAlignment="1" applyProtection="1">
      <alignment horizontal="center" vertical="center" wrapText="1"/>
      <protection hidden="1"/>
    </xf>
    <xf numFmtId="0" fontId="112" fillId="13" borderId="16" xfId="0" applyNumberFormat="1" applyFont="1" applyFill="1" applyBorder="1" applyAlignment="1" applyProtection="1">
      <alignment horizontal="center" vertical="center"/>
      <protection hidden="1"/>
    </xf>
    <xf numFmtId="0" fontId="112" fillId="13" borderId="63" xfId="0" applyNumberFormat="1" applyFont="1" applyFill="1" applyBorder="1" applyAlignment="1" applyProtection="1">
      <alignment horizontal="center" vertical="center"/>
      <protection hidden="1"/>
    </xf>
    <xf numFmtId="0" fontId="112" fillId="13" borderId="64" xfId="0" applyNumberFormat="1" applyFont="1" applyFill="1" applyBorder="1" applyAlignment="1" applyProtection="1">
      <alignment horizontal="center" vertical="center"/>
      <protection hidden="1"/>
    </xf>
    <xf numFmtId="0" fontId="116" fillId="13" borderId="63" xfId="0" applyNumberFormat="1" applyFont="1" applyFill="1" applyBorder="1" applyAlignment="1" applyProtection="1">
      <alignment horizontal="center" vertical="center"/>
      <protection hidden="1"/>
    </xf>
    <xf numFmtId="0" fontId="116" fillId="13" borderId="64" xfId="0" applyNumberFormat="1" applyFont="1" applyFill="1" applyBorder="1" applyAlignment="1" applyProtection="1">
      <alignment horizontal="center" vertical="center"/>
      <protection hidden="1"/>
    </xf>
    <xf numFmtId="0" fontId="116" fillId="13" borderId="16" xfId="0" applyNumberFormat="1" applyFont="1" applyFill="1" applyBorder="1" applyAlignment="1" applyProtection="1">
      <alignment horizontal="center" vertical="center"/>
      <protection hidden="1"/>
    </xf>
    <xf numFmtId="0" fontId="119" fillId="13" borderId="63" xfId="0" applyNumberFormat="1" applyFont="1" applyFill="1" applyBorder="1" applyAlignment="1" applyProtection="1">
      <alignment horizontal="center" vertical="center"/>
      <protection hidden="1"/>
    </xf>
    <xf numFmtId="0" fontId="119" fillId="13" borderId="64" xfId="0" applyNumberFormat="1" applyFont="1" applyFill="1" applyBorder="1" applyAlignment="1" applyProtection="1">
      <alignment horizontal="center" vertical="center"/>
      <protection hidden="1"/>
    </xf>
    <xf numFmtId="0" fontId="119" fillId="13" borderId="16" xfId="0" applyNumberFormat="1" applyFont="1" applyFill="1" applyBorder="1" applyAlignment="1" applyProtection="1">
      <alignment horizontal="center" vertical="center"/>
      <protection hidden="1"/>
    </xf>
    <xf numFmtId="0" fontId="121" fillId="13" borderId="16" xfId="0" applyNumberFormat="1" applyFont="1" applyFill="1" applyBorder="1" applyAlignment="1" applyProtection="1">
      <alignment horizontal="center" vertical="center"/>
      <protection hidden="1"/>
    </xf>
    <xf numFmtId="0" fontId="121" fillId="13" borderId="63" xfId="0" applyNumberFormat="1" applyFont="1" applyFill="1" applyBorder="1" applyAlignment="1" applyProtection="1">
      <alignment horizontal="center" vertical="center"/>
      <protection hidden="1"/>
    </xf>
    <xf numFmtId="0" fontId="121" fillId="13" borderId="64" xfId="0" applyNumberFormat="1" applyFont="1" applyFill="1" applyBorder="1" applyAlignment="1" applyProtection="1">
      <alignment horizontal="center" vertical="center"/>
      <protection hidden="1"/>
    </xf>
    <xf numFmtId="0" fontId="125" fillId="13" borderId="16" xfId="0" applyNumberFormat="1" applyFont="1" applyFill="1" applyBorder="1" applyAlignment="1" applyProtection="1">
      <alignment horizontal="center" vertical="center"/>
      <protection hidden="1"/>
    </xf>
    <xf numFmtId="0" fontId="125" fillId="13" borderId="63" xfId="0" applyNumberFormat="1" applyFont="1" applyFill="1" applyBorder="1" applyAlignment="1" applyProtection="1">
      <alignment horizontal="center" vertical="center"/>
      <protection hidden="1"/>
    </xf>
    <xf numFmtId="0" fontId="125" fillId="13" borderId="64" xfId="0" applyNumberFormat="1" applyFont="1" applyFill="1" applyBorder="1" applyAlignment="1" applyProtection="1">
      <alignment horizontal="center" vertical="center"/>
      <protection hidden="1"/>
    </xf>
    <xf numFmtId="0" fontId="126" fillId="13" borderId="36" xfId="0" applyNumberFormat="1" applyFont="1" applyFill="1" applyBorder="1" applyAlignment="1" applyProtection="1">
      <alignment horizontal="left" vertical="center"/>
      <protection hidden="1"/>
    </xf>
    <xf numFmtId="0" fontId="126" fillId="13" borderId="20" xfId="0" applyNumberFormat="1" applyFont="1" applyFill="1" applyBorder="1" applyAlignment="1" applyProtection="1">
      <alignment horizontal="left" vertical="center"/>
      <protection hidden="1"/>
    </xf>
    <xf numFmtId="0" fontId="110" fillId="13" borderId="57" xfId="0" applyNumberFormat="1" applyFont="1" applyFill="1" applyBorder="1" applyAlignment="1" applyProtection="1">
      <alignment horizontal="left" vertical="center"/>
      <protection hidden="1"/>
    </xf>
    <xf numFmtId="0" fontId="110" fillId="13" borderId="56" xfId="0" applyNumberFormat="1" applyFont="1" applyFill="1" applyBorder="1" applyAlignment="1" applyProtection="1">
      <alignment horizontal="left" vertical="center"/>
      <protection hidden="1"/>
    </xf>
    <xf numFmtId="0" fontId="125" fillId="13" borderId="64" xfId="0" applyNumberFormat="1" applyFont="1" applyFill="1" applyBorder="1" applyAlignment="1" applyProtection="1">
      <alignment horizontal="left" vertical="center"/>
      <protection hidden="1"/>
    </xf>
    <xf numFmtId="0" fontId="176" fillId="13" borderId="116" xfId="0" applyFont="1" applyFill="1" applyBorder="1" applyAlignment="1" applyProtection="1">
      <alignment horizontal="center" vertical="center" wrapText="1"/>
      <protection hidden="1"/>
    </xf>
    <xf numFmtId="0" fontId="176" fillId="13" borderId="109" xfId="0" applyFont="1" applyFill="1" applyBorder="1" applyAlignment="1" applyProtection="1">
      <alignment horizontal="centerContinuous" vertical="center" wrapText="1"/>
      <protection hidden="1"/>
    </xf>
    <xf numFmtId="0" fontId="176" fillId="13" borderId="42" xfId="0" applyFont="1" applyFill="1" applyBorder="1" applyAlignment="1" applyProtection="1">
      <alignment horizontal="center" vertical="center" wrapText="1"/>
      <protection hidden="1"/>
    </xf>
    <xf numFmtId="0" fontId="176" fillId="13" borderId="88" xfId="0" applyFont="1" applyFill="1" applyBorder="1" applyAlignment="1" applyProtection="1">
      <alignment horizontal="centerContinuous" vertical="center" wrapText="1"/>
      <protection hidden="1"/>
    </xf>
    <xf numFmtId="0" fontId="176" fillId="13" borderId="16" xfId="0" applyFont="1" applyFill="1" applyBorder="1" applyAlignment="1" applyProtection="1">
      <alignment horizontal="center" vertical="center" wrapText="1"/>
      <protection hidden="1"/>
    </xf>
    <xf numFmtId="0" fontId="176" fillId="13" borderId="74" xfId="0" applyFont="1" applyFill="1" applyBorder="1" applyAlignment="1" applyProtection="1">
      <alignment horizontal="centerContinuous" vertical="center" wrapText="1"/>
      <protection hidden="1"/>
    </xf>
    <xf numFmtId="0" fontId="176" fillId="13" borderId="36" xfId="0" applyFont="1" applyFill="1" applyBorder="1" applyAlignment="1" applyProtection="1">
      <alignment horizontal="center" vertical="center" wrapText="1"/>
      <protection hidden="1"/>
    </xf>
    <xf numFmtId="0" fontId="176" fillId="13" borderId="14" xfId="0" applyFont="1" applyFill="1" applyBorder="1" applyAlignment="1" applyProtection="1">
      <alignment horizontal="centerContinuous" vertical="center" wrapText="1"/>
      <protection hidden="1"/>
    </xf>
    <xf numFmtId="14" fontId="176" fillId="13" borderId="61" xfId="0" applyNumberFormat="1" applyFont="1" applyFill="1" applyBorder="1" applyAlignment="1" applyProtection="1">
      <alignment horizontal="centerContinuous" vertical="center" wrapText="1"/>
      <protection hidden="1"/>
    </xf>
    <xf numFmtId="0" fontId="125" fillId="13" borderId="74" xfId="0" applyNumberFormat="1" applyFont="1" applyFill="1" applyBorder="1" applyAlignment="1" applyProtection="1">
      <alignment horizontal="left" vertical="center"/>
      <protection hidden="1"/>
    </xf>
    <xf numFmtId="167" fontId="177" fillId="13" borderId="11" xfId="0" applyNumberFormat="1" applyFont="1" applyFill="1" applyBorder="1" applyAlignment="1" applyProtection="1">
      <alignment horizontal="center" vertical="center"/>
      <protection hidden="1"/>
    </xf>
    <xf numFmtId="0" fontId="177" fillId="13" borderId="74" xfId="0" applyNumberFormat="1" applyFont="1" applyFill="1" applyBorder="1" applyAlignment="1" applyProtection="1">
      <alignment horizontal="left" vertical="center"/>
      <protection hidden="1"/>
    </xf>
    <xf numFmtId="0" fontId="177" fillId="13" borderId="36" xfId="0" applyNumberFormat="1" applyFont="1" applyFill="1" applyBorder="1" applyAlignment="1" applyProtection="1">
      <alignment horizontal="left" vertical="center"/>
      <protection hidden="1"/>
    </xf>
    <xf numFmtId="0" fontId="177" fillId="13" borderId="36" xfId="0" applyNumberFormat="1" applyFont="1" applyFill="1" applyBorder="1" applyAlignment="1" applyProtection="1">
      <alignment horizontal="center" vertical="center"/>
      <protection hidden="1"/>
    </xf>
    <xf numFmtId="0" fontId="177" fillId="13" borderId="20" xfId="0" applyNumberFormat="1" applyFont="1" applyFill="1" applyBorder="1" applyAlignment="1" applyProtection="1">
      <alignment horizontal="left" vertical="center"/>
      <protection hidden="1"/>
    </xf>
    <xf numFmtId="167" fontId="177" fillId="13" borderId="12" xfId="0" applyNumberFormat="1" applyFont="1" applyFill="1" applyBorder="1" applyAlignment="1" applyProtection="1">
      <alignment horizontal="center" vertical="center"/>
      <protection hidden="1"/>
    </xf>
    <xf numFmtId="0" fontId="177" fillId="13" borderId="76" xfId="0" applyNumberFormat="1" applyFont="1" applyFill="1" applyBorder="1" applyAlignment="1" applyProtection="1">
      <alignment horizontal="left" vertical="center"/>
      <protection hidden="1"/>
    </xf>
    <xf numFmtId="0" fontId="177" fillId="13" borderId="57" xfId="0" applyNumberFormat="1" applyFont="1" applyFill="1" applyBorder="1" applyAlignment="1" applyProtection="1">
      <alignment horizontal="left" vertical="center"/>
      <protection hidden="1"/>
    </xf>
    <xf numFmtId="0" fontId="177" fillId="13" borderId="57" xfId="0" applyNumberFormat="1" applyFont="1" applyFill="1" applyBorder="1" applyAlignment="1" applyProtection="1">
      <alignment horizontal="center" vertical="center"/>
      <protection hidden="1"/>
    </xf>
    <xf numFmtId="0" fontId="177" fillId="13" borderId="56" xfId="0" applyNumberFormat="1" applyFont="1" applyFill="1" applyBorder="1" applyAlignment="1" applyProtection="1">
      <alignment horizontal="left" vertical="center"/>
      <protection hidden="1"/>
    </xf>
    <xf numFmtId="0" fontId="177" fillId="13" borderId="63" xfId="0" applyNumberFormat="1" applyFont="1" applyFill="1" applyBorder="1" applyAlignment="1" applyProtection="1">
      <alignment horizontal="center" vertical="center"/>
      <protection hidden="1"/>
    </xf>
    <xf numFmtId="0" fontId="177" fillId="13" borderId="64" xfId="0" applyNumberFormat="1" applyFont="1" applyFill="1" applyBorder="1" applyAlignment="1" applyProtection="1">
      <alignment horizontal="center" vertical="center"/>
      <protection hidden="1"/>
    </xf>
    <xf numFmtId="0" fontId="177" fillId="13" borderId="16" xfId="0" applyNumberFormat="1" applyFont="1" applyFill="1" applyBorder="1" applyAlignment="1" applyProtection="1">
      <alignment horizontal="center" vertical="center"/>
      <protection hidden="1"/>
    </xf>
    <xf numFmtId="0" fontId="177" fillId="13" borderId="11" xfId="0" applyNumberFormat="1" applyFont="1" applyFill="1" applyBorder="1" applyAlignment="1" applyProtection="1">
      <alignment horizontal="center" vertical="center"/>
      <protection hidden="1"/>
    </xf>
    <xf numFmtId="0" fontId="177" fillId="13" borderId="12" xfId="0" applyNumberFormat="1" applyFont="1" applyFill="1" applyBorder="1" applyAlignment="1" applyProtection="1">
      <alignment horizontal="center" vertical="center"/>
      <protection hidden="1"/>
    </xf>
    <xf numFmtId="0" fontId="177" fillId="13" borderId="11" xfId="0" applyNumberFormat="1" applyFont="1" applyFill="1" applyBorder="1" applyAlignment="1" applyProtection="1">
      <alignment horizontal="left" vertical="center"/>
      <protection hidden="1"/>
    </xf>
    <xf numFmtId="0" fontId="177" fillId="13" borderId="12" xfId="0" applyNumberFormat="1" applyFont="1" applyFill="1" applyBorder="1" applyAlignment="1" applyProtection="1">
      <alignment horizontal="left" vertical="center"/>
      <protection hidden="1"/>
    </xf>
    <xf numFmtId="14" fontId="176" fillId="13" borderId="93" xfId="0" applyNumberFormat="1" applyFont="1" applyFill="1" applyBorder="1" applyAlignment="1" applyProtection="1">
      <alignment horizontal="centerContinuous" vertical="center" wrapText="1"/>
      <protection hidden="1"/>
    </xf>
    <xf numFmtId="175" fontId="98" fillId="0" borderId="155" xfId="0" applyNumberFormat="1" applyFont="1" applyFill="1" applyBorder="1" applyAlignment="1" applyProtection="1">
      <alignment horizontal="centerContinuous" vertical="center" wrapText="1"/>
      <protection hidden="1"/>
    </xf>
    <xf numFmtId="175" fontId="98" fillId="0" borderId="47" xfId="0" applyNumberFormat="1" applyFont="1" applyFill="1" applyBorder="1" applyAlignment="1" applyProtection="1">
      <alignment horizontal="centerContinuous" vertical="center" wrapText="1"/>
      <protection hidden="1"/>
    </xf>
    <xf numFmtId="0" fontId="53" fillId="8" borderId="0" xfId="0" applyFont="1" applyFill="1" applyBorder="1" applyAlignment="1" applyProtection="1">
      <alignment horizontal="center" vertical="center" wrapText="1"/>
      <protection hidden="1"/>
    </xf>
    <xf numFmtId="0" fontId="23" fillId="13" borderId="47" xfId="0" applyFont="1" applyFill="1" applyBorder="1" applyAlignment="1" applyProtection="1">
      <alignment horizontal="centerContinuous" vertical="center" wrapText="1"/>
      <protection hidden="1"/>
    </xf>
    <xf numFmtId="22" fontId="6" fillId="13" borderId="151" xfId="0" applyNumberFormat="1" applyFont="1" applyFill="1" applyBorder="1" applyAlignment="1" applyProtection="1">
      <alignment horizontal="center" vertical="center" readingOrder="1"/>
      <protection hidden="1"/>
    </xf>
    <xf numFmtId="14" fontId="6" fillId="13" borderId="54" xfId="0" applyNumberFormat="1" applyFont="1" applyFill="1" applyBorder="1" applyAlignment="1" applyProtection="1">
      <alignment horizontal="center" vertical="center"/>
      <protection hidden="1"/>
    </xf>
    <xf numFmtId="175" fontId="6" fillId="13" borderId="81" xfId="0" applyNumberFormat="1" applyFont="1" applyFill="1" applyBorder="1" applyAlignment="1" applyProtection="1">
      <alignment horizontal="center" vertical="center"/>
      <protection hidden="1"/>
    </xf>
    <xf numFmtId="0" fontId="0" fillId="13" borderId="88" xfId="0" applyFont="1" applyFill="1" applyBorder="1" applyAlignment="1" applyProtection="1">
      <alignment horizontal="center" vertical="center"/>
      <protection hidden="1"/>
    </xf>
    <xf numFmtId="22" fontId="6" fillId="13" borderId="16" xfId="0" applyNumberFormat="1" applyFont="1" applyFill="1" applyBorder="1" applyAlignment="1" applyProtection="1">
      <alignment horizontal="center" vertical="center" readingOrder="1"/>
      <protection hidden="1"/>
    </xf>
    <xf numFmtId="14" fontId="6" fillId="13" borderId="36" xfId="0" applyNumberFormat="1" applyFont="1" applyFill="1" applyBorder="1" applyAlignment="1" applyProtection="1">
      <alignment horizontal="center" vertical="center"/>
      <protection hidden="1"/>
    </xf>
    <xf numFmtId="175" fontId="6" fillId="13" borderId="1" xfId="0" applyNumberFormat="1" applyFont="1" applyFill="1" applyBorder="1" applyAlignment="1" applyProtection="1">
      <alignment horizontal="center" vertical="center"/>
      <protection hidden="1"/>
    </xf>
    <xf numFmtId="0" fontId="0" fillId="13" borderId="90" xfId="0" applyFont="1" applyFill="1" applyBorder="1" applyAlignment="1" applyProtection="1">
      <alignment horizontal="center" vertical="center"/>
      <protection hidden="1"/>
    </xf>
    <xf numFmtId="0" fontId="0" fillId="13" borderId="83" xfId="0" applyFont="1" applyFill="1" applyBorder="1" applyAlignment="1" applyProtection="1">
      <alignment horizontal="left" vertical="center" wrapText="1"/>
      <protection hidden="1"/>
    </xf>
    <xf numFmtId="0" fontId="6" fillId="13" borderId="83" xfId="0" applyFont="1" applyFill="1" applyBorder="1" applyAlignment="1" applyProtection="1">
      <alignment horizontal="left" vertical="center"/>
      <protection hidden="1"/>
    </xf>
    <xf numFmtId="0" fontId="6" fillId="13" borderId="83" xfId="0" applyFont="1" applyFill="1" applyBorder="1" applyAlignment="1" applyProtection="1">
      <alignment horizontal="left" vertical="center" wrapText="1"/>
      <protection hidden="1"/>
    </xf>
    <xf numFmtId="14" fontId="6" fillId="13" borderId="36" xfId="0" quotePrefix="1" applyNumberFormat="1" applyFont="1" applyFill="1" applyBorder="1" applyAlignment="1" applyProtection="1">
      <alignment horizontal="center" vertical="center"/>
      <protection hidden="1"/>
    </xf>
    <xf numFmtId="14" fontId="6" fillId="13" borderId="0" xfId="0" applyNumberFormat="1" applyFont="1" applyFill="1" applyBorder="1" applyAlignment="1" applyProtection="1">
      <alignment horizontal="center" vertical="center"/>
      <protection hidden="1"/>
    </xf>
    <xf numFmtId="14" fontId="6" fillId="13" borderId="57" xfId="0" applyNumberFormat="1" applyFont="1" applyFill="1" applyBorder="1" applyAlignment="1" applyProtection="1">
      <alignment horizontal="center" vertical="center"/>
      <protection hidden="1"/>
    </xf>
    <xf numFmtId="175" fontId="6" fillId="13" borderId="82" xfId="0" applyNumberFormat="1" applyFont="1" applyFill="1" applyBorder="1" applyAlignment="1" applyProtection="1">
      <alignment horizontal="center" vertical="center"/>
      <protection hidden="1"/>
    </xf>
    <xf numFmtId="167" fontId="134" fillId="13" borderId="78" xfId="0" applyNumberFormat="1" applyFont="1" applyFill="1" applyBorder="1" applyAlignment="1" applyProtection="1">
      <alignment horizontal="center" vertical="center"/>
      <protection hidden="1"/>
    </xf>
    <xf numFmtId="0" fontId="5" fillId="13" borderId="0" xfId="0" applyFont="1" applyFill="1" applyBorder="1" applyAlignment="1" applyProtection="1">
      <alignment horizontal="left" vertical="center"/>
      <protection hidden="1"/>
    </xf>
    <xf numFmtId="0" fontId="6" fillId="13" borderId="11" xfId="0" applyFont="1" applyFill="1" applyBorder="1" applyAlignment="1" applyProtection="1">
      <alignment horizontal="left" vertical="center"/>
      <protection hidden="1"/>
    </xf>
    <xf numFmtId="0" fontId="136" fillId="13" borderId="90" xfId="0" applyFont="1" applyFill="1" applyBorder="1" applyAlignment="1" applyProtection="1">
      <alignment horizontal="center" vertical="center"/>
      <protection hidden="1"/>
    </xf>
    <xf numFmtId="0" fontId="141" fillId="13" borderId="0" xfId="0" applyFont="1" applyFill="1" applyBorder="1" applyProtection="1">
      <alignment vertical="center"/>
      <protection hidden="1"/>
    </xf>
    <xf numFmtId="0" fontId="4" fillId="13" borderId="0" xfId="0" applyFont="1" applyFill="1" applyBorder="1" applyAlignment="1" applyProtection="1">
      <alignment horizontal="left" vertical="center"/>
      <protection hidden="1"/>
    </xf>
    <xf numFmtId="167" fontId="32" fillId="13" borderId="26" xfId="0" applyNumberFormat="1" applyFont="1" applyFill="1" applyBorder="1" applyAlignment="1" applyProtection="1">
      <alignment horizontal="center" vertical="center" wrapText="1"/>
      <protection hidden="1"/>
    </xf>
    <xf numFmtId="167" fontId="32" fillId="13" borderId="13" xfId="0" applyNumberFormat="1" applyFont="1" applyFill="1" applyBorder="1" applyAlignment="1" applyProtection="1">
      <alignment horizontal="center" vertical="center" wrapText="1"/>
      <protection hidden="1"/>
    </xf>
    <xf numFmtId="0" fontId="0" fillId="13" borderId="0" xfId="0" applyFill="1" applyBorder="1" applyAlignment="1" applyProtection="1">
      <alignment vertical="center" wrapText="1"/>
      <protection hidden="1"/>
    </xf>
    <xf numFmtId="14" fontId="33" fillId="13" borderId="20" xfId="0" applyNumberFormat="1" applyFont="1" applyFill="1" applyBorder="1" applyAlignment="1" applyProtection="1">
      <alignment horizontal="center" vertical="center"/>
      <protection hidden="1"/>
    </xf>
    <xf numFmtId="22" fontId="7" fillId="13" borderId="44" xfId="0" applyNumberFormat="1" applyFont="1" applyFill="1" applyBorder="1" applyAlignment="1" applyProtection="1">
      <alignment horizontal="center" vertical="center"/>
      <protection hidden="1"/>
    </xf>
    <xf numFmtId="175" fontId="98" fillId="0" borderId="120" xfId="0" applyNumberFormat="1" applyFont="1" applyFill="1" applyBorder="1" applyAlignment="1" applyProtection="1">
      <alignment horizontal="centerContinuous" vertical="center" wrapText="1"/>
      <protection hidden="1"/>
    </xf>
    <xf numFmtId="0" fontId="172" fillId="13" borderId="46" xfId="0" applyNumberFormat="1" applyFont="1" applyFill="1" applyBorder="1" applyAlignment="1" applyProtection="1">
      <alignment horizontal="center" vertical="center" wrapText="1"/>
      <protection hidden="1"/>
    </xf>
    <xf numFmtId="0" fontId="172" fillId="13" borderId="47" xfId="0" applyNumberFormat="1" applyFont="1" applyFill="1" applyBorder="1" applyAlignment="1" applyProtection="1">
      <alignment horizontal="center" vertical="center" wrapText="1"/>
      <protection hidden="1"/>
    </xf>
    <xf numFmtId="0" fontId="172" fillId="13" borderId="120" xfId="0" applyNumberFormat="1" applyFont="1" applyFill="1" applyBorder="1" applyAlignment="1" applyProtection="1">
      <alignment horizontal="center" vertical="center" wrapText="1"/>
      <protection hidden="1"/>
    </xf>
    <xf numFmtId="0" fontId="54" fillId="8" borderId="169" xfId="0" applyFont="1" applyFill="1" applyBorder="1" applyAlignment="1" applyProtection="1">
      <alignment horizontal="center" vertical="center"/>
      <protection hidden="1"/>
    </xf>
    <xf numFmtId="0" fontId="6" fillId="13" borderId="18" xfId="0" applyFont="1" applyFill="1" applyBorder="1" applyAlignment="1" applyProtection="1">
      <alignment horizontal="center" vertical="center"/>
      <protection hidden="1"/>
    </xf>
    <xf numFmtId="0" fontId="6" fillId="13" borderId="11" xfId="0" applyFont="1" applyFill="1" applyBorder="1" applyAlignment="1" applyProtection="1">
      <alignment horizontal="center" vertical="center"/>
      <protection hidden="1"/>
    </xf>
    <xf numFmtId="14" fontId="11" fillId="13" borderId="43" xfId="0" applyNumberFormat="1" applyFont="1" applyFill="1" applyBorder="1" applyAlignment="1" applyProtection="1">
      <alignment horizontal="center" vertical="center" wrapText="1"/>
      <protection hidden="1"/>
    </xf>
    <xf numFmtId="0" fontId="21" fillId="13" borderId="46" xfId="0" applyFont="1" applyFill="1" applyBorder="1" applyAlignment="1" applyProtection="1">
      <alignment vertical="center" wrapText="1"/>
      <protection hidden="1"/>
    </xf>
    <xf numFmtId="169" fontId="11" fillId="13" borderId="43" xfId="0" applyNumberFormat="1" applyFont="1" applyFill="1" applyBorder="1" applyAlignment="1" applyProtection="1">
      <alignment horizontal="center" vertical="center" wrapText="1"/>
      <protection hidden="1"/>
    </xf>
    <xf numFmtId="167" fontId="11" fillId="13" borderId="46" xfId="0" applyNumberFormat="1" applyFont="1" applyFill="1" applyBorder="1" applyAlignment="1" applyProtection="1">
      <alignment horizontal="center" vertical="center" wrapText="1"/>
      <protection hidden="1"/>
    </xf>
    <xf numFmtId="0" fontId="11" fillId="13" borderId="43" xfId="0" applyNumberFormat="1" applyFont="1" applyFill="1" applyBorder="1" applyAlignment="1" applyProtection="1">
      <alignment horizontal="center" vertical="center" wrapText="1"/>
      <protection hidden="1"/>
    </xf>
    <xf numFmtId="0" fontId="11" fillId="13" borderId="44" xfId="0" applyNumberFormat="1" applyFont="1" applyFill="1" applyBorder="1" applyAlignment="1" applyProtection="1">
      <alignment horizontal="center" vertical="center" wrapText="1"/>
      <protection hidden="1"/>
    </xf>
    <xf numFmtId="0" fontId="21" fillId="13" borderId="44" xfId="0" applyFont="1" applyFill="1" applyBorder="1" applyAlignment="1" applyProtection="1">
      <alignment horizontal="left" vertical="center"/>
      <protection hidden="1"/>
    </xf>
    <xf numFmtId="0" fontId="21" fillId="13" borderId="43" xfId="0" applyFont="1" applyFill="1" applyBorder="1" applyAlignment="1" applyProtection="1">
      <alignment horizontal="center" vertical="center" wrapText="1"/>
      <protection hidden="1"/>
    </xf>
    <xf numFmtId="0" fontId="56" fillId="13" borderId="43" xfId="0" applyFont="1" applyFill="1" applyBorder="1" applyAlignment="1" applyProtection="1">
      <alignment horizontal="center" vertical="center" wrapText="1"/>
      <protection hidden="1"/>
    </xf>
    <xf numFmtId="0" fontId="21" fillId="13" borderId="44" xfId="0" applyFont="1" applyFill="1" applyBorder="1" applyAlignment="1" applyProtection="1">
      <alignment horizontal="center" vertical="center" wrapText="1"/>
      <protection hidden="1"/>
    </xf>
    <xf numFmtId="0" fontId="6" fillId="13" borderId="29" xfId="0" applyNumberFormat="1" applyFont="1" applyFill="1" applyBorder="1" applyAlignment="1" applyProtection="1">
      <alignment horizontal="center" vertical="center"/>
      <protection hidden="1"/>
    </xf>
    <xf numFmtId="0" fontId="104" fillId="13" borderId="75" xfId="0" applyNumberFormat="1" applyFont="1" applyFill="1" applyBorder="1" applyAlignment="1" applyProtection="1">
      <alignment horizontal="centerContinuous" vertical="center" wrapText="1"/>
      <protection hidden="1"/>
    </xf>
    <xf numFmtId="0" fontId="104" fillId="13" borderId="0" xfId="0" applyNumberFormat="1" applyFont="1" applyFill="1" applyBorder="1" applyAlignment="1" applyProtection="1">
      <alignment horizontal="centerContinuous" vertical="center" wrapText="1"/>
      <protection hidden="1"/>
    </xf>
    <xf numFmtId="0" fontId="104" fillId="13" borderId="154" xfId="0" applyNumberFormat="1" applyFont="1" applyFill="1" applyBorder="1" applyAlignment="1" applyProtection="1">
      <alignment horizontal="centerContinuous" vertical="center" wrapText="1"/>
      <protection hidden="1"/>
    </xf>
    <xf numFmtId="164" fontId="203" fillId="12" borderId="86" xfId="0" applyNumberFormat="1" applyFont="1" applyFill="1" applyBorder="1" applyAlignment="1" applyProtection="1">
      <alignment horizontal="center" vertical="center"/>
      <protection hidden="1"/>
    </xf>
    <xf numFmtId="167" fontId="203" fillId="12" borderId="54" xfId="0" applyNumberFormat="1" applyFont="1" applyFill="1" applyBorder="1" applyAlignment="1" applyProtection="1">
      <alignment horizontal="center" vertical="center"/>
      <protection hidden="1"/>
    </xf>
    <xf numFmtId="167" fontId="203" fillId="12" borderId="42" xfId="0" applyNumberFormat="1" applyFont="1" applyFill="1" applyBorder="1" applyAlignment="1" applyProtection="1">
      <alignment horizontal="center" vertical="center"/>
      <protection hidden="1"/>
    </xf>
    <xf numFmtId="0" fontId="203" fillId="13" borderId="36" xfId="0" applyFont="1" applyFill="1" applyBorder="1" applyAlignment="1" applyProtection="1">
      <alignment horizontal="center" vertical="center"/>
      <protection hidden="1"/>
    </xf>
    <xf numFmtId="0" fontId="203" fillId="13" borderId="36" xfId="0" applyFont="1" applyFill="1" applyBorder="1" applyAlignment="1" applyProtection="1">
      <alignment horizontal="center" vertical="center" wrapText="1"/>
      <protection hidden="1"/>
    </xf>
    <xf numFmtId="0" fontId="203" fillId="12" borderId="35" xfId="0" applyFont="1" applyFill="1" applyBorder="1" applyAlignment="1" applyProtection="1">
      <alignment horizontal="center" vertical="center"/>
      <protection hidden="1"/>
    </xf>
    <xf numFmtId="0" fontId="203" fillId="12" borderId="36" xfId="0" applyFont="1" applyFill="1" applyBorder="1" applyAlignment="1" applyProtection="1">
      <alignment horizontal="center" vertical="center"/>
      <protection hidden="1"/>
    </xf>
    <xf numFmtId="0" fontId="203" fillId="12" borderId="36" xfId="0" applyNumberFormat="1" applyFont="1" applyFill="1" applyBorder="1" applyAlignment="1" applyProtection="1">
      <alignment horizontal="center" vertical="center"/>
      <protection hidden="1"/>
    </xf>
    <xf numFmtId="0" fontId="203" fillId="13" borderId="35" xfId="0" applyFont="1" applyFill="1" applyBorder="1" applyAlignment="1" applyProtection="1">
      <alignment horizontal="center" vertical="center"/>
      <protection hidden="1"/>
    </xf>
    <xf numFmtId="0" fontId="203" fillId="12" borderId="38" xfId="0" applyNumberFormat="1" applyFont="1" applyFill="1" applyBorder="1" applyAlignment="1" applyProtection="1">
      <alignment horizontal="center" vertical="center"/>
      <protection hidden="1"/>
    </xf>
    <xf numFmtId="0" fontId="203" fillId="12" borderId="39" xfId="0" applyNumberFormat="1" applyFont="1" applyFill="1" applyBorder="1" applyAlignment="1" applyProtection="1">
      <alignment horizontal="center" vertical="center"/>
      <protection hidden="1"/>
    </xf>
    <xf numFmtId="164" fontId="204" fillId="12" borderId="86" xfId="0" applyNumberFormat="1" applyFont="1" applyFill="1" applyBorder="1" applyAlignment="1" applyProtection="1">
      <alignment horizontal="center" vertical="center"/>
      <protection hidden="1"/>
    </xf>
    <xf numFmtId="167" fontId="204" fillId="12" borderId="54" xfId="0" applyNumberFormat="1" applyFont="1" applyFill="1" applyBorder="1" applyAlignment="1" applyProtection="1">
      <alignment horizontal="center" vertical="center"/>
      <protection hidden="1"/>
    </xf>
    <xf numFmtId="167" fontId="204" fillId="12" borderId="42" xfId="0" applyNumberFormat="1" applyFont="1" applyFill="1" applyBorder="1" applyAlignment="1" applyProtection="1">
      <alignment horizontal="center" vertical="center"/>
      <protection hidden="1"/>
    </xf>
    <xf numFmtId="0" fontId="204" fillId="13" borderId="36" xfId="0" applyFont="1" applyFill="1" applyBorder="1" applyAlignment="1" applyProtection="1">
      <alignment horizontal="center" vertical="center"/>
      <protection hidden="1"/>
    </xf>
    <xf numFmtId="0" fontId="204" fillId="13" borderId="36" xfId="0" applyFont="1" applyFill="1" applyBorder="1" applyAlignment="1" applyProtection="1">
      <alignment horizontal="center" vertical="center" wrapText="1"/>
      <protection hidden="1"/>
    </xf>
    <xf numFmtId="0" fontId="204" fillId="12" borderId="35" xfId="0" applyFont="1" applyFill="1" applyBorder="1" applyAlignment="1" applyProtection="1">
      <alignment horizontal="center" vertical="center"/>
      <protection hidden="1"/>
    </xf>
    <xf numFmtId="0" fontId="204" fillId="12" borderId="36" xfId="0" applyFont="1" applyFill="1" applyBorder="1" applyAlignment="1" applyProtection="1">
      <alignment horizontal="center" vertical="center"/>
      <protection hidden="1"/>
    </xf>
    <xf numFmtId="0" fontId="204" fillId="12" borderId="36" xfId="0" applyNumberFormat="1" applyFont="1" applyFill="1" applyBorder="1" applyAlignment="1" applyProtection="1">
      <alignment horizontal="center" vertical="center"/>
      <protection hidden="1"/>
    </xf>
    <xf numFmtId="0" fontId="204" fillId="13" borderId="35" xfId="0" applyFont="1" applyFill="1" applyBorder="1" applyAlignment="1" applyProtection="1">
      <alignment horizontal="center" vertical="center"/>
      <protection hidden="1"/>
    </xf>
    <xf numFmtId="0" fontId="204" fillId="12" borderId="38" xfId="0" applyNumberFormat="1" applyFont="1" applyFill="1" applyBorder="1" applyAlignment="1" applyProtection="1">
      <alignment horizontal="center" vertical="center"/>
      <protection hidden="1"/>
    </xf>
    <xf numFmtId="0" fontId="204" fillId="12" borderId="39" xfId="0" applyNumberFormat="1" applyFont="1" applyFill="1" applyBorder="1" applyAlignment="1" applyProtection="1">
      <alignment horizontal="center" vertical="center"/>
      <protection hidden="1"/>
    </xf>
    <xf numFmtId="0" fontId="165" fillId="12" borderId="74" xfId="0" applyNumberFormat="1" applyFont="1" applyFill="1" applyBorder="1" applyAlignment="1" applyProtection="1">
      <alignment horizontal="centerContinuous" vertical="center" wrapText="1"/>
      <protection hidden="1"/>
    </xf>
    <xf numFmtId="0" fontId="165" fillId="12" borderId="35" xfId="0" applyNumberFormat="1" applyFont="1" applyFill="1" applyBorder="1" applyAlignment="1" applyProtection="1">
      <alignment horizontal="centerContinuous" vertical="center" wrapText="1"/>
      <protection hidden="1"/>
    </xf>
    <xf numFmtId="0" fontId="165" fillId="12" borderId="61" xfId="0" applyNumberFormat="1" applyFont="1" applyFill="1" applyBorder="1" applyAlignment="1" applyProtection="1">
      <alignment horizontal="centerContinuous" vertical="center" wrapText="1"/>
      <protection hidden="1"/>
    </xf>
    <xf numFmtId="0" fontId="108" fillId="12" borderId="74" xfId="0" applyNumberFormat="1" applyFont="1" applyFill="1" applyBorder="1" applyAlignment="1" applyProtection="1">
      <alignment horizontal="centerContinuous" vertical="center" wrapText="1"/>
      <protection hidden="1"/>
    </xf>
    <xf numFmtId="0" fontId="108" fillId="12" borderId="35" xfId="0" applyNumberFormat="1" applyFont="1" applyFill="1" applyBorder="1" applyAlignment="1" applyProtection="1">
      <alignment horizontal="centerContinuous" vertical="center" wrapText="1"/>
      <protection hidden="1"/>
    </xf>
    <xf numFmtId="0" fontId="108" fillId="12" borderId="61" xfId="0" applyNumberFormat="1" applyFont="1" applyFill="1" applyBorder="1" applyAlignment="1" applyProtection="1">
      <alignment horizontal="centerContinuous" vertical="center" wrapText="1"/>
      <protection hidden="1"/>
    </xf>
    <xf numFmtId="0" fontId="167" fillId="13" borderId="74" xfId="0" applyNumberFormat="1" applyFont="1" applyFill="1" applyBorder="1" applyAlignment="1" applyProtection="1">
      <alignment horizontal="centerContinuous" vertical="center" wrapText="1"/>
      <protection hidden="1"/>
    </xf>
    <xf numFmtId="0" fontId="167" fillId="13" borderId="35" xfId="0" applyNumberFormat="1" applyFont="1" applyFill="1" applyBorder="1" applyAlignment="1" applyProtection="1">
      <alignment horizontal="centerContinuous" vertical="center" wrapText="1"/>
      <protection hidden="1"/>
    </xf>
    <xf numFmtId="0" fontId="167" fillId="13" borderId="61" xfId="0" applyNumberFormat="1" applyFont="1" applyFill="1" applyBorder="1" applyAlignment="1" applyProtection="1">
      <alignment horizontal="centerContinuous" vertical="center" wrapText="1"/>
      <protection hidden="1"/>
    </xf>
    <xf numFmtId="0" fontId="106" fillId="12" borderId="74" xfId="0" applyNumberFormat="1" applyFont="1" applyFill="1" applyBorder="1" applyAlignment="1" applyProtection="1">
      <alignment horizontal="centerContinuous" vertical="center" wrapText="1"/>
      <protection hidden="1"/>
    </xf>
    <xf numFmtId="0" fontId="106" fillId="12" borderId="35" xfId="0" applyNumberFormat="1" applyFont="1" applyFill="1" applyBorder="1" applyAlignment="1" applyProtection="1">
      <alignment horizontal="centerContinuous" vertical="center" wrapText="1"/>
      <protection hidden="1"/>
    </xf>
    <xf numFmtId="0" fontId="106" fillId="12" borderId="61" xfId="0" applyNumberFormat="1" applyFont="1" applyFill="1" applyBorder="1" applyAlignment="1" applyProtection="1">
      <alignment horizontal="centerContinuous" vertical="center" wrapText="1"/>
      <protection hidden="1"/>
    </xf>
    <xf numFmtId="0" fontId="107" fillId="13" borderId="74" xfId="0" applyNumberFormat="1" applyFont="1" applyFill="1" applyBorder="1" applyAlignment="1" applyProtection="1">
      <alignment horizontal="centerContinuous" vertical="center" wrapText="1"/>
      <protection hidden="1"/>
    </xf>
    <xf numFmtId="0" fontId="107" fillId="13" borderId="35" xfId="0" applyNumberFormat="1" applyFont="1" applyFill="1" applyBorder="1" applyAlignment="1" applyProtection="1">
      <alignment horizontal="centerContinuous" vertical="center" wrapText="1"/>
      <protection hidden="1"/>
    </xf>
    <xf numFmtId="0" fontId="107" fillId="13" borderId="61" xfId="0" applyNumberFormat="1" applyFont="1" applyFill="1" applyBorder="1" applyAlignment="1" applyProtection="1">
      <alignment horizontal="centerContinuous" vertical="center" wrapText="1"/>
      <protection hidden="1"/>
    </xf>
    <xf numFmtId="0" fontId="105" fillId="12" borderId="74" xfId="0" applyNumberFormat="1" applyFont="1" applyFill="1" applyBorder="1" applyAlignment="1" applyProtection="1">
      <alignment horizontal="centerContinuous" vertical="center" wrapText="1"/>
      <protection hidden="1"/>
    </xf>
    <xf numFmtId="0" fontId="105" fillId="12" borderId="35" xfId="0" applyNumberFormat="1" applyFont="1" applyFill="1" applyBorder="1" applyAlignment="1" applyProtection="1">
      <alignment horizontal="centerContinuous" vertical="center" wrapText="1"/>
      <protection hidden="1"/>
    </xf>
    <xf numFmtId="0" fontId="105" fillId="12" borderId="61" xfId="0" applyNumberFormat="1" applyFont="1" applyFill="1" applyBorder="1" applyAlignment="1" applyProtection="1">
      <alignment horizontal="centerContinuous" vertical="center" wrapText="1"/>
      <protection hidden="1"/>
    </xf>
    <xf numFmtId="0" fontId="102" fillId="13" borderId="74" xfId="0" applyNumberFormat="1" applyFont="1" applyFill="1" applyBorder="1" applyAlignment="1" applyProtection="1">
      <alignment horizontal="centerContinuous" vertical="center" wrapText="1"/>
      <protection hidden="1"/>
    </xf>
    <xf numFmtId="0" fontId="102" fillId="13" borderId="61" xfId="0" applyNumberFormat="1" applyFont="1" applyFill="1" applyBorder="1" applyAlignment="1" applyProtection="1">
      <alignment horizontal="centerContinuous" vertical="center" wrapText="1"/>
      <protection hidden="1"/>
    </xf>
    <xf numFmtId="0" fontId="23" fillId="13" borderId="13" xfId="0" applyNumberFormat="1" applyFont="1" applyFill="1" applyBorder="1" applyAlignment="1" applyProtection="1">
      <alignment horizontal="center" vertical="center" wrapText="1"/>
      <protection hidden="1"/>
    </xf>
    <xf numFmtId="0" fontId="23" fillId="13" borderId="0" xfId="0" applyNumberFormat="1" applyFont="1" applyFill="1" applyBorder="1" applyAlignment="1" applyProtection="1">
      <alignment horizontal="center" vertical="center" wrapText="1"/>
      <protection hidden="1"/>
    </xf>
    <xf numFmtId="0" fontId="100" fillId="13" borderId="35" xfId="0" applyNumberFormat="1" applyFont="1" applyFill="1" applyBorder="1" applyAlignment="1" applyProtection="1">
      <alignment horizontal="center" vertical="center" wrapText="1"/>
      <protection hidden="1"/>
    </xf>
    <xf numFmtId="164" fontId="208" fillId="12" borderId="86" xfId="0" applyNumberFormat="1" applyFont="1" applyFill="1" applyBorder="1" applyAlignment="1" applyProtection="1">
      <alignment horizontal="center" vertical="center"/>
      <protection hidden="1"/>
    </xf>
    <xf numFmtId="167" fontId="208" fillId="12" borderId="54" xfId="0" applyNumberFormat="1" applyFont="1" applyFill="1" applyBorder="1" applyAlignment="1" applyProtection="1">
      <alignment horizontal="center" vertical="center"/>
      <protection hidden="1"/>
    </xf>
    <xf numFmtId="167" fontId="208" fillId="12" borderId="42" xfId="0" applyNumberFormat="1" applyFont="1" applyFill="1" applyBorder="1" applyAlignment="1" applyProtection="1">
      <alignment horizontal="center" vertical="center"/>
      <protection hidden="1"/>
    </xf>
    <xf numFmtId="0" fontId="208" fillId="13" borderId="36" xfId="0" applyFont="1" applyFill="1" applyBorder="1" applyAlignment="1" applyProtection="1">
      <alignment horizontal="center" vertical="center"/>
      <protection hidden="1"/>
    </xf>
    <xf numFmtId="0" fontId="208" fillId="13" borderId="36" xfId="0" applyFont="1" applyFill="1" applyBorder="1" applyAlignment="1" applyProtection="1">
      <alignment horizontal="center" vertical="center" wrapText="1"/>
      <protection hidden="1"/>
    </xf>
    <xf numFmtId="0" fontId="208" fillId="12" borderId="35" xfId="0" applyFont="1" applyFill="1" applyBorder="1" applyAlignment="1" applyProtection="1">
      <alignment horizontal="center" vertical="center"/>
      <protection hidden="1"/>
    </xf>
    <xf numFmtId="0" fontId="208" fillId="12" borderId="36" xfId="0" applyFont="1" applyFill="1" applyBorder="1" applyAlignment="1" applyProtection="1">
      <alignment horizontal="center" vertical="center"/>
      <protection hidden="1"/>
    </xf>
    <xf numFmtId="0" fontId="208" fillId="12" borderId="36" xfId="0" applyNumberFormat="1" applyFont="1" applyFill="1" applyBorder="1" applyAlignment="1" applyProtection="1">
      <alignment horizontal="center" vertical="center"/>
      <protection hidden="1"/>
    </xf>
    <xf numFmtId="0" fontId="208" fillId="13" borderId="35" xfId="0" applyFont="1" applyFill="1" applyBorder="1" applyAlignment="1" applyProtection="1">
      <alignment horizontal="center" vertical="center"/>
      <protection hidden="1"/>
    </xf>
    <xf numFmtId="0" fontId="208" fillId="12" borderId="38" xfId="0" applyNumberFormat="1" applyFont="1" applyFill="1" applyBorder="1" applyAlignment="1" applyProtection="1">
      <alignment horizontal="center" vertical="center"/>
      <protection hidden="1"/>
    </xf>
    <xf numFmtId="0" fontId="208" fillId="12" borderId="39" xfId="0" applyNumberFormat="1" applyFont="1" applyFill="1" applyBorder="1" applyAlignment="1" applyProtection="1">
      <alignment horizontal="center" vertical="center"/>
      <protection hidden="1"/>
    </xf>
    <xf numFmtId="0" fontId="23" fillId="13" borderId="90" xfId="0" applyNumberFormat="1" applyFont="1" applyFill="1" applyBorder="1" applyAlignment="1" applyProtection="1">
      <alignment horizontal="center" vertical="center" wrapText="1"/>
      <protection hidden="1"/>
    </xf>
    <xf numFmtId="0" fontId="23" fillId="13" borderId="48" xfId="0" applyNumberFormat="1" applyFont="1" applyFill="1" applyBorder="1" applyAlignment="1" applyProtection="1">
      <alignment horizontal="center" vertical="center" wrapText="1"/>
      <protection hidden="1"/>
    </xf>
    <xf numFmtId="0" fontId="23" fillId="13" borderId="15" xfId="0" applyNumberFormat="1" applyFont="1" applyFill="1" applyBorder="1" applyAlignment="1" applyProtection="1">
      <alignment horizontal="center" vertical="center" wrapText="1"/>
      <protection hidden="1"/>
    </xf>
    <xf numFmtId="0" fontId="23" fillId="13" borderId="23" xfId="0" applyNumberFormat="1" applyFont="1" applyFill="1" applyBorder="1" applyAlignment="1" applyProtection="1">
      <alignment horizontal="center" vertical="center" wrapText="1"/>
      <protection hidden="1"/>
    </xf>
    <xf numFmtId="0" fontId="56" fillId="13" borderId="16" xfId="0" applyFont="1" applyFill="1" applyBorder="1" applyAlignment="1" applyProtection="1">
      <alignment horizontal="center" vertical="center" wrapText="1"/>
      <protection hidden="1"/>
    </xf>
    <xf numFmtId="0" fontId="56" fillId="13" borderId="20" xfId="0" applyFont="1" applyFill="1" applyBorder="1" applyAlignment="1" applyProtection="1">
      <alignment horizontal="center" vertical="center" wrapText="1"/>
      <protection hidden="1"/>
    </xf>
    <xf numFmtId="0" fontId="56" fillId="13" borderId="60" xfId="0" applyFont="1" applyFill="1" applyBorder="1" applyAlignment="1" applyProtection="1">
      <alignment horizontal="center" vertical="center" wrapText="1"/>
      <protection hidden="1"/>
    </xf>
    <xf numFmtId="0" fontId="56" fillId="13" borderId="51" xfId="0" applyFont="1" applyFill="1" applyBorder="1" applyAlignment="1" applyProtection="1">
      <alignment horizontal="center" vertical="center" wrapText="1"/>
      <protection hidden="1"/>
    </xf>
    <xf numFmtId="0" fontId="56" fillId="13" borderId="41" xfId="0" applyFont="1" applyFill="1" applyBorder="1" applyAlignment="1" applyProtection="1">
      <alignment horizontal="center" vertical="center" wrapText="1"/>
      <protection hidden="1"/>
    </xf>
    <xf numFmtId="0" fontId="56" fillId="13" borderId="94" xfId="0" applyFont="1" applyFill="1" applyBorder="1" applyAlignment="1" applyProtection="1">
      <alignment horizontal="center" vertical="center" wrapText="1"/>
      <protection hidden="1"/>
    </xf>
    <xf numFmtId="0" fontId="110" fillId="12" borderId="22" xfId="0" applyNumberFormat="1" applyFont="1" applyFill="1" applyBorder="1" applyAlignment="1" applyProtection="1">
      <alignment horizontal="left" vertical="center"/>
      <protection hidden="1"/>
    </xf>
    <xf numFmtId="0" fontId="112" fillId="13" borderId="35" xfId="0" applyNumberFormat="1" applyFont="1" applyFill="1" applyBorder="1" applyAlignment="1" applyProtection="1">
      <alignment horizontal="left" vertical="center"/>
      <protection hidden="1"/>
    </xf>
    <xf numFmtId="0" fontId="110" fillId="12" borderId="35" xfId="0" applyNumberFormat="1" applyFont="1" applyFill="1" applyBorder="1" applyAlignment="1" applyProtection="1">
      <alignment horizontal="left" vertical="center"/>
      <protection hidden="1"/>
    </xf>
    <xf numFmtId="0" fontId="112" fillId="13" borderId="92" xfId="0" applyNumberFormat="1" applyFont="1" applyFill="1" applyBorder="1" applyAlignment="1" applyProtection="1">
      <alignment horizontal="left" vertical="center"/>
      <protection hidden="1"/>
    </xf>
    <xf numFmtId="0" fontId="114" fillId="12" borderId="0" xfId="0" applyNumberFormat="1" applyFont="1" applyFill="1" applyBorder="1" applyAlignment="1" applyProtection="1">
      <alignment horizontal="left" vertical="center"/>
      <protection hidden="1"/>
    </xf>
    <xf numFmtId="0" fontId="114" fillId="13" borderId="35" xfId="0" applyNumberFormat="1" applyFont="1" applyFill="1" applyBorder="1" applyAlignment="1" applyProtection="1">
      <alignment horizontal="left" vertical="center"/>
      <protection hidden="1"/>
    </xf>
    <xf numFmtId="0" fontId="114" fillId="12" borderId="35" xfId="0" applyNumberFormat="1" applyFont="1" applyFill="1" applyBorder="1" applyAlignment="1" applyProtection="1">
      <alignment horizontal="left" vertical="center"/>
      <protection hidden="1"/>
    </xf>
    <xf numFmtId="0" fontId="114" fillId="13" borderId="92" xfId="0" applyNumberFormat="1" applyFont="1" applyFill="1" applyBorder="1" applyAlignment="1" applyProtection="1">
      <alignment horizontal="left" vertical="center"/>
      <protection hidden="1"/>
    </xf>
    <xf numFmtId="0" fontId="115" fillId="12" borderId="0" xfId="0" applyNumberFormat="1" applyFont="1" applyFill="1" applyBorder="1" applyAlignment="1" applyProtection="1">
      <alignment horizontal="left" vertical="center"/>
      <protection hidden="1"/>
    </xf>
    <xf numFmtId="0" fontId="116" fillId="13" borderId="35" xfId="0" applyNumberFormat="1" applyFont="1" applyFill="1" applyBorder="1" applyAlignment="1" applyProtection="1">
      <alignment horizontal="left" vertical="center"/>
      <protection hidden="1"/>
    </xf>
    <xf numFmtId="0" fontId="115" fillId="12" borderId="35" xfId="0" applyNumberFormat="1" applyFont="1" applyFill="1" applyBorder="1" applyAlignment="1" applyProtection="1">
      <alignment horizontal="left" vertical="center"/>
      <protection hidden="1"/>
    </xf>
    <xf numFmtId="0" fontId="116" fillId="13" borderId="92" xfId="0" applyNumberFormat="1" applyFont="1" applyFill="1" applyBorder="1" applyAlignment="1" applyProtection="1">
      <alignment horizontal="left" vertical="center"/>
      <protection hidden="1"/>
    </xf>
    <xf numFmtId="0" fontId="117" fillId="12" borderId="0" xfId="0" applyNumberFormat="1" applyFont="1" applyFill="1" applyBorder="1" applyAlignment="1" applyProtection="1">
      <alignment horizontal="left" vertical="center"/>
      <protection hidden="1"/>
    </xf>
    <xf numFmtId="0" fontId="119" fillId="13" borderId="35" xfId="0" applyNumberFormat="1" applyFont="1" applyFill="1" applyBorder="1" applyAlignment="1" applyProtection="1">
      <alignment horizontal="left" vertical="center"/>
      <protection hidden="1"/>
    </xf>
    <xf numFmtId="0" fontId="118" fillId="12" borderId="35" xfId="0" applyNumberFormat="1" applyFont="1" applyFill="1" applyBorder="1" applyAlignment="1" applyProtection="1">
      <alignment horizontal="left" vertical="center"/>
      <protection hidden="1"/>
    </xf>
    <xf numFmtId="0" fontId="119" fillId="13" borderId="92" xfId="0" applyNumberFormat="1" applyFont="1" applyFill="1" applyBorder="1" applyAlignment="1" applyProtection="1">
      <alignment horizontal="left" vertical="center"/>
      <protection hidden="1"/>
    </xf>
    <xf numFmtId="0" fontId="120" fillId="12" borderId="0" xfId="0" applyNumberFormat="1" applyFont="1" applyFill="1" applyBorder="1" applyAlignment="1" applyProtection="1">
      <alignment horizontal="left" vertical="center"/>
      <protection hidden="1"/>
    </xf>
    <xf numFmtId="0" fontId="121" fillId="13" borderId="35" xfId="0" applyNumberFormat="1" applyFont="1" applyFill="1" applyBorder="1" applyAlignment="1" applyProtection="1">
      <alignment horizontal="left" vertical="center"/>
      <protection hidden="1"/>
    </xf>
    <xf numFmtId="0" fontId="120" fillId="12" borderId="35" xfId="0" applyNumberFormat="1" applyFont="1" applyFill="1" applyBorder="1" applyAlignment="1" applyProtection="1">
      <alignment horizontal="left" vertical="center"/>
      <protection hidden="1"/>
    </xf>
    <xf numFmtId="0" fontId="121" fillId="13" borderId="92" xfId="0" applyNumberFormat="1" applyFont="1" applyFill="1" applyBorder="1" applyAlignment="1" applyProtection="1">
      <alignment horizontal="left" vertical="center"/>
      <protection hidden="1"/>
    </xf>
    <xf numFmtId="0" fontId="122" fillId="12" borderId="0" xfId="0" applyNumberFormat="1" applyFont="1" applyFill="1" applyBorder="1" applyAlignment="1" applyProtection="1">
      <alignment horizontal="left" vertical="center"/>
      <protection hidden="1"/>
    </xf>
    <xf numFmtId="0" fontId="123" fillId="13" borderId="35" xfId="0" applyNumberFormat="1" applyFont="1" applyFill="1" applyBorder="1" applyAlignment="1" applyProtection="1">
      <alignment horizontal="left" vertical="center"/>
      <protection hidden="1"/>
    </xf>
    <xf numFmtId="0" fontId="122" fillId="12" borderId="35" xfId="0" applyNumberFormat="1" applyFont="1" applyFill="1" applyBorder="1" applyAlignment="1" applyProtection="1">
      <alignment horizontal="left" vertical="center"/>
      <protection hidden="1"/>
    </xf>
    <xf numFmtId="0" fontId="123" fillId="13" borderId="92" xfId="0" applyNumberFormat="1" applyFont="1" applyFill="1" applyBorder="1" applyAlignment="1" applyProtection="1">
      <alignment horizontal="left" vertical="center"/>
      <protection hidden="1"/>
    </xf>
    <xf numFmtId="0" fontId="166" fillId="13" borderId="35" xfId="0" applyNumberFormat="1" applyFont="1" applyFill="1" applyBorder="1" applyAlignment="1" applyProtection="1">
      <alignment horizontal="left" vertical="center"/>
      <protection hidden="1"/>
    </xf>
    <xf numFmtId="0" fontId="124" fillId="12" borderId="35" xfId="0" applyNumberFormat="1" applyFont="1" applyFill="1" applyBorder="1" applyAlignment="1" applyProtection="1">
      <alignment horizontal="left" vertical="center"/>
      <protection hidden="1"/>
    </xf>
    <xf numFmtId="0" fontId="62" fillId="12" borderId="72" xfId="0" applyFont="1" applyFill="1" applyBorder="1" applyProtection="1">
      <alignment vertical="center"/>
      <protection hidden="1"/>
    </xf>
    <xf numFmtId="0" fontId="181" fillId="13" borderId="16" xfId="0" applyFont="1" applyFill="1" applyBorder="1" applyProtection="1">
      <alignment vertical="center"/>
      <protection hidden="1"/>
    </xf>
    <xf numFmtId="0" fontId="62" fillId="12" borderId="16" xfId="0" applyFont="1" applyFill="1" applyBorder="1" applyProtection="1">
      <alignment vertical="center"/>
      <protection hidden="1"/>
    </xf>
    <xf numFmtId="0" fontId="181" fillId="13" borderId="63" xfId="0" applyFont="1" applyFill="1" applyBorder="1" applyProtection="1">
      <alignment vertical="center"/>
      <protection hidden="1"/>
    </xf>
    <xf numFmtId="0" fontId="63" fillId="12" borderId="72" xfId="0" applyFont="1" applyFill="1" applyBorder="1" applyProtection="1">
      <alignment vertical="center"/>
      <protection hidden="1"/>
    </xf>
    <xf numFmtId="0" fontId="182" fillId="13" borderId="16" xfId="0" applyFont="1" applyFill="1" applyBorder="1" applyProtection="1">
      <alignment vertical="center"/>
      <protection hidden="1"/>
    </xf>
    <xf numFmtId="0" fontId="63" fillId="12" borderId="16" xfId="0" applyFont="1" applyFill="1" applyBorder="1" applyProtection="1">
      <alignment vertical="center"/>
      <protection hidden="1"/>
    </xf>
    <xf numFmtId="0" fontId="182" fillId="13" borderId="63" xfId="0" applyFont="1" applyFill="1" applyBorder="1" applyProtection="1">
      <alignment vertical="center"/>
      <protection hidden="1"/>
    </xf>
    <xf numFmtId="0" fontId="180" fillId="12" borderId="72" xfId="0" applyFont="1" applyFill="1" applyBorder="1" applyProtection="1">
      <alignment vertical="center"/>
      <protection hidden="1"/>
    </xf>
    <xf numFmtId="0" fontId="52" fillId="13" borderId="16" xfId="0" applyFont="1" applyFill="1" applyBorder="1" applyProtection="1">
      <alignment vertical="center"/>
      <protection hidden="1"/>
    </xf>
    <xf numFmtId="0" fontId="52" fillId="12" borderId="16" xfId="0" applyFont="1" applyFill="1" applyBorder="1" applyProtection="1">
      <alignment vertical="center"/>
      <protection hidden="1"/>
    </xf>
    <xf numFmtId="0" fontId="180" fillId="13" borderId="63" xfId="0" applyFont="1" applyFill="1" applyBorder="1" applyProtection="1">
      <alignment vertical="center"/>
      <protection hidden="1"/>
    </xf>
    <xf numFmtId="0" fontId="57" fillId="12" borderId="72" xfId="0" applyFont="1" applyFill="1" applyBorder="1" applyProtection="1">
      <alignment vertical="center"/>
      <protection hidden="1"/>
    </xf>
    <xf numFmtId="0" fontId="179" fillId="13" borderId="16" xfId="0" applyFont="1" applyFill="1" applyBorder="1" applyProtection="1">
      <alignment vertical="center"/>
      <protection hidden="1"/>
    </xf>
    <xf numFmtId="0" fontId="57" fillId="12" borderId="16" xfId="0" applyFont="1" applyFill="1" applyBorder="1" applyProtection="1">
      <alignment vertical="center"/>
      <protection hidden="1"/>
    </xf>
    <xf numFmtId="0" fontId="179" fillId="13" borderId="63" xfId="0" applyFont="1" applyFill="1" applyBorder="1" applyProtection="1">
      <alignment vertical="center"/>
      <protection hidden="1"/>
    </xf>
    <xf numFmtId="0" fontId="183" fillId="12" borderId="72" xfId="0" applyFont="1" applyFill="1" applyBorder="1" applyProtection="1">
      <alignment vertical="center"/>
      <protection hidden="1"/>
    </xf>
    <xf numFmtId="0" fontId="64" fillId="13" borderId="16" xfId="0" applyFont="1" applyFill="1" applyBorder="1" applyProtection="1">
      <alignment vertical="center"/>
      <protection hidden="1"/>
    </xf>
    <xf numFmtId="0" fontId="183" fillId="12" borderId="16" xfId="0" applyFont="1" applyFill="1" applyBorder="1" applyProtection="1">
      <alignment vertical="center"/>
      <protection hidden="1"/>
    </xf>
    <xf numFmtId="0" fontId="64" fillId="13" borderId="63" xfId="0" applyFont="1" applyFill="1" applyBorder="1" applyProtection="1">
      <alignment vertical="center"/>
      <protection hidden="1"/>
    </xf>
    <xf numFmtId="0" fontId="65" fillId="12" borderId="72" xfId="0" applyFont="1" applyFill="1" applyBorder="1" applyProtection="1">
      <alignment vertical="center"/>
      <protection hidden="1"/>
    </xf>
    <xf numFmtId="0" fontId="21" fillId="13" borderId="16" xfId="0" applyFont="1" applyFill="1" applyBorder="1" applyProtection="1">
      <alignment vertical="center"/>
      <protection hidden="1"/>
    </xf>
    <xf numFmtId="0" fontId="65" fillId="12" borderId="16" xfId="0" applyFont="1" applyFill="1" applyBorder="1" applyProtection="1">
      <alignment vertical="center"/>
      <protection hidden="1"/>
    </xf>
    <xf numFmtId="0" fontId="21" fillId="13" borderId="63" xfId="0" applyFont="1" applyFill="1" applyBorder="1" applyProtection="1">
      <alignment vertical="center"/>
      <protection hidden="1"/>
    </xf>
    <xf numFmtId="0" fontId="185" fillId="13" borderId="16" xfId="0" applyFont="1" applyFill="1" applyBorder="1" applyProtection="1">
      <alignment vertical="center"/>
      <protection hidden="1"/>
    </xf>
    <xf numFmtId="0" fontId="184" fillId="12" borderId="16" xfId="0" applyFont="1" applyFill="1" applyBorder="1" applyProtection="1">
      <alignment vertical="center"/>
      <protection hidden="1"/>
    </xf>
    <xf numFmtId="0" fontId="185" fillId="13" borderId="60" xfId="0" applyFont="1" applyFill="1" applyBorder="1" applyProtection="1">
      <alignment vertical="center"/>
      <protection hidden="1"/>
    </xf>
    <xf numFmtId="0" fontId="74" fillId="13" borderId="60" xfId="0" applyFont="1" applyFill="1" applyBorder="1" applyAlignment="1" applyProtection="1">
      <alignment horizontal="center" vertical="center" wrapText="1"/>
      <protection hidden="1"/>
    </xf>
    <xf numFmtId="0" fontId="69" fillId="13" borderId="61" xfId="0" applyFont="1" applyFill="1" applyBorder="1" applyAlignment="1" applyProtection="1">
      <alignment horizontal="center" vertical="center"/>
      <protection hidden="1"/>
    </xf>
    <xf numFmtId="0" fontId="69" fillId="13" borderId="111" xfId="0" applyFont="1" applyFill="1" applyBorder="1" applyAlignment="1" applyProtection="1">
      <alignment horizontal="center" vertical="center"/>
      <protection hidden="1"/>
    </xf>
    <xf numFmtId="0" fontId="150" fillId="13" borderId="96" xfId="0" applyFont="1" applyFill="1" applyBorder="1" applyAlignment="1" applyProtection="1">
      <alignment vertical="center"/>
      <protection hidden="1"/>
    </xf>
    <xf numFmtId="0" fontId="176" fillId="13" borderId="60" xfId="0" applyFont="1" applyFill="1" applyBorder="1" applyAlignment="1" applyProtection="1">
      <alignment horizontal="center" vertical="center" wrapText="1"/>
      <protection hidden="1"/>
    </xf>
    <xf numFmtId="0" fontId="176" fillId="13" borderId="110" xfId="0" applyFont="1" applyFill="1" applyBorder="1" applyAlignment="1" applyProtection="1">
      <alignment horizontal="centerContinuous" vertical="center" wrapText="1"/>
      <protection hidden="1"/>
    </xf>
    <xf numFmtId="14" fontId="176" fillId="13" borderId="111" xfId="0" applyNumberFormat="1" applyFont="1" applyFill="1" applyBorder="1" applyAlignment="1" applyProtection="1">
      <alignment horizontal="centerContinuous" vertical="center" wrapText="1"/>
      <protection hidden="1"/>
    </xf>
    <xf numFmtId="0" fontId="176" fillId="13" borderId="39" xfId="0" applyFont="1" applyFill="1" applyBorder="1" applyAlignment="1" applyProtection="1">
      <alignment horizontal="center" vertical="center" wrapText="1"/>
      <protection hidden="1"/>
    </xf>
    <xf numFmtId="0" fontId="176" fillId="13" borderId="50" xfId="0" applyFont="1" applyFill="1" applyBorder="1" applyAlignment="1" applyProtection="1">
      <alignment horizontal="centerContinuous" vertical="center" wrapText="1"/>
      <protection hidden="1"/>
    </xf>
    <xf numFmtId="0" fontId="74" fillId="13" borderId="16" xfId="0" applyFont="1" applyFill="1" applyBorder="1" applyAlignment="1" applyProtection="1">
      <alignment horizontal="center" vertical="center" wrapText="1"/>
      <protection hidden="1"/>
    </xf>
    <xf numFmtId="0" fontId="79" fillId="13" borderId="63" xfId="0" applyFont="1" applyFill="1" applyBorder="1" applyAlignment="1" applyProtection="1">
      <alignment horizontal="centerContinuous" vertical="center" wrapText="1"/>
      <protection hidden="1"/>
    </xf>
    <xf numFmtId="0" fontId="78" fillId="13" borderId="95" xfId="0" applyFont="1" applyFill="1" applyBorder="1" applyAlignment="1" applyProtection="1">
      <alignment horizontal="centerContinuous" vertical="center"/>
      <protection hidden="1"/>
    </xf>
    <xf numFmtId="0" fontId="210" fillId="13" borderId="23" xfId="0" applyNumberFormat="1" applyFont="1" applyFill="1" applyBorder="1" applyAlignment="1" applyProtection="1">
      <alignment horizontal="center" vertical="center" wrapText="1"/>
      <protection hidden="1"/>
    </xf>
    <xf numFmtId="0" fontId="212" fillId="12" borderId="74" xfId="0" applyNumberFormat="1" applyFont="1" applyFill="1" applyBorder="1" applyAlignment="1" applyProtection="1">
      <alignment horizontal="left" vertical="center"/>
      <protection hidden="1"/>
    </xf>
    <xf numFmtId="0" fontId="21" fillId="13" borderId="43" xfId="0" applyFont="1" applyFill="1" applyBorder="1" applyAlignment="1" applyProtection="1">
      <alignment horizontal="center" vertical="center"/>
      <protection hidden="1"/>
    </xf>
    <xf numFmtId="0" fontId="21" fillId="13" borderId="44" xfId="0" applyFont="1" applyFill="1" applyBorder="1" applyAlignment="1" applyProtection="1">
      <alignment horizontal="center" vertical="center"/>
      <protection hidden="1"/>
    </xf>
    <xf numFmtId="14" fontId="21" fillId="13" borderId="43" xfId="0" applyNumberFormat="1" applyFont="1" applyFill="1" applyBorder="1" applyAlignment="1" applyProtection="1">
      <alignment horizontal="center" vertical="center"/>
      <protection hidden="1"/>
    </xf>
    <xf numFmtId="175" fontId="213" fillId="12" borderId="67" xfId="0" applyNumberFormat="1" applyFont="1" applyFill="1" applyBorder="1" applyAlignment="1" applyProtection="1">
      <alignment horizontal="center" vertical="center"/>
      <protection hidden="1"/>
    </xf>
    <xf numFmtId="175" fontId="213" fillId="12" borderId="36" xfId="0" applyNumberFormat="1" applyFont="1" applyFill="1" applyBorder="1" applyAlignment="1" applyProtection="1">
      <alignment horizontal="center" vertical="center"/>
      <protection hidden="1"/>
    </xf>
    <xf numFmtId="175" fontId="214" fillId="13" borderId="36" xfId="0" applyNumberFormat="1" applyFont="1" applyFill="1" applyBorder="1" applyAlignment="1" applyProtection="1">
      <alignment horizontal="center" vertical="center"/>
      <protection hidden="1"/>
    </xf>
    <xf numFmtId="175" fontId="214" fillId="13" borderId="57" xfId="0" applyNumberFormat="1" applyFont="1" applyFill="1" applyBorder="1" applyAlignment="1" applyProtection="1">
      <alignment horizontal="center" vertical="center"/>
      <protection hidden="1"/>
    </xf>
    <xf numFmtId="167" fontId="23" fillId="13" borderId="0" xfId="0" applyNumberFormat="1" applyFont="1" applyFill="1" applyBorder="1" applyAlignment="1" applyProtection="1">
      <alignment horizontal="center" vertical="center" wrapText="1"/>
      <protection hidden="1"/>
    </xf>
    <xf numFmtId="14" fontId="21" fillId="13" borderId="43" xfId="0" applyNumberFormat="1" applyFont="1" applyFill="1" applyBorder="1" applyAlignment="1" applyProtection="1">
      <alignment horizontal="center" vertical="center" wrapText="1"/>
      <protection hidden="1"/>
    </xf>
    <xf numFmtId="167" fontId="186" fillId="13" borderId="54" xfId="0" applyNumberFormat="1" applyFont="1" applyFill="1" applyBorder="1" applyAlignment="1" applyProtection="1">
      <alignment horizontal="center" vertical="center"/>
      <protection hidden="1"/>
    </xf>
    <xf numFmtId="167" fontId="186" fillId="13" borderId="36" xfId="0" applyNumberFormat="1" applyFont="1" applyFill="1" applyBorder="1" applyAlignment="1" applyProtection="1">
      <alignment horizontal="center" vertical="center"/>
      <protection hidden="1"/>
    </xf>
    <xf numFmtId="167" fontId="186" fillId="12" borderId="36" xfId="0" applyNumberFormat="1" applyFont="1" applyFill="1" applyBorder="1" applyAlignment="1" applyProtection="1">
      <alignment horizontal="center" vertical="center"/>
      <protection hidden="1"/>
    </xf>
    <xf numFmtId="174" fontId="69" fillId="13" borderId="128" xfId="0" applyNumberFormat="1" applyFont="1" applyFill="1" applyBorder="1" applyAlignment="1" applyProtection="1">
      <alignment horizontal="center" vertical="center"/>
      <protection hidden="1"/>
    </xf>
    <xf numFmtId="0" fontId="5" fillId="13" borderId="90" xfId="0" applyFont="1" applyFill="1" applyBorder="1" applyAlignment="1" applyProtection="1">
      <alignment horizontal="center" vertical="center"/>
      <protection hidden="1"/>
    </xf>
    <xf numFmtId="174" fontId="69" fillId="13" borderId="126" xfId="0" applyNumberFormat="1" applyFont="1" applyFill="1" applyBorder="1" applyAlignment="1" applyProtection="1">
      <alignment horizontal="center" vertical="center"/>
      <protection hidden="1"/>
    </xf>
    <xf numFmtId="0" fontId="174" fillId="13" borderId="78" xfId="0" applyNumberFormat="1" applyFont="1" applyFill="1" applyBorder="1" applyAlignment="1" applyProtection="1">
      <alignment horizontal="center" vertical="center"/>
      <protection hidden="1"/>
    </xf>
    <xf numFmtId="167" fontId="174" fillId="13" borderId="163" xfId="0" applyNumberFormat="1" applyFont="1" applyFill="1" applyBorder="1" applyAlignment="1" applyProtection="1">
      <alignment horizontal="center" vertical="center"/>
      <protection hidden="1"/>
    </xf>
    <xf numFmtId="0" fontId="174" fillId="13" borderId="64" xfId="0" applyNumberFormat="1" applyFont="1" applyFill="1" applyBorder="1" applyAlignment="1" applyProtection="1">
      <alignment horizontal="center" vertical="center"/>
      <protection hidden="1"/>
    </xf>
    <xf numFmtId="167" fontId="174" fillId="13" borderId="9" xfId="0" applyNumberFormat="1" applyFont="1" applyFill="1" applyBorder="1" applyAlignment="1" applyProtection="1">
      <alignment horizontal="center" vertical="center"/>
      <protection hidden="1"/>
    </xf>
    <xf numFmtId="0" fontId="69" fillId="12" borderId="5" xfId="0" applyFont="1" applyFill="1" applyBorder="1" applyAlignment="1" applyProtection="1">
      <alignment horizontal="center" vertical="center"/>
      <protection hidden="1"/>
    </xf>
    <xf numFmtId="0" fontId="69" fillId="12" borderId="8" xfId="0" applyFont="1" applyFill="1" applyBorder="1" applyAlignment="1" applyProtection="1">
      <alignment horizontal="center" vertical="center"/>
      <protection hidden="1"/>
    </xf>
    <xf numFmtId="0" fontId="69" fillId="13" borderId="167" xfId="0" applyFont="1" applyFill="1" applyBorder="1" applyAlignment="1" applyProtection="1">
      <alignment horizontal="center" vertical="center"/>
      <protection hidden="1"/>
    </xf>
    <xf numFmtId="0" fontId="69" fillId="12" borderId="164" xfId="0" applyFont="1" applyFill="1" applyBorder="1" applyAlignment="1" applyProtection="1">
      <alignment horizontal="center" vertical="center"/>
      <protection hidden="1"/>
    </xf>
    <xf numFmtId="0" fontId="69" fillId="13" borderId="3" xfId="0" applyFont="1" applyFill="1" applyBorder="1" applyAlignment="1" applyProtection="1">
      <alignment horizontal="center" vertical="center"/>
      <protection hidden="1"/>
    </xf>
    <xf numFmtId="0" fontId="69" fillId="13" borderId="168" xfId="0" applyFont="1" applyFill="1" applyBorder="1" applyAlignment="1" applyProtection="1">
      <alignment horizontal="center" vertical="center"/>
      <protection hidden="1"/>
    </xf>
    <xf numFmtId="0" fontId="0" fillId="13" borderId="54" xfId="0" applyFill="1" applyBorder="1" applyAlignment="1" applyProtection="1">
      <alignment vertical="center"/>
      <protection hidden="1"/>
    </xf>
    <xf numFmtId="0" fontId="0" fillId="13" borderId="36" xfId="0" applyFill="1" applyBorder="1" applyAlignment="1" applyProtection="1">
      <alignment vertical="center"/>
      <protection hidden="1"/>
    </xf>
    <xf numFmtId="0" fontId="0" fillId="13" borderId="39" xfId="0" applyFill="1" applyBorder="1" applyAlignment="1" applyProtection="1">
      <alignment vertical="center"/>
      <protection hidden="1"/>
    </xf>
    <xf numFmtId="0" fontId="0" fillId="13" borderId="151" xfId="0" applyFill="1" applyBorder="1" applyAlignment="1" applyProtection="1">
      <alignment vertical="center"/>
      <protection hidden="1"/>
    </xf>
    <xf numFmtId="0" fontId="0" fillId="13" borderId="61" xfId="0" applyFill="1" applyBorder="1" applyAlignment="1" applyProtection="1">
      <alignment vertical="center"/>
      <protection hidden="1"/>
    </xf>
    <xf numFmtId="0" fontId="0" fillId="13" borderId="111" xfId="0" applyFill="1" applyBorder="1" applyAlignment="1" applyProtection="1">
      <alignment vertical="center"/>
      <protection hidden="1"/>
    </xf>
    <xf numFmtId="0" fontId="204" fillId="13" borderId="64" xfId="0" applyFont="1" applyFill="1" applyBorder="1" applyAlignment="1" applyProtection="1">
      <alignment horizontal="center" vertical="center" wrapText="1"/>
      <protection hidden="1"/>
    </xf>
    <xf numFmtId="0" fontId="208" fillId="13" borderId="64" xfId="0" applyFont="1" applyFill="1" applyBorder="1" applyAlignment="1" applyProtection="1">
      <alignment horizontal="center" vertical="center" wrapText="1"/>
      <protection hidden="1"/>
    </xf>
    <xf numFmtId="0" fontId="203" fillId="13" borderId="64" xfId="0" applyFont="1" applyFill="1" applyBorder="1" applyAlignment="1" applyProtection="1">
      <alignment horizontal="center" vertical="center" wrapText="1"/>
      <protection hidden="1"/>
    </xf>
    <xf numFmtId="0" fontId="203" fillId="12" borderId="39" xfId="0" applyFont="1" applyFill="1" applyBorder="1" applyAlignment="1" applyProtection="1">
      <alignment horizontal="center" vertical="center" wrapText="1"/>
      <protection hidden="1"/>
    </xf>
    <xf numFmtId="0" fontId="208" fillId="12" borderId="39" xfId="0" applyFont="1" applyFill="1" applyBorder="1" applyAlignment="1" applyProtection="1">
      <alignment horizontal="center" vertical="center" wrapText="1"/>
      <protection hidden="1"/>
    </xf>
    <xf numFmtId="0" fontId="204" fillId="12" borderId="39" xfId="0" applyFont="1" applyFill="1" applyBorder="1" applyAlignment="1" applyProtection="1">
      <alignment horizontal="center" vertical="center" wrapText="1"/>
      <protection hidden="1"/>
    </xf>
    <xf numFmtId="0" fontId="6" fillId="13" borderId="0" xfId="0" applyFont="1" applyFill="1" applyBorder="1" applyProtection="1">
      <alignment vertical="center"/>
      <protection hidden="1"/>
    </xf>
    <xf numFmtId="0" fontId="21" fillId="13" borderId="0" xfId="0" applyFont="1" applyFill="1" applyAlignment="1" applyProtection="1">
      <alignment horizontal="center" vertical="center"/>
      <protection hidden="1"/>
    </xf>
    <xf numFmtId="0" fontId="100" fillId="13" borderId="20" xfId="0" applyNumberFormat="1" applyFont="1" applyFill="1" applyBorder="1" applyAlignment="1" applyProtection="1">
      <alignment horizontal="center" vertical="center" wrapText="1"/>
      <protection hidden="1"/>
    </xf>
    <xf numFmtId="0" fontId="23" fillId="0" borderId="0" xfId="0" applyFont="1">
      <alignment vertical="center"/>
    </xf>
    <xf numFmtId="0" fontId="55" fillId="13" borderId="23" xfId="0" applyFont="1" applyFill="1" applyBorder="1" applyAlignment="1" applyProtection="1">
      <alignment horizontal="centerContinuous" vertical="center"/>
      <protection hidden="1"/>
    </xf>
    <xf numFmtId="0" fontId="55" fillId="13" borderId="14" xfId="0" applyFont="1" applyFill="1" applyBorder="1" applyAlignment="1" applyProtection="1">
      <alignment horizontal="centerContinuous" vertical="center"/>
      <protection hidden="1"/>
    </xf>
    <xf numFmtId="0" fontId="81" fillId="13" borderId="14" xfId="0" applyFont="1" applyFill="1" applyBorder="1" applyAlignment="1" applyProtection="1">
      <alignment horizontal="center" vertical="center"/>
      <protection hidden="1"/>
    </xf>
    <xf numFmtId="0" fontId="69" fillId="13" borderId="22" xfId="0" applyFont="1" applyFill="1" applyBorder="1" applyAlignment="1" applyProtection="1">
      <alignment horizontal="center" vertical="center"/>
      <protection hidden="1"/>
    </xf>
    <xf numFmtId="0" fontId="69" fillId="13" borderId="0" xfId="0" applyFont="1" applyFill="1" applyBorder="1" applyAlignment="1" applyProtection="1">
      <alignment horizontal="center" vertical="center"/>
      <protection hidden="1"/>
    </xf>
    <xf numFmtId="0" fontId="69" fillId="13" borderId="15" xfId="0" applyFont="1" applyFill="1" applyBorder="1" applyAlignment="1" applyProtection="1">
      <alignment horizontal="center" vertical="center"/>
      <protection hidden="1"/>
    </xf>
    <xf numFmtId="0" fontId="81" fillId="13" borderId="86" xfId="0" applyFont="1" applyFill="1" applyBorder="1" applyAlignment="1" applyProtection="1">
      <alignment horizontal="center" vertical="center"/>
      <protection hidden="1"/>
    </xf>
    <xf numFmtId="0" fontId="81" fillId="11" borderId="95" xfId="0" applyFont="1" applyFill="1" applyBorder="1" applyAlignment="1" applyProtection="1">
      <alignment horizontal="center" vertical="center"/>
      <protection hidden="1"/>
    </xf>
    <xf numFmtId="0" fontId="81" fillId="11" borderId="14" xfId="0" applyFont="1" applyFill="1" applyBorder="1" applyAlignment="1" applyProtection="1">
      <alignment horizontal="center" vertical="center"/>
      <protection hidden="1"/>
    </xf>
    <xf numFmtId="0" fontId="81" fillId="13" borderId="84" xfId="0" applyFont="1" applyFill="1" applyBorder="1" applyAlignment="1" applyProtection="1">
      <alignment horizontal="center" vertical="center"/>
      <protection hidden="1"/>
    </xf>
    <xf numFmtId="0" fontId="81" fillId="11" borderId="104" xfId="0" applyFont="1" applyFill="1" applyBorder="1" applyAlignment="1" applyProtection="1">
      <alignment horizontal="center" vertical="center"/>
      <protection hidden="1"/>
    </xf>
    <xf numFmtId="0" fontId="69" fillId="15" borderId="28" xfId="0" applyFont="1" applyFill="1" applyBorder="1" applyAlignment="1" applyProtection="1">
      <alignment horizontal="center" vertical="center" wrapText="1"/>
      <protection hidden="1"/>
    </xf>
    <xf numFmtId="0" fontId="69" fillId="15" borderId="90" xfId="0" applyFont="1" applyFill="1" applyBorder="1" applyAlignment="1" applyProtection="1">
      <alignment horizontal="center" vertical="center" wrapText="1"/>
      <protection hidden="1"/>
    </xf>
    <xf numFmtId="0" fontId="69" fillId="15" borderId="23" xfId="0" applyFont="1" applyFill="1" applyBorder="1" applyAlignment="1" applyProtection="1">
      <alignment horizontal="center" vertical="center" wrapText="1"/>
      <protection hidden="1"/>
    </xf>
    <xf numFmtId="0" fontId="97" fillId="11" borderId="176" xfId="0" applyNumberFormat="1" applyFont="1" applyFill="1" applyBorder="1" applyAlignment="1" applyProtection="1">
      <alignment horizontal="left" vertical="center"/>
      <protection hidden="1"/>
    </xf>
    <xf numFmtId="0" fontId="93" fillId="13" borderId="74" xfId="0" applyNumberFormat="1" applyFont="1" applyFill="1" applyBorder="1" applyAlignment="1" applyProtection="1">
      <alignment horizontal="center" vertical="center"/>
      <protection hidden="1"/>
    </xf>
    <xf numFmtId="0" fontId="54" fillId="11" borderId="122" xfId="0" applyNumberFormat="1" applyFont="1" applyFill="1" applyBorder="1" applyAlignment="1" applyProtection="1">
      <alignment horizontal="center" vertical="center"/>
      <protection hidden="1"/>
    </xf>
    <xf numFmtId="0" fontId="67" fillId="13" borderId="74" xfId="0" applyNumberFormat="1" applyFont="1" applyFill="1" applyBorder="1" applyAlignment="1" applyProtection="1">
      <alignment horizontal="center" vertical="center"/>
      <protection hidden="1"/>
    </xf>
    <xf numFmtId="0" fontId="94" fillId="11" borderId="122" xfId="0" applyNumberFormat="1" applyFont="1" applyFill="1" applyBorder="1" applyAlignment="1" applyProtection="1">
      <alignment horizontal="center" vertical="center"/>
      <protection hidden="1"/>
    </xf>
    <xf numFmtId="0" fontId="95" fillId="13" borderId="74" xfId="0" applyNumberFormat="1" applyFont="1" applyFill="1" applyBorder="1" applyAlignment="1" applyProtection="1">
      <alignment horizontal="center" vertical="center"/>
      <protection hidden="1"/>
    </xf>
    <xf numFmtId="0" fontId="96" fillId="13" borderId="74" xfId="0" applyNumberFormat="1" applyFont="1" applyFill="1" applyBorder="1" applyAlignment="1" applyProtection="1">
      <alignment horizontal="center" vertical="center"/>
      <protection hidden="1"/>
    </xf>
    <xf numFmtId="0" fontId="97" fillId="11" borderId="130" xfId="0" applyNumberFormat="1" applyFont="1" applyFill="1" applyBorder="1" applyAlignment="1" applyProtection="1">
      <alignment horizontal="center" vertical="center"/>
      <protection hidden="1"/>
    </xf>
    <xf numFmtId="0" fontId="6" fillId="8" borderId="174" xfId="0" applyFont="1" applyFill="1" applyBorder="1" applyAlignment="1" applyProtection="1">
      <alignment horizontal="center" vertical="center"/>
      <protection hidden="1"/>
    </xf>
    <xf numFmtId="0" fontId="110" fillId="12" borderId="177" xfId="0" applyNumberFormat="1" applyFont="1" applyFill="1" applyBorder="1" applyAlignment="1" applyProtection="1">
      <alignment horizontal="center" vertical="center"/>
      <protection hidden="1"/>
    </xf>
    <xf numFmtId="0" fontId="112" fillId="13" borderId="1" xfId="0" applyNumberFormat="1" applyFont="1" applyFill="1" applyBorder="1" applyAlignment="1" applyProtection="1">
      <alignment horizontal="center" vertical="center"/>
      <protection hidden="1"/>
    </xf>
    <xf numFmtId="0" fontId="110" fillId="12" borderId="1" xfId="0" applyNumberFormat="1" applyFont="1" applyFill="1" applyBorder="1" applyAlignment="1" applyProtection="1">
      <alignment horizontal="center" vertical="center"/>
      <protection hidden="1"/>
    </xf>
    <xf numFmtId="0" fontId="112" fillId="13" borderId="82" xfId="0" applyNumberFormat="1" applyFont="1" applyFill="1" applyBorder="1" applyAlignment="1" applyProtection="1">
      <alignment horizontal="center" vertical="center"/>
      <protection hidden="1"/>
    </xf>
    <xf numFmtId="0" fontId="132" fillId="12" borderId="178" xfId="0" applyNumberFormat="1" applyFont="1" applyFill="1" applyBorder="1" applyAlignment="1" applyProtection="1">
      <alignment horizontal="center" vertical="center"/>
      <protection hidden="1"/>
    </xf>
    <xf numFmtId="0" fontId="177" fillId="13" borderId="1" xfId="0" applyNumberFormat="1" applyFont="1" applyFill="1" applyBorder="1" applyAlignment="1" applyProtection="1">
      <alignment horizontal="center" vertical="center"/>
      <protection hidden="1"/>
    </xf>
    <xf numFmtId="0" fontId="132" fillId="12" borderId="1" xfId="0" applyNumberFormat="1" applyFont="1" applyFill="1" applyBorder="1" applyAlignment="1" applyProtection="1">
      <alignment horizontal="center" vertical="center"/>
      <protection hidden="1"/>
    </xf>
    <xf numFmtId="0" fontId="177" fillId="13" borderId="82" xfId="0" applyNumberFormat="1" applyFont="1" applyFill="1" applyBorder="1" applyAlignment="1" applyProtection="1">
      <alignment horizontal="center" vertical="center"/>
      <protection hidden="1"/>
    </xf>
    <xf numFmtId="0" fontId="115" fillId="12" borderId="178" xfId="0" applyNumberFormat="1" applyFont="1" applyFill="1" applyBorder="1" applyAlignment="1" applyProtection="1">
      <alignment horizontal="center" vertical="center"/>
      <protection hidden="1"/>
    </xf>
    <xf numFmtId="0" fontId="116" fillId="13" borderId="1" xfId="0" applyNumberFormat="1" applyFont="1" applyFill="1" applyBorder="1" applyAlignment="1" applyProtection="1">
      <alignment horizontal="center" vertical="center"/>
      <protection hidden="1"/>
    </xf>
    <xf numFmtId="0" fontId="115" fillId="12" borderId="1" xfId="0" applyNumberFormat="1" applyFont="1" applyFill="1" applyBorder="1" applyAlignment="1" applyProtection="1">
      <alignment horizontal="center" vertical="center"/>
      <protection hidden="1"/>
    </xf>
    <xf numFmtId="0" fontId="116" fillId="13" borderId="82" xfId="0" applyNumberFormat="1" applyFont="1" applyFill="1" applyBorder="1" applyAlignment="1" applyProtection="1">
      <alignment horizontal="center" vertical="center"/>
      <protection hidden="1"/>
    </xf>
    <xf numFmtId="0" fontId="118" fillId="12" borderId="178" xfId="0" applyNumberFormat="1" applyFont="1" applyFill="1" applyBorder="1" applyAlignment="1" applyProtection="1">
      <alignment horizontal="center" vertical="center"/>
      <protection hidden="1"/>
    </xf>
    <xf numFmtId="0" fontId="119" fillId="13" borderId="1" xfId="0" applyNumberFormat="1" applyFont="1" applyFill="1" applyBorder="1" applyAlignment="1" applyProtection="1">
      <alignment horizontal="center" vertical="center"/>
      <protection hidden="1"/>
    </xf>
    <xf numFmtId="0" fontId="118" fillId="12" borderId="1" xfId="0" applyNumberFormat="1" applyFont="1" applyFill="1" applyBorder="1" applyAlignment="1" applyProtection="1">
      <alignment horizontal="center" vertical="center"/>
      <protection hidden="1"/>
    </xf>
    <xf numFmtId="0" fontId="119" fillId="13" borderId="82" xfId="0" applyNumberFormat="1" applyFont="1" applyFill="1" applyBorder="1" applyAlignment="1" applyProtection="1">
      <alignment horizontal="center" vertical="center"/>
      <protection hidden="1"/>
    </xf>
    <xf numFmtId="0" fontId="120" fillId="12" borderId="178" xfId="0" applyNumberFormat="1" applyFont="1" applyFill="1" applyBorder="1" applyAlignment="1" applyProtection="1">
      <alignment horizontal="center" vertical="center"/>
      <protection hidden="1"/>
    </xf>
    <xf numFmtId="0" fontId="121" fillId="13" borderId="1" xfId="0" applyNumberFormat="1" applyFont="1" applyFill="1" applyBorder="1" applyAlignment="1" applyProtection="1">
      <alignment horizontal="center" vertical="center"/>
      <protection hidden="1"/>
    </xf>
    <xf numFmtId="0" fontId="120" fillId="12" borderId="1" xfId="0" applyNumberFormat="1" applyFont="1" applyFill="1" applyBorder="1" applyAlignment="1" applyProtection="1">
      <alignment horizontal="center" vertical="center"/>
      <protection hidden="1"/>
    </xf>
    <xf numFmtId="0" fontId="121" fillId="13" borderId="82" xfId="0" applyNumberFormat="1" applyFont="1" applyFill="1" applyBorder="1" applyAlignment="1" applyProtection="1">
      <alignment horizontal="center" vertical="center"/>
      <protection hidden="1"/>
    </xf>
    <xf numFmtId="0" fontId="124" fillId="12" borderId="178" xfId="0" applyNumberFormat="1" applyFont="1" applyFill="1" applyBorder="1" applyAlignment="1" applyProtection="1">
      <alignment horizontal="center" vertical="center"/>
      <protection hidden="1"/>
    </xf>
    <xf numFmtId="0" fontId="125" fillId="13" borderId="1" xfId="0" applyNumberFormat="1" applyFont="1" applyFill="1" applyBorder="1" applyAlignment="1" applyProtection="1">
      <alignment horizontal="center" vertical="center"/>
      <protection hidden="1"/>
    </xf>
    <xf numFmtId="0" fontId="124" fillId="12" borderId="1" xfId="0" applyNumberFormat="1" applyFont="1" applyFill="1" applyBorder="1" applyAlignment="1" applyProtection="1">
      <alignment horizontal="center" vertical="center"/>
      <protection hidden="1"/>
    </xf>
    <xf numFmtId="0" fontId="125" fillId="13" borderId="175" xfId="0" applyNumberFormat="1" applyFont="1" applyFill="1" applyBorder="1" applyAlignment="1" applyProtection="1">
      <alignment horizontal="center" vertical="center"/>
      <protection hidden="1"/>
    </xf>
    <xf numFmtId="0" fontId="9" fillId="13" borderId="150" xfId="0" applyFont="1" applyFill="1" applyBorder="1" applyAlignment="1" applyProtection="1">
      <alignment horizontal="left" vertical="center"/>
      <protection hidden="1"/>
    </xf>
    <xf numFmtId="0" fontId="3" fillId="13" borderId="124" xfId="0" applyFont="1" applyFill="1" applyBorder="1" applyAlignment="1" applyProtection="1">
      <alignment horizontal="center" vertical="center" wrapText="1"/>
      <protection hidden="1"/>
    </xf>
    <xf numFmtId="0" fontId="10" fillId="13" borderId="35" xfId="0" applyFont="1" applyFill="1" applyBorder="1" applyAlignment="1" applyProtection="1">
      <alignment horizontal="center" vertical="center" wrapText="1"/>
      <protection hidden="1"/>
    </xf>
    <xf numFmtId="0" fontId="12" fillId="13" borderId="35" xfId="0" applyFont="1" applyFill="1" applyBorder="1" applyAlignment="1" applyProtection="1">
      <alignment horizontal="center" vertical="center" wrapText="1"/>
      <protection hidden="1"/>
    </xf>
    <xf numFmtId="0" fontId="14" fillId="13" borderId="35" xfId="0" applyFont="1" applyFill="1" applyBorder="1" applyAlignment="1" applyProtection="1">
      <alignment horizontal="center" vertical="center" wrapText="1"/>
      <protection hidden="1"/>
    </xf>
    <xf numFmtId="0" fontId="15" fillId="13" borderId="35" xfId="0" applyFont="1" applyFill="1" applyBorder="1" applyAlignment="1" applyProtection="1">
      <alignment horizontal="center" vertical="center" wrapText="1"/>
      <protection hidden="1"/>
    </xf>
    <xf numFmtId="0" fontId="17" fillId="13" borderId="35" xfId="0" applyFont="1" applyFill="1" applyBorder="1" applyAlignment="1" applyProtection="1">
      <alignment horizontal="center" vertical="center" wrapText="1"/>
      <protection hidden="1"/>
    </xf>
    <xf numFmtId="0" fontId="18" fillId="13" borderId="35" xfId="0" applyFont="1" applyFill="1" applyBorder="1" applyAlignment="1" applyProtection="1">
      <alignment horizontal="center" vertical="center" wrapText="1"/>
      <protection hidden="1"/>
    </xf>
    <xf numFmtId="0" fontId="19" fillId="13" borderId="92" xfId="0" applyFont="1" applyFill="1" applyBorder="1" applyAlignment="1" applyProtection="1">
      <alignment horizontal="center" vertical="center" wrapText="1"/>
      <protection hidden="1"/>
    </xf>
    <xf numFmtId="0" fontId="5" fillId="13" borderId="0" xfId="0" applyFont="1" applyFill="1" applyBorder="1" applyAlignment="1" applyProtection="1">
      <alignment horizontal="left" vertical="center" wrapText="1"/>
      <protection hidden="1"/>
    </xf>
    <xf numFmtId="0" fontId="9" fillId="13" borderId="0" xfId="0" applyFont="1" applyFill="1" applyBorder="1" applyAlignment="1" applyProtection="1">
      <alignment horizontal="left" vertical="center" wrapText="1"/>
      <protection hidden="1"/>
    </xf>
    <xf numFmtId="0" fontId="26" fillId="15" borderId="180" xfId="0" applyFont="1" applyFill="1" applyBorder="1" applyAlignment="1" applyProtection="1">
      <alignment horizontal="center" vertical="center"/>
      <protection hidden="1"/>
    </xf>
    <xf numFmtId="0" fontId="32" fillId="12" borderId="179" xfId="0" applyFont="1" applyFill="1" applyBorder="1" applyAlignment="1" applyProtection="1">
      <alignment horizontal="center" vertical="center"/>
      <protection hidden="1"/>
    </xf>
    <xf numFmtId="0" fontId="66" fillId="13" borderId="172" xfId="0" applyFont="1" applyFill="1" applyBorder="1" applyAlignment="1" applyProtection="1">
      <alignment horizontal="center" vertical="center" wrapText="1"/>
      <protection hidden="1"/>
    </xf>
    <xf numFmtId="0" fontId="66" fillId="13" borderId="183" xfId="0" applyFont="1" applyFill="1" applyBorder="1" applyAlignment="1" applyProtection="1">
      <alignment horizontal="center" vertical="center" wrapText="1"/>
      <protection hidden="1"/>
    </xf>
    <xf numFmtId="0" fontId="66" fillId="13" borderId="115" xfId="0" applyFont="1" applyFill="1" applyBorder="1" applyAlignment="1" applyProtection="1">
      <alignment horizontal="center" vertical="center" wrapText="1"/>
      <protection hidden="1"/>
    </xf>
    <xf numFmtId="0" fontId="66" fillId="13" borderId="114" xfId="0" applyFont="1" applyFill="1" applyBorder="1" applyAlignment="1" applyProtection="1">
      <alignment horizontal="center" vertical="center" wrapText="1"/>
      <protection hidden="1"/>
    </xf>
    <xf numFmtId="0" fontId="38" fillId="15" borderId="95" xfId="0" applyFont="1" applyFill="1" applyBorder="1" applyAlignment="1" applyProtection="1">
      <alignment horizontal="center" vertical="center" wrapText="1"/>
      <protection hidden="1"/>
    </xf>
    <xf numFmtId="0" fontId="38" fillId="15" borderId="96" xfId="0" applyFont="1" applyFill="1" applyBorder="1" applyAlignment="1" applyProtection="1">
      <alignment horizontal="center" vertical="center" wrapText="1"/>
      <protection hidden="1"/>
    </xf>
    <xf numFmtId="167" fontId="38" fillId="15" borderId="58" xfId="0" applyNumberFormat="1" applyFont="1" applyFill="1" applyBorder="1" applyAlignment="1" applyProtection="1">
      <alignment horizontal="center" vertical="center" wrapText="1"/>
      <protection hidden="1"/>
    </xf>
    <xf numFmtId="0" fontId="74" fillId="13" borderId="109" xfId="0" applyFont="1" applyFill="1" applyBorder="1" applyAlignment="1" applyProtection="1">
      <alignment horizontal="center" vertical="center" wrapText="1"/>
      <protection hidden="1"/>
    </xf>
    <xf numFmtId="0" fontId="74" fillId="13" borderId="74" xfId="0" applyFont="1" applyFill="1" applyBorder="1" applyAlignment="1" applyProtection="1">
      <alignment horizontal="center" vertical="center" wrapText="1"/>
      <protection hidden="1"/>
    </xf>
    <xf numFmtId="0" fontId="74" fillId="13" borderId="110" xfId="0" applyFont="1" applyFill="1" applyBorder="1" applyAlignment="1" applyProtection="1">
      <alignment horizontal="center" vertical="center" wrapText="1"/>
      <protection hidden="1"/>
    </xf>
    <xf numFmtId="167" fontId="15" fillId="11" borderId="98" xfId="0" applyNumberFormat="1" applyFont="1" applyFill="1" applyBorder="1" applyAlignment="1" applyProtection="1">
      <alignment horizontal="center" vertical="center"/>
      <protection hidden="1"/>
    </xf>
    <xf numFmtId="0" fontId="6" fillId="13" borderId="35" xfId="0" applyFont="1" applyFill="1" applyBorder="1" applyAlignment="1" applyProtection="1">
      <alignment horizontal="center" vertical="center" wrapText="1"/>
      <protection hidden="1"/>
    </xf>
    <xf numFmtId="14" fontId="100" fillId="13" borderId="62" xfId="0" applyNumberFormat="1" applyFont="1" applyFill="1" applyBorder="1" applyAlignment="1" applyProtection="1">
      <alignment horizontal="center" vertical="center" wrapText="1"/>
      <protection hidden="1"/>
    </xf>
    <xf numFmtId="20" fontId="100" fillId="13" borderId="119" xfId="0" applyNumberFormat="1" applyFont="1" applyFill="1" applyBorder="1" applyAlignment="1" applyProtection="1">
      <alignment horizontal="center" vertical="center" wrapText="1"/>
      <protection hidden="1"/>
    </xf>
    <xf numFmtId="0" fontId="100" fillId="13" borderId="19" xfId="0" applyNumberFormat="1" applyFont="1" applyFill="1" applyBorder="1" applyAlignment="1" applyProtection="1">
      <alignment horizontal="center" vertical="center" wrapText="1"/>
      <protection hidden="1"/>
    </xf>
    <xf numFmtId="14" fontId="100" fillId="13" borderId="36" xfId="0" applyNumberFormat="1" applyFont="1" applyFill="1" applyBorder="1" applyAlignment="1" applyProtection="1">
      <alignment horizontal="center" vertical="center" wrapText="1"/>
      <protection hidden="1"/>
    </xf>
    <xf numFmtId="20" fontId="100" fillId="13" borderId="74" xfId="0" applyNumberFormat="1" applyFont="1" applyFill="1" applyBorder="1" applyAlignment="1" applyProtection="1">
      <alignment horizontal="center" vertical="center" wrapText="1"/>
      <protection hidden="1"/>
    </xf>
    <xf numFmtId="174" fontId="24" fillId="13" borderId="156" xfId="0" applyNumberFormat="1" applyFont="1" applyFill="1" applyBorder="1" applyAlignment="1" applyProtection="1">
      <alignment horizontal="center" vertical="center" wrapText="1"/>
      <protection hidden="1"/>
    </xf>
    <xf numFmtId="0" fontId="24" fillId="11" borderId="158" xfId="0" applyFont="1" applyFill="1" applyBorder="1" applyAlignment="1" applyProtection="1">
      <alignment horizontal="center" vertical="center"/>
      <protection hidden="1"/>
    </xf>
    <xf numFmtId="0" fontId="6" fillId="11" borderId="86" xfId="0" applyFont="1" applyFill="1" applyBorder="1" applyAlignment="1" applyProtection="1">
      <alignment horizontal="center" vertical="center"/>
      <protection hidden="1"/>
    </xf>
    <xf numFmtId="0" fontId="66" fillId="13" borderId="41" xfId="0" applyFont="1" applyFill="1" applyBorder="1" applyAlignment="1" applyProtection="1">
      <alignment horizontal="centerContinuous" vertical="center" wrapText="1"/>
      <protection hidden="1"/>
    </xf>
    <xf numFmtId="0" fontId="66" fillId="13" borderId="0" xfId="0" applyFont="1" applyFill="1" applyBorder="1" applyAlignment="1" applyProtection="1">
      <alignment horizontal="centerContinuous" vertical="center"/>
      <protection hidden="1"/>
    </xf>
    <xf numFmtId="0" fontId="66" fillId="13" borderId="109" xfId="0" applyFont="1" applyFill="1" applyBorder="1" applyAlignment="1" applyProtection="1">
      <alignment horizontal="center" vertical="center" wrapText="1"/>
      <protection hidden="1"/>
    </xf>
    <xf numFmtId="0" fontId="66" fillId="13" borderId="109" xfId="0" applyFont="1" applyFill="1" applyBorder="1" applyAlignment="1" applyProtection="1">
      <alignment horizontal="centerContinuous" vertical="center" wrapText="1"/>
      <protection hidden="1"/>
    </xf>
    <xf numFmtId="0" fontId="66" fillId="13" borderId="80" xfId="0" applyFont="1" applyFill="1" applyBorder="1" applyAlignment="1" applyProtection="1">
      <alignment horizontal="centerContinuous" vertical="center" wrapText="1"/>
      <protection hidden="1"/>
    </xf>
    <xf numFmtId="0" fontId="66" fillId="13" borderId="11" xfId="0" applyFont="1" applyFill="1" applyBorder="1" applyAlignment="1" applyProtection="1">
      <alignment horizontal="centerContinuous" vertical="center" wrapText="1"/>
      <protection hidden="1"/>
    </xf>
    <xf numFmtId="0" fontId="66" fillId="13" borderId="35" xfId="0" applyFont="1" applyFill="1" applyBorder="1" applyAlignment="1" applyProtection="1">
      <alignment horizontal="centerContinuous" vertical="center"/>
      <protection hidden="1"/>
    </xf>
    <xf numFmtId="0" fontId="66" fillId="13" borderId="35" xfId="0" applyFont="1" applyFill="1" applyBorder="1" applyAlignment="1" applyProtection="1">
      <alignment horizontal="centerContinuous" vertical="center" wrapText="1"/>
      <protection hidden="1"/>
    </xf>
    <xf numFmtId="0" fontId="66" fillId="13" borderId="74" xfId="0" applyFont="1" applyFill="1" applyBorder="1" applyAlignment="1" applyProtection="1">
      <alignment horizontal="centerContinuous" vertical="center" wrapText="1"/>
      <protection hidden="1"/>
    </xf>
    <xf numFmtId="0" fontId="66" fillId="13" borderId="20" xfId="0" applyFont="1" applyFill="1" applyBorder="1" applyAlignment="1" applyProtection="1">
      <alignment horizontal="centerContinuous" vertical="center" wrapText="1"/>
      <protection hidden="1"/>
    </xf>
    <xf numFmtId="177" fontId="66" fillId="13" borderId="36" xfId="0" applyNumberFormat="1" applyFont="1" applyFill="1" applyBorder="1" applyAlignment="1" applyProtection="1">
      <alignment horizontal="centerContinuous" vertical="center" wrapText="1"/>
      <protection hidden="1"/>
    </xf>
    <xf numFmtId="0" fontId="66" fillId="13" borderId="37" xfId="0" applyFont="1" applyFill="1" applyBorder="1" applyAlignment="1" applyProtection="1">
      <alignment horizontal="centerContinuous" vertical="center" wrapText="1"/>
      <protection hidden="1"/>
    </xf>
    <xf numFmtId="0" fontId="66" fillId="13" borderId="38" xfId="0" applyFont="1" applyFill="1" applyBorder="1" applyAlignment="1" applyProtection="1">
      <alignment horizontal="centerContinuous" vertical="center"/>
      <protection hidden="1"/>
    </xf>
    <xf numFmtId="0" fontId="66" fillId="13" borderId="38" xfId="0" applyFont="1" applyFill="1" applyBorder="1" applyAlignment="1" applyProtection="1">
      <alignment horizontal="centerContinuous" vertical="center" wrapText="1"/>
      <protection hidden="1"/>
    </xf>
    <xf numFmtId="0" fontId="66" fillId="13" borderId="110" xfId="0" applyFont="1" applyFill="1" applyBorder="1" applyAlignment="1" applyProtection="1">
      <alignment horizontal="centerContinuous" vertical="center" wrapText="1"/>
      <protection hidden="1"/>
    </xf>
    <xf numFmtId="0" fontId="66" fillId="13" borderId="51" xfId="0" applyFont="1" applyFill="1" applyBorder="1" applyAlignment="1" applyProtection="1">
      <alignment horizontal="centerContinuous" vertical="center" wrapText="1"/>
      <protection hidden="1"/>
    </xf>
    <xf numFmtId="0" fontId="230" fillId="13" borderId="0" xfId="0" applyFont="1" applyFill="1" applyBorder="1" applyProtection="1">
      <alignment vertical="center"/>
      <protection hidden="1"/>
    </xf>
    <xf numFmtId="0" fontId="230" fillId="13" borderId="95" xfId="0" applyFont="1" applyFill="1" applyBorder="1" applyProtection="1">
      <alignment vertical="center"/>
      <protection hidden="1"/>
    </xf>
    <xf numFmtId="0" fontId="230" fillId="13" borderId="15" xfId="0" applyFont="1" applyFill="1" applyBorder="1" applyProtection="1">
      <alignment vertical="center"/>
      <protection hidden="1"/>
    </xf>
    <xf numFmtId="0" fontId="21" fillId="12" borderId="8" xfId="0" applyFont="1" applyFill="1" applyBorder="1" applyAlignment="1" applyProtection="1">
      <alignment horizontal="center" vertical="center" wrapText="1"/>
      <protection hidden="1"/>
    </xf>
    <xf numFmtId="0" fontId="21" fillId="13" borderId="8" xfId="0" applyFont="1" applyFill="1" applyBorder="1" applyAlignment="1" applyProtection="1">
      <alignment horizontal="center" vertical="center" wrapText="1"/>
      <protection hidden="1"/>
    </xf>
    <xf numFmtId="0" fontId="21" fillId="11" borderId="8" xfId="0" applyFont="1" applyFill="1" applyBorder="1" applyAlignment="1" applyProtection="1">
      <alignment horizontal="center" vertical="center" wrapText="1"/>
      <protection hidden="1"/>
    </xf>
    <xf numFmtId="0" fontId="21" fillId="13" borderId="167" xfId="0" applyFont="1" applyFill="1" applyBorder="1" applyAlignment="1" applyProtection="1">
      <alignment horizontal="center" vertical="center" wrapText="1"/>
      <protection hidden="1"/>
    </xf>
    <xf numFmtId="0" fontId="202" fillId="13" borderId="113" xfId="0" applyNumberFormat="1" applyFont="1" applyFill="1" applyBorder="1" applyAlignment="1" applyProtection="1">
      <alignment horizontal="center" vertical="center"/>
      <protection hidden="1"/>
    </xf>
    <xf numFmtId="0" fontId="202" fillId="13" borderId="191" xfId="0" applyNumberFormat="1" applyFont="1" applyFill="1" applyBorder="1" applyAlignment="1" applyProtection="1">
      <alignment horizontal="center" vertical="center"/>
      <protection hidden="1"/>
    </xf>
    <xf numFmtId="0" fontId="225" fillId="13" borderId="156" xfId="0" applyNumberFormat="1" applyFont="1" applyFill="1" applyBorder="1" applyAlignment="1" applyProtection="1">
      <alignment horizontal="center" vertical="center"/>
      <protection hidden="1"/>
    </xf>
    <xf numFmtId="0" fontId="225" fillId="13" borderId="2" xfId="0" applyNumberFormat="1" applyFont="1" applyFill="1" applyBorder="1" applyAlignment="1" applyProtection="1">
      <alignment horizontal="center" vertical="center"/>
      <protection hidden="1"/>
    </xf>
    <xf numFmtId="0" fontId="121" fillId="13" borderId="74" xfId="0" applyNumberFormat="1" applyFont="1" applyFill="1" applyBorder="1" applyAlignment="1" applyProtection="1">
      <alignment horizontal="left" vertical="center"/>
      <protection hidden="1"/>
    </xf>
    <xf numFmtId="167" fontId="15" fillId="13" borderId="173" xfId="0" applyNumberFormat="1" applyFont="1" applyFill="1" applyBorder="1" applyAlignment="1" applyProtection="1">
      <alignment horizontal="center" vertical="center" wrapText="1"/>
      <protection hidden="1"/>
    </xf>
    <xf numFmtId="0" fontId="15" fillId="12" borderId="115" xfId="0" applyFont="1" applyFill="1" applyBorder="1" applyAlignment="1" applyProtection="1">
      <alignment horizontal="center" vertical="center" wrapText="1"/>
      <protection hidden="1"/>
    </xf>
    <xf numFmtId="0" fontId="15" fillId="13" borderId="115" xfId="0" applyFont="1" applyFill="1" applyBorder="1" applyAlignment="1" applyProtection="1">
      <alignment horizontal="center" vertical="center" wrapText="1"/>
      <protection hidden="1"/>
    </xf>
    <xf numFmtId="0" fontId="15" fillId="12" borderId="173" xfId="0" applyNumberFormat="1" applyFont="1" applyFill="1" applyBorder="1" applyAlignment="1" applyProtection="1">
      <alignment horizontal="center" vertical="center" wrapText="1"/>
      <protection hidden="1"/>
    </xf>
    <xf numFmtId="0" fontId="15" fillId="13" borderId="114" xfId="0" applyFont="1" applyFill="1" applyBorder="1" applyAlignment="1" applyProtection="1">
      <alignment horizontal="center" vertical="center" wrapText="1"/>
      <protection hidden="1"/>
    </xf>
    <xf numFmtId="0" fontId="202" fillId="13" borderId="69" xfId="0" applyNumberFormat="1" applyFont="1" applyFill="1" applyBorder="1" applyAlignment="1" applyProtection="1">
      <alignment horizontal="center" vertical="center"/>
      <protection hidden="1"/>
    </xf>
    <xf numFmtId="0" fontId="225" fillId="13" borderId="20" xfId="0" applyNumberFormat="1" applyFont="1" applyFill="1" applyBorder="1" applyAlignment="1" applyProtection="1">
      <alignment horizontal="center" vertical="center"/>
      <protection hidden="1"/>
    </xf>
    <xf numFmtId="0" fontId="202" fillId="13" borderId="102" xfId="0" applyNumberFormat="1" applyFont="1" applyFill="1" applyBorder="1" applyAlignment="1" applyProtection="1">
      <alignment horizontal="center" vertical="center"/>
      <protection hidden="1"/>
    </xf>
    <xf numFmtId="0" fontId="225" fillId="13" borderId="61" xfId="0" applyNumberFormat="1" applyFont="1" applyFill="1" applyBorder="1" applyAlignment="1" applyProtection="1">
      <alignment horizontal="center" vertical="center"/>
      <protection hidden="1"/>
    </xf>
    <xf numFmtId="0" fontId="21" fillId="13" borderId="0" xfId="0" applyFont="1" applyFill="1" applyAlignment="1" applyProtection="1">
      <alignment horizontal="center" vertical="center" wrapText="1"/>
      <protection hidden="1"/>
    </xf>
    <xf numFmtId="0" fontId="225" fillId="13" borderId="61" xfId="0" applyFont="1" applyFill="1" applyBorder="1" applyAlignment="1" applyProtection="1">
      <alignment horizontal="center" vertical="center"/>
      <protection hidden="1"/>
    </xf>
    <xf numFmtId="0" fontId="225" fillId="13" borderId="36" xfId="0" applyNumberFormat="1" applyFont="1" applyFill="1" applyBorder="1" applyAlignment="1" applyProtection="1">
      <alignment horizontal="center" vertical="center"/>
      <protection hidden="1"/>
    </xf>
    <xf numFmtId="0" fontId="225" fillId="13" borderId="1" xfId="0" applyFont="1" applyFill="1" applyBorder="1" applyAlignment="1" applyProtection="1">
      <alignment horizontal="center" vertical="center"/>
      <protection hidden="1"/>
    </xf>
    <xf numFmtId="167" fontId="176" fillId="13" borderId="54" xfId="0" applyNumberFormat="1" applyFont="1" applyFill="1" applyBorder="1" applyAlignment="1" applyProtection="1">
      <alignment horizontal="center" vertical="center" wrapText="1"/>
      <protection hidden="1"/>
    </xf>
    <xf numFmtId="167" fontId="176" fillId="13" borderId="36" xfId="0" applyNumberFormat="1" applyFont="1" applyFill="1" applyBorder="1" applyAlignment="1" applyProtection="1">
      <alignment horizontal="center" vertical="center" wrapText="1"/>
      <protection hidden="1"/>
    </xf>
    <xf numFmtId="167" fontId="176" fillId="13" borderId="39" xfId="0" applyNumberFormat="1" applyFont="1" applyFill="1" applyBorder="1" applyAlignment="1" applyProtection="1">
      <alignment horizontal="center" vertical="center" wrapText="1"/>
      <protection hidden="1"/>
    </xf>
    <xf numFmtId="0" fontId="164" fillId="13" borderId="20" xfId="0" applyNumberFormat="1" applyFont="1" applyFill="1" applyBorder="1" applyAlignment="1" applyProtection="1">
      <alignment horizontal="centerContinuous" vertical="center" wrapText="1"/>
      <protection hidden="1"/>
    </xf>
    <xf numFmtId="167" fontId="217" fillId="11" borderId="35" xfId="0" applyNumberFormat="1" applyFont="1" applyFill="1" applyBorder="1" applyAlignment="1" applyProtection="1">
      <alignment horizontal="center" vertical="center" wrapText="1"/>
      <protection hidden="1"/>
    </xf>
    <xf numFmtId="167" fontId="218" fillId="13" borderId="35" xfId="0" applyNumberFormat="1" applyFont="1" applyFill="1" applyBorder="1" applyAlignment="1" applyProtection="1">
      <alignment horizontal="center" vertical="center" wrapText="1"/>
      <protection hidden="1"/>
    </xf>
    <xf numFmtId="167" fontId="219" fillId="11" borderId="35" xfId="0" applyNumberFormat="1" applyFont="1" applyFill="1" applyBorder="1" applyAlignment="1" applyProtection="1">
      <alignment horizontal="center" vertical="center" wrapText="1"/>
      <protection hidden="1"/>
    </xf>
    <xf numFmtId="167" fontId="220" fillId="13" borderId="35" xfId="0" applyNumberFormat="1" applyFont="1" applyFill="1" applyBorder="1" applyAlignment="1" applyProtection="1">
      <alignment horizontal="center" vertical="center" wrapText="1"/>
      <protection hidden="1"/>
    </xf>
    <xf numFmtId="167" fontId="32" fillId="13" borderId="48" xfId="0" applyNumberFormat="1" applyFont="1" applyFill="1" applyBorder="1" applyAlignment="1" applyProtection="1">
      <alignment horizontal="center" vertical="center" wrapText="1"/>
      <protection hidden="1"/>
    </xf>
    <xf numFmtId="0" fontId="24" fillId="12" borderId="133" xfId="0" applyNumberFormat="1" applyFont="1" applyFill="1" applyBorder="1" applyAlignment="1" applyProtection="1">
      <alignment horizontal="center" vertical="center" wrapText="1"/>
      <protection hidden="1"/>
    </xf>
    <xf numFmtId="0" fontId="24" fillId="12" borderId="169" xfId="0" applyNumberFormat="1" applyFont="1" applyFill="1" applyBorder="1" applyAlignment="1" applyProtection="1">
      <alignment horizontal="center" vertical="center" wrapText="1"/>
      <protection hidden="1"/>
    </xf>
    <xf numFmtId="0" fontId="24" fillId="12" borderId="25" xfId="0" applyNumberFormat="1" applyFont="1" applyFill="1" applyBorder="1" applyAlignment="1" applyProtection="1">
      <alignment horizontal="center" vertical="center" wrapText="1"/>
      <protection hidden="1"/>
    </xf>
    <xf numFmtId="0" fontId="24" fillId="12" borderId="139" xfId="0" applyNumberFormat="1" applyFont="1" applyFill="1" applyBorder="1" applyAlignment="1" applyProtection="1">
      <alignment horizontal="center" vertical="center" wrapText="1"/>
      <protection hidden="1"/>
    </xf>
    <xf numFmtId="0" fontId="172" fillId="13" borderId="61" xfId="0" applyFont="1" applyFill="1" applyBorder="1" applyAlignment="1" applyProtection="1">
      <alignment horizontal="centerContinuous" vertical="center"/>
      <protection hidden="1"/>
    </xf>
    <xf numFmtId="0" fontId="172" fillId="13" borderId="162" xfId="0" applyFont="1" applyFill="1" applyBorder="1" applyAlignment="1" applyProtection="1">
      <alignment horizontal="centerContinuous" vertical="center"/>
      <protection hidden="1"/>
    </xf>
    <xf numFmtId="0" fontId="172" fillId="12" borderId="35" xfId="0" applyFont="1" applyFill="1" applyBorder="1" applyAlignment="1" applyProtection="1">
      <alignment horizontal="center" vertical="center" wrapText="1"/>
      <protection hidden="1"/>
    </xf>
    <xf numFmtId="0" fontId="172" fillId="12" borderId="36" xfId="0" applyFont="1" applyFill="1" applyBorder="1" applyAlignment="1" applyProtection="1">
      <alignment horizontal="center" vertical="center" wrapText="1"/>
      <protection hidden="1"/>
    </xf>
    <xf numFmtId="167" fontId="172" fillId="12" borderId="121" xfId="0" applyNumberFormat="1" applyFont="1" applyFill="1" applyBorder="1" applyAlignment="1" applyProtection="1">
      <alignment horizontal="center" vertical="center" wrapText="1"/>
      <protection hidden="1"/>
    </xf>
    <xf numFmtId="167" fontId="172" fillId="12" borderId="62" xfId="0" applyNumberFormat="1" applyFont="1" applyFill="1" applyBorder="1" applyAlignment="1" applyProtection="1">
      <alignment horizontal="center" vertical="center" wrapText="1"/>
      <protection hidden="1"/>
    </xf>
    <xf numFmtId="167" fontId="172" fillId="12" borderId="35" xfId="0" applyNumberFormat="1" applyFont="1" applyFill="1" applyBorder="1" applyAlignment="1" applyProtection="1">
      <alignment horizontal="center" vertical="center" wrapText="1"/>
      <protection hidden="1"/>
    </xf>
    <xf numFmtId="167" fontId="172" fillId="12" borderId="36" xfId="0" applyNumberFormat="1" applyFont="1" applyFill="1" applyBorder="1" applyAlignment="1" applyProtection="1">
      <alignment horizontal="center" vertical="center" wrapText="1"/>
      <protection hidden="1"/>
    </xf>
    <xf numFmtId="167" fontId="172" fillId="12" borderId="95" xfId="0" applyNumberFormat="1" applyFont="1" applyFill="1" applyBorder="1" applyAlignment="1" applyProtection="1">
      <alignment horizontal="center" vertical="center" wrapText="1"/>
      <protection hidden="1"/>
    </xf>
    <xf numFmtId="167" fontId="172" fillId="12" borderId="64" xfId="0" applyNumberFormat="1" applyFont="1" applyFill="1" applyBorder="1" applyAlignment="1" applyProtection="1">
      <alignment horizontal="center" vertical="center" wrapText="1"/>
      <protection hidden="1"/>
    </xf>
    <xf numFmtId="0" fontId="172" fillId="12" borderId="61" xfId="0" applyFont="1" applyFill="1" applyBorder="1" applyAlignment="1" applyProtection="1">
      <alignment horizontal="centerContinuous" vertical="center"/>
      <protection hidden="1"/>
    </xf>
    <xf numFmtId="21" fontId="24" fillId="13" borderId="6" xfId="0" applyNumberFormat="1" applyFont="1" applyFill="1" applyBorder="1" applyAlignment="1" applyProtection="1">
      <alignment horizontal="center" vertical="center"/>
      <protection hidden="1"/>
    </xf>
    <xf numFmtId="0" fontId="172" fillId="13" borderId="7" xfId="0" applyNumberFormat="1" applyFont="1" applyFill="1" applyBorder="1" applyAlignment="1" applyProtection="1">
      <alignment horizontal="center" vertical="center"/>
      <protection hidden="1"/>
    </xf>
    <xf numFmtId="0" fontId="24" fillId="13" borderId="8" xfId="0" applyFont="1" applyFill="1" applyBorder="1" applyAlignment="1" applyProtection="1">
      <alignment horizontal="center" vertical="center"/>
      <protection hidden="1"/>
    </xf>
    <xf numFmtId="164" fontId="24" fillId="13" borderId="3" xfId="0" applyNumberFormat="1" applyFont="1" applyFill="1" applyBorder="1" applyAlignment="1" applyProtection="1">
      <alignment horizontal="center" vertical="center"/>
      <protection hidden="1"/>
    </xf>
    <xf numFmtId="0" fontId="6" fillId="12" borderId="16" xfId="0" applyFont="1" applyFill="1" applyBorder="1" applyAlignment="1" applyProtection="1">
      <alignment horizontal="center" vertical="center"/>
      <protection hidden="1"/>
    </xf>
    <xf numFmtId="0" fontId="6" fillId="12" borderId="1" xfId="0" applyFont="1" applyFill="1" applyBorder="1" applyAlignment="1" applyProtection="1">
      <alignment horizontal="center" vertical="center"/>
      <protection hidden="1"/>
    </xf>
    <xf numFmtId="0" fontId="6" fillId="12" borderId="2" xfId="0" applyFont="1" applyFill="1" applyBorder="1" applyAlignment="1" applyProtection="1">
      <alignment horizontal="center" vertical="center"/>
      <protection hidden="1"/>
    </xf>
    <xf numFmtId="0" fontId="6" fillId="12" borderId="3" xfId="0" applyFont="1" applyFill="1" applyBorder="1" applyAlignment="1" applyProtection="1">
      <alignment horizontal="center" vertical="center"/>
      <protection hidden="1"/>
    </xf>
    <xf numFmtId="0" fontId="6" fillId="12" borderId="8" xfId="0" applyNumberFormat="1" applyFont="1" applyFill="1" applyBorder="1" applyAlignment="1" applyProtection="1">
      <alignment horizontal="center" vertical="center"/>
      <protection hidden="1"/>
    </xf>
    <xf numFmtId="0" fontId="6" fillId="12" borderId="5" xfId="0" applyFont="1" applyFill="1" applyBorder="1" applyAlignment="1" applyProtection="1">
      <alignment horizontal="center" vertical="center"/>
      <protection hidden="1"/>
    </xf>
    <xf numFmtId="0" fontId="172" fillId="12" borderId="7" xfId="0" applyFont="1" applyFill="1" applyBorder="1" applyAlignment="1" applyProtection="1">
      <alignment horizontal="center" vertical="center"/>
      <protection hidden="1"/>
    </xf>
    <xf numFmtId="164" fontId="24" fillId="12" borderId="8" xfId="0" applyNumberFormat="1" applyFont="1" applyFill="1" applyBorder="1" applyAlignment="1" applyProtection="1">
      <alignment horizontal="center" vertical="center"/>
      <protection hidden="1"/>
    </xf>
    <xf numFmtId="0" fontId="24" fillId="12" borderId="7" xfId="0" applyNumberFormat="1" applyFont="1" applyFill="1" applyBorder="1" applyAlignment="1" applyProtection="1">
      <alignment horizontal="center" vertical="center"/>
      <protection hidden="1"/>
    </xf>
    <xf numFmtId="0" fontId="172" fillId="12" borderId="8" xfId="0" applyNumberFormat="1" applyFont="1" applyFill="1" applyBorder="1" applyAlignment="1" applyProtection="1">
      <alignment horizontal="center" vertical="center"/>
      <protection hidden="1"/>
    </xf>
    <xf numFmtId="0" fontId="6" fillId="12" borderId="83" xfId="0" applyFont="1" applyFill="1" applyBorder="1" applyAlignment="1" applyProtection="1">
      <alignment horizontal="center" vertical="center"/>
      <protection hidden="1"/>
    </xf>
    <xf numFmtId="0" fontId="6" fillId="12" borderId="4" xfId="0" applyFont="1" applyFill="1" applyBorder="1" applyAlignment="1" applyProtection="1">
      <alignment horizontal="center" vertical="center"/>
      <protection hidden="1"/>
    </xf>
    <xf numFmtId="0" fontId="6" fillId="12" borderId="27" xfId="0" applyFont="1" applyFill="1" applyBorder="1" applyAlignment="1" applyProtection="1">
      <alignment horizontal="center" vertical="center"/>
      <protection hidden="1"/>
    </xf>
    <xf numFmtId="0" fontId="6" fillId="12" borderId="9" xfId="0" applyFont="1" applyFill="1" applyBorder="1" applyAlignment="1" applyProtection="1">
      <alignment horizontal="center" vertical="center"/>
      <protection hidden="1"/>
    </xf>
    <xf numFmtId="0" fontId="102" fillId="13" borderId="35" xfId="0" applyNumberFormat="1" applyFont="1" applyFill="1" applyBorder="1" applyAlignment="1" applyProtection="1">
      <alignment horizontal="centerContinuous" vertical="center" wrapText="1"/>
      <protection hidden="1"/>
    </xf>
    <xf numFmtId="167" fontId="216" fillId="13" borderId="124" xfId="0" applyNumberFormat="1" applyFont="1" applyFill="1" applyBorder="1" applyAlignment="1" applyProtection="1">
      <alignment horizontal="center" vertical="center" wrapText="1"/>
      <protection hidden="1"/>
    </xf>
    <xf numFmtId="167" fontId="216" fillId="13" borderId="35" xfId="0" applyNumberFormat="1" applyFont="1" applyFill="1" applyBorder="1" applyAlignment="1" applyProtection="1">
      <alignment horizontal="center" vertical="center" wrapText="1"/>
      <protection hidden="1"/>
    </xf>
    <xf numFmtId="167" fontId="221" fillId="13" borderId="35" xfId="0" applyNumberFormat="1" applyFont="1" applyFill="1" applyBorder="1" applyAlignment="1" applyProtection="1">
      <alignment horizontal="center" vertical="center" wrapText="1"/>
      <protection hidden="1"/>
    </xf>
    <xf numFmtId="167" fontId="221" fillId="13" borderId="38" xfId="0" applyNumberFormat="1" applyFont="1" applyFill="1" applyBorder="1" applyAlignment="1" applyProtection="1">
      <alignment horizontal="center" vertical="center" wrapText="1"/>
      <protection hidden="1"/>
    </xf>
    <xf numFmtId="0" fontId="16" fillId="13" borderId="90" xfId="0" applyNumberFormat="1" applyFont="1" applyFill="1" applyBorder="1" applyAlignment="1" applyProtection="1">
      <alignment horizontal="center" vertical="center" wrapText="1"/>
      <protection hidden="1"/>
    </xf>
    <xf numFmtId="0" fontId="125" fillId="13" borderId="37" xfId="0" applyNumberFormat="1" applyFont="1" applyFill="1" applyBorder="1" applyAlignment="1" applyProtection="1">
      <alignment horizontal="center" vertical="center"/>
      <protection hidden="1"/>
    </xf>
    <xf numFmtId="0" fontId="71" fillId="13" borderId="41" xfId="0" applyFont="1" applyFill="1" applyBorder="1" applyAlignment="1" applyProtection="1">
      <alignment vertical="center" wrapText="1"/>
      <protection hidden="1"/>
    </xf>
    <xf numFmtId="0" fontId="71" fillId="13" borderId="0" xfId="0" applyFont="1" applyFill="1" applyBorder="1" applyAlignment="1" applyProtection="1">
      <alignment vertical="center" wrapText="1"/>
      <protection hidden="1"/>
    </xf>
    <xf numFmtId="0" fontId="71" fillId="13" borderId="15" xfId="0" applyFont="1" applyFill="1" applyBorder="1" applyAlignment="1" applyProtection="1">
      <alignment vertical="center" wrapText="1"/>
      <protection hidden="1"/>
    </xf>
    <xf numFmtId="0" fontId="8" fillId="13" borderId="116" xfId="0" applyFont="1" applyFill="1" applyBorder="1" applyAlignment="1" applyProtection="1">
      <alignment horizontal="center" vertical="center" wrapText="1"/>
      <protection hidden="1"/>
    </xf>
    <xf numFmtId="167" fontId="53" fillId="13" borderId="49" xfId="0" applyNumberFormat="1" applyFont="1" applyFill="1" applyBorder="1" applyAlignment="1" applyProtection="1">
      <alignment horizontal="centerContinuous" vertical="center" wrapText="1"/>
      <protection hidden="1"/>
    </xf>
    <xf numFmtId="167" fontId="53" fillId="13" borderId="1" xfId="0" applyNumberFormat="1" applyFont="1" applyFill="1" applyBorder="1" applyAlignment="1" applyProtection="1">
      <alignment horizontal="centerContinuous" vertical="center" wrapText="1"/>
      <protection hidden="1"/>
    </xf>
    <xf numFmtId="0" fontId="53" fillId="13" borderId="16" xfId="0" applyFont="1" applyFill="1" applyBorder="1" applyAlignment="1" applyProtection="1">
      <alignment horizontal="center" vertical="center" wrapText="1"/>
      <protection hidden="1"/>
    </xf>
    <xf numFmtId="0" fontId="174" fillId="13" borderId="36" xfId="0" applyNumberFormat="1" applyFont="1" applyFill="1" applyBorder="1" applyAlignment="1" applyProtection="1">
      <alignment horizontal="center" vertical="center"/>
      <protection hidden="1"/>
    </xf>
    <xf numFmtId="167" fontId="174" fillId="13" borderId="1" xfId="0" applyNumberFormat="1" applyFont="1" applyFill="1" applyBorder="1" applyAlignment="1" applyProtection="1">
      <alignment horizontal="center" vertical="center"/>
      <protection hidden="1"/>
    </xf>
    <xf numFmtId="0" fontId="74" fillId="12" borderId="5" xfId="0" applyFont="1" applyFill="1" applyBorder="1" applyAlignment="1" applyProtection="1">
      <alignment horizontal="center" vertical="center"/>
      <protection hidden="1"/>
    </xf>
    <xf numFmtId="0" fontId="74" fillId="13" borderId="8" xfId="0" applyFont="1" applyFill="1" applyBorder="1" applyAlignment="1" applyProtection="1">
      <alignment horizontal="center" vertical="center"/>
      <protection hidden="1"/>
    </xf>
    <xf numFmtId="0" fontId="74" fillId="12" borderId="8" xfId="0" applyFont="1" applyFill="1" applyBorder="1" applyAlignment="1" applyProtection="1">
      <alignment horizontal="center" vertical="center"/>
      <protection hidden="1"/>
    </xf>
    <xf numFmtId="0" fontId="74" fillId="13" borderId="167" xfId="0" applyFont="1" applyFill="1" applyBorder="1" applyAlignment="1" applyProtection="1">
      <alignment horizontal="center" vertical="center"/>
      <protection hidden="1"/>
    </xf>
    <xf numFmtId="0" fontId="74" fillId="12" borderId="164" xfId="0" applyFont="1" applyFill="1" applyBorder="1" applyAlignment="1" applyProtection="1">
      <alignment horizontal="center" vertical="center"/>
      <protection hidden="1"/>
    </xf>
    <xf numFmtId="0" fontId="74" fillId="13" borderId="168" xfId="0" applyFont="1" applyFill="1" applyBorder="1" applyAlignment="1" applyProtection="1">
      <alignment horizontal="center" vertical="center"/>
      <protection hidden="1"/>
    </xf>
    <xf numFmtId="0" fontId="176" fillId="13" borderId="54" xfId="0" applyNumberFormat="1" applyFont="1" applyFill="1" applyBorder="1" applyAlignment="1" applyProtection="1">
      <alignment horizontal="center" vertical="center" wrapText="1"/>
      <protection hidden="1"/>
    </xf>
    <xf numFmtId="0" fontId="176" fillId="13" borderId="36" xfId="0" applyNumberFormat="1" applyFont="1" applyFill="1" applyBorder="1" applyAlignment="1" applyProtection="1">
      <alignment horizontal="center" vertical="center" wrapText="1"/>
      <protection hidden="1"/>
    </xf>
    <xf numFmtId="0" fontId="176" fillId="13" borderId="39" xfId="0" applyNumberFormat="1" applyFont="1" applyFill="1" applyBorder="1" applyAlignment="1" applyProtection="1">
      <alignment horizontal="center" vertical="center" wrapText="1"/>
      <protection hidden="1"/>
    </xf>
    <xf numFmtId="0" fontId="21" fillId="13" borderId="50" xfId="0" applyFont="1" applyFill="1" applyBorder="1" applyAlignment="1" applyProtection="1">
      <alignment horizontal="center" vertical="center" wrapText="1"/>
      <protection hidden="1"/>
    </xf>
    <xf numFmtId="0" fontId="23" fillId="13" borderId="16" xfId="0" applyNumberFormat="1" applyFont="1" applyFill="1" applyBorder="1" applyAlignment="1" applyProtection="1">
      <alignment horizontal="center" vertical="center" wrapText="1"/>
      <protection hidden="1"/>
    </xf>
    <xf numFmtId="0" fontId="23" fillId="13" borderId="35" xfId="0" applyNumberFormat="1" applyFont="1" applyFill="1" applyBorder="1" applyAlignment="1" applyProtection="1">
      <alignment horizontal="left" vertical="center" wrapText="1"/>
      <protection hidden="1"/>
    </xf>
    <xf numFmtId="0" fontId="69" fillId="11" borderId="14" xfId="0" applyFont="1" applyFill="1" applyBorder="1" applyAlignment="1" applyProtection="1">
      <alignment horizontal="center" vertical="center" wrapText="1"/>
      <protection hidden="1"/>
    </xf>
    <xf numFmtId="0" fontId="69" fillId="11" borderId="50" xfId="0" applyFont="1" applyFill="1" applyBorder="1" applyAlignment="1" applyProtection="1">
      <alignment horizontal="center" vertical="center" wrapText="1"/>
      <protection hidden="1"/>
    </xf>
    <xf numFmtId="0" fontId="78" fillId="13" borderId="135" xfId="0" applyFont="1" applyFill="1" applyBorder="1" applyAlignment="1" applyProtection="1">
      <alignment horizontal="centerContinuous" vertical="center"/>
      <protection hidden="1"/>
    </xf>
    <xf numFmtId="0" fontId="78" fillId="13" borderId="129" xfId="0" applyFont="1" applyFill="1" applyBorder="1" applyAlignment="1" applyProtection="1">
      <alignment horizontal="centerContinuous" vertical="center"/>
      <protection hidden="1"/>
    </xf>
    <xf numFmtId="0" fontId="78" fillId="13" borderId="126" xfId="0" applyFont="1" applyFill="1" applyBorder="1" applyAlignment="1" applyProtection="1">
      <alignment horizontal="centerContinuous" vertical="center"/>
      <protection hidden="1"/>
    </xf>
    <xf numFmtId="0" fontId="78" fillId="13" borderId="194" xfId="0" applyFont="1" applyFill="1" applyBorder="1" applyAlignment="1" applyProtection="1">
      <alignment horizontal="centerContinuous" vertical="center"/>
      <protection hidden="1"/>
    </xf>
    <xf numFmtId="0" fontId="69" fillId="13" borderId="103" xfId="0" applyFont="1" applyFill="1" applyBorder="1" applyAlignment="1" applyProtection="1">
      <alignment horizontal="center" vertical="center" wrapText="1"/>
      <protection hidden="1"/>
    </xf>
    <xf numFmtId="0" fontId="21" fillId="13" borderId="0" xfId="0" applyFont="1" applyFill="1" applyBorder="1" applyAlignment="1" applyProtection="1">
      <alignment horizontal="center" vertical="center"/>
      <protection hidden="1"/>
    </xf>
    <xf numFmtId="0" fontId="237" fillId="13" borderId="41" xfId="0" applyFont="1" applyFill="1" applyBorder="1" applyAlignment="1" applyProtection="1">
      <alignment horizontal="centerContinuous" vertical="center" wrapText="1"/>
      <protection hidden="1"/>
    </xf>
    <xf numFmtId="0" fontId="242" fillId="13" borderId="41" xfId="0" applyFont="1" applyFill="1" applyBorder="1" applyAlignment="1" applyProtection="1">
      <alignment horizontal="centerContinuous" vertical="center" wrapText="1"/>
      <protection hidden="1"/>
    </xf>
    <xf numFmtId="165" fontId="237" fillId="13" borderId="42" xfId="0" applyNumberFormat="1" applyFont="1" applyFill="1" applyBorder="1" applyAlignment="1" applyProtection="1">
      <alignment horizontal="centerContinuous" vertical="center" wrapText="1"/>
      <protection hidden="1"/>
    </xf>
    <xf numFmtId="167" fontId="237" fillId="13" borderId="109" xfId="0" applyNumberFormat="1" applyFont="1" applyFill="1" applyBorder="1" applyAlignment="1" applyProtection="1">
      <alignment horizontal="center" vertical="center"/>
      <protection hidden="1"/>
    </xf>
    <xf numFmtId="0" fontId="237" fillId="13" borderId="35" xfId="0" applyFont="1" applyFill="1" applyBorder="1" applyAlignment="1" applyProtection="1">
      <alignment horizontal="centerContinuous" vertical="center" wrapText="1"/>
      <protection hidden="1"/>
    </xf>
    <xf numFmtId="0" fontId="242" fillId="13" borderId="35" xfId="0" applyFont="1" applyFill="1" applyBorder="1" applyAlignment="1" applyProtection="1">
      <alignment horizontal="centerContinuous" vertical="center" wrapText="1"/>
      <protection hidden="1"/>
    </xf>
    <xf numFmtId="165" fontId="237" fillId="13" borderId="36" xfId="0" applyNumberFormat="1" applyFont="1" applyFill="1" applyBorder="1" applyAlignment="1" applyProtection="1">
      <alignment horizontal="centerContinuous" vertical="center" wrapText="1"/>
      <protection hidden="1"/>
    </xf>
    <xf numFmtId="167" fontId="237" fillId="13" borderId="74" xfId="0" applyNumberFormat="1" applyFont="1" applyFill="1" applyBorder="1" applyAlignment="1" applyProtection="1">
      <alignment horizontal="center" vertical="center"/>
      <protection hidden="1"/>
    </xf>
    <xf numFmtId="0" fontId="28" fillId="16" borderId="40" xfId="0" applyFont="1" applyFill="1" applyBorder="1" applyAlignment="1" applyProtection="1">
      <alignment horizontal="center" vertical="center" wrapText="1"/>
      <protection hidden="1"/>
    </xf>
    <xf numFmtId="0" fontId="56" fillId="13" borderId="188" xfId="0" applyFont="1" applyFill="1" applyBorder="1" applyAlignment="1" applyProtection="1">
      <alignment horizontal="center" vertical="center" wrapText="1"/>
      <protection hidden="1"/>
    </xf>
    <xf numFmtId="0" fontId="21" fillId="13" borderId="141" xfId="0" applyFont="1" applyFill="1" applyBorder="1" applyAlignment="1" applyProtection="1">
      <alignment horizontal="center" vertical="center" wrapText="1"/>
      <protection hidden="1"/>
    </xf>
    <xf numFmtId="0" fontId="11" fillId="20" borderId="44" xfId="0" applyFont="1" applyFill="1" applyBorder="1" applyAlignment="1" applyProtection="1">
      <alignment horizontal="center" vertical="center" wrapText="1"/>
      <protection hidden="1"/>
    </xf>
    <xf numFmtId="0" fontId="21" fillId="20" borderId="43" xfId="0" applyFont="1" applyFill="1" applyBorder="1" applyAlignment="1" applyProtection="1">
      <alignment horizontal="center" vertical="center" wrapText="1"/>
      <protection hidden="1"/>
    </xf>
    <xf numFmtId="0" fontId="5" fillId="20" borderId="0" xfId="0" applyFont="1" applyFill="1" applyAlignment="1" applyProtection="1">
      <alignment horizontal="center" vertical="center"/>
      <protection hidden="1"/>
    </xf>
    <xf numFmtId="0" fontId="21" fillId="20" borderId="43" xfId="0" applyFont="1" applyFill="1" applyBorder="1" applyAlignment="1" applyProtection="1">
      <alignment horizontal="center" vertical="center"/>
      <protection hidden="1"/>
    </xf>
    <xf numFmtId="0" fontId="21" fillId="13" borderId="43" xfId="5" applyFont="1" applyFill="1" applyBorder="1" applyAlignment="1" applyProtection="1">
      <alignment horizontal="center" vertical="center" wrapText="1"/>
      <protection hidden="1"/>
    </xf>
    <xf numFmtId="0" fontId="21" fillId="13" borderId="136" xfId="0" applyFont="1" applyFill="1" applyBorder="1" applyAlignment="1" applyProtection="1">
      <alignment horizontal="center" vertical="center" wrapText="1"/>
      <protection hidden="1"/>
    </xf>
    <xf numFmtId="0" fontId="74" fillId="13" borderId="17" xfId="0" applyFont="1" applyFill="1" applyBorder="1" applyAlignment="1" applyProtection="1">
      <alignment horizontal="center" vertical="center" wrapText="1"/>
      <protection hidden="1"/>
    </xf>
    <xf numFmtId="167" fontId="69" fillId="11" borderId="84" xfId="0" applyNumberFormat="1" applyFont="1" applyFill="1" applyBorder="1" applyAlignment="1" applyProtection="1">
      <alignment horizontal="center" vertical="center" wrapText="1"/>
      <protection hidden="1"/>
    </xf>
    <xf numFmtId="0" fontId="109" fillId="12" borderId="69" xfId="0" applyNumberFormat="1" applyFont="1" applyFill="1" applyBorder="1" applyAlignment="1" applyProtection="1">
      <alignment horizontal="left" vertical="center"/>
      <protection hidden="1"/>
    </xf>
    <xf numFmtId="0" fontId="109" fillId="12" borderId="20" xfId="0" applyNumberFormat="1" applyFont="1" applyFill="1" applyBorder="1" applyAlignment="1" applyProtection="1">
      <alignment horizontal="left" vertical="center"/>
      <protection hidden="1"/>
    </xf>
    <xf numFmtId="0" fontId="116" fillId="12" borderId="20" xfId="0" applyNumberFormat="1" applyFont="1" applyFill="1" applyBorder="1" applyAlignment="1" applyProtection="1">
      <alignment horizontal="left" vertical="center"/>
      <protection hidden="1"/>
    </xf>
    <xf numFmtId="0" fontId="118" fillId="12" borderId="70" xfId="0" applyNumberFormat="1" applyFont="1" applyFill="1" applyBorder="1" applyAlignment="1" applyProtection="1">
      <alignment horizontal="left" vertical="center"/>
      <protection hidden="1"/>
    </xf>
    <xf numFmtId="0" fontId="69" fillId="13" borderId="188" xfId="0" applyFont="1" applyFill="1" applyBorder="1" applyAlignment="1" applyProtection="1">
      <alignment horizontal="center" vertical="center" wrapText="1"/>
      <protection hidden="1"/>
    </xf>
    <xf numFmtId="0" fontId="21" fillId="13" borderId="131" xfId="0" applyFont="1" applyFill="1" applyBorder="1" applyAlignment="1" applyProtection="1">
      <alignment horizontal="center" vertical="center" wrapText="1"/>
      <protection hidden="1"/>
    </xf>
    <xf numFmtId="0" fontId="21" fillId="13" borderId="197" xfId="0" applyFont="1" applyFill="1" applyBorder="1" applyAlignment="1" applyProtection="1">
      <alignment horizontal="center" vertical="center" wrapText="1"/>
      <protection hidden="1"/>
    </xf>
    <xf numFmtId="1" fontId="21" fillId="13" borderId="197" xfId="0" applyNumberFormat="1" applyFont="1" applyFill="1" applyBorder="1" applyAlignment="1" applyProtection="1">
      <alignment horizontal="center" vertical="center" wrapText="1"/>
      <protection hidden="1"/>
    </xf>
    <xf numFmtId="168" fontId="21" fillId="13" borderId="107" xfId="0" applyNumberFormat="1" applyFont="1" applyFill="1" applyBorder="1" applyAlignment="1" applyProtection="1">
      <alignment horizontal="center" vertical="center" wrapText="1"/>
      <protection hidden="1"/>
    </xf>
    <xf numFmtId="0" fontId="11" fillId="13" borderId="107" xfId="0" applyFont="1" applyFill="1" applyBorder="1" applyAlignment="1" applyProtection="1">
      <alignment horizontal="center" vertical="center" wrapText="1"/>
      <protection hidden="1"/>
    </xf>
    <xf numFmtId="0" fontId="66" fillId="13" borderId="197" xfId="0" applyFont="1" applyFill="1" applyBorder="1" applyAlignment="1" applyProtection="1">
      <alignment horizontal="center" vertical="center" wrapText="1"/>
      <protection hidden="1"/>
    </xf>
    <xf numFmtId="0" fontId="21" fillId="13" borderId="199" xfId="0" applyFont="1" applyFill="1" applyBorder="1" applyAlignment="1" applyProtection="1">
      <alignment horizontal="center" vertical="center" wrapText="1"/>
      <protection hidden="1"/>
    </xf>
    <xf numFmtId="0" fontId="21" fillId="13" borderId="41" xfId="0" applyFont="1" applyFill="1" applyBorder="1" applyProtection="1">
      <alignment vertical="center"/>
      <protection hidden="1"/>
    </xf>
    <xf numFmtId="0" fontId="55" fillId="13" borderId="94" xfId="0" applyFont="1" applyFill="1" applyBorder="1" applyAlignment="1" applyProtection="1">
      <alignment horizontal="center" vertical="center"/>
      <protection hidden="1"/>
    </xf>
    <xf numFmtId="0" fontId="55" fillId="13" borderId="64" xfId="0" applyFont="1" applyFill="1" applyBorder="1" applyAlignment="1" applyProtection="1">
      <alignment horizontal="center" vertical="center"/>
      <protection hidden="1"/>
    </xf>
    <xf numFmtId="0" fontId="55" fillId="13" borderId="60" xfId="0" applyFont="1" applyFill="1" applyBorder="1" applyAlignment="1" applyProtection="1">
      <alignment horizontal="center" vertical="center"/>
      <protection hidden="1"/>
    </xf>
    <xf numFmtId="0" fontId="6" fillId="13" borderId="51" xfId="0" applyFont="1" applyFill="1" applyBorder="1" applyAlignment="1" applyProtection="1">
      <alignment horizontal="center" vertical="center"/>
      <protection hidden="1"/>
    </xf>
    <xf numFmtId="0" fontId="6" fillId="11" borderId="54" xfId="0" applyFont="1" applyFill="1" applyBorder="1" applyAlignment="1" applyProtection="1">
      <alignment horizontal="center" vertical="center"/>
      <protection hidden="1"/>
    </xf>
    <xf numFmtId="0" fontId="6" fillId="11" borderId="63" xfId="0" applyFont="1" applyFill="1" applyBorder="1" applyAlignment="1" applyProtection="1">
      <alignment horizontal="center" vertical="center"/>
      <protection hidden="1"/>
    </xf>
    <xf numFmtId="0" fontId="6" fillId="11" borderId="39" xfId="0" applyFont="1" applyFill="1" applyBorder="1" applyAlignment="1" applyProtection="1">
      <alignment horizontal="center" vertical="center"/>
      <protection hidden="1"/>
    </xf>
    <xf numFmtId="1" fontId="55" fillId="11" borderId="58" xfId="0" applyNumberFormat="1" applyFont="1" applyFill="1" applyBorder="1" applyAlignment="1" applyProtection="1">
      <alignment horizontal="center" vertical="center"/>
      <protection hidden="1"/>
    </xf>
    <xf numFmtId="1" fontId="55" fillId="11" borderId="116" xfId="0" applyNumberFormat="1" applyFont="1" applyFill="1" applyBorder="1" applyAlignment="1" applyProtection="1">
      <alignment horizontal="center" vertical="center"/>
      <protection hidden="1"/>
    </xf>
    <xf numFmtId="0" fontId="55" fillId="13" borderId="42" xfId="0" applyFont="1" applyFill="1" applyBorder="1" applyAlignment="1" applyProtection="1">
      <alignment horizontal="center" vertical="center"/>
      <protection hidden="1"/>
    </xf>
    <xf numFmtId="0" fontId="6" fillId="11" borderId="80" xfId="0" applyFont="1" applyFill="1" applyBorder="1" applyAlignment="1" applyProtection="1">
      <alignment horizontal="center" vertical="center"/>
      <protection hidden="1"/>
    </xf>
    <xf numFmtId="0" fontId="55" fillId="11" borderId="39" xfId="0" applyNumberFormat="1" applyFont="1" applyFill="1" applyBorder="1" applyAlignment="1" applyProtection="1">
      <alignment horizontal="center" vertical="center"/>
      <protection hidden="1"/>
    </xf>
    <xf numFmtId="0" fontId="66" fillId="13" borderId="110" xfId="0" applyFont="1" applyFill="1" applyBorder="1" applyAlignment="1" applyProtection="1">
      <alignment horizontal="center" vertical="center" wrapText="1"/>
      <protection hidden="1"/>
    </xf>
    <xf numFmtId="0" fontId="21" fillId="13" borderId="184" xfId="0" applyNumberFormat="1" applyFont="1" applyFill="1" applyBorder="1" applyAlignment="1" applyProtection="1">
      <alignment horizontal="center" vertical="center" wrapText="1"/>
      <protection hidden="1"/>
    </xf>
    <xf numFmtId="0" fontId="6" fillId="13" borderId="196" xfId="0" applyFont="1" applyFill="1" applyBorder="1" applyAlignment="1" applyProtection="1">
      <alignment horizontal="center" vertical="center" wrapText="1"/>
      <protection hidden="1"/>
    </xf>
    <xf numFmtId="0" fontId="6" fillId="13" borderId="132" xfId="0" applyFont="1" applyFill="1" applyBorder="1" applyAlignment="1" applyProtection="1">
      <alignment horizontal="center" vertical="center" wrapText="1"/>
      <protection hidden="1"/>
    </xf>
    <xf numFmtId="0" fontId="11" fillId="13" borderId="198" xfId="0" applyFont="1" applyFill="1" applyBorder="1" applyAlignment="1" applyProtection="1">
      <alignment horizontal="center" vertical="center" wrapText="1"/>
      <protection hidden="1"/>
    </xf>
    <xf numFmtId="0" fontId="23" fillId="13" borderId="38" xfId="0" applyNumberFormat="1" applyFont="1" applyFill="1" applyBorder="1" applyAlignment="1" applyProtection="1">
      <alignment horizontal="left" vertical="center" wrapText="1"/>
      <protection hidden="1"/>
    </xf>
    <xf numFmtId="0" fontId="164" fillId="13" borderId="51" xfId="0" applyNumberFormat="1" applyFont="1" applyFill="1" applyBorder="1" applyAlignment="1" applyProtection="1">
      <alignment horizontal="centerContinuous" vertical="center" wrapText="1"/>
      <protection hidden="1"/>
    </xf>
    <xf numFmtId="0" fontId="66" fillId="13" borderId="74" xfId="0" applyFont="1" applyFill="1" applyBorder="1" applyAlignment="1" applyProtection="1">
      <alignment horizontal="center" vertical="center" wrapText="1"/>
      <protection hidden="1"/>
    </xf>
    <xf numFmtId="0" fontId="32" fillId="8" borderId="172" xfId="0" applyFont="1" applyFill="1" applyBorder="1" applyAlignment="1" applyProtection="1">
      <alignment horizontal="center" vertical="center" wrapText="1"/>
      <protection hidden="1"/>
    </xf>
    <xf numFmtId="0" fontId="32" fillId="13" borderId="72" xfId="0" applyFont="1" applyFill="1" applyBorder="1" applyAlignment="1" applyProtection="1">
      <alignment horizontal="center" vertical="center" wrapText="1"/>
      <protection hidden="1"/>
    </xf>
    <xf numFmtId="0" fontId="5" fillId="13" borderId="67" xfId="0" applyFont="1" applyFill="1" applyBorder="1" applyAlignment="1" applyProtection="1">
      <alignment horizontal="left" vertical="center"/>
      <protection hidden="1"/>
    </xf>
    <xf numFmtId="0" fontId="5" fillId="13" borderId="68" xfId="0" applyFont="1" applyFill="1" applyBorder="1" applyAlignment="1" applyProtection="1">
      <alignment horizontal="left" vertical="center"/>
      <protection hidden="1"/>
    </xf>
    <xf numFmtId="0" fontId="32" fillId="13" borderId="16" xfId="0" applyFont="1" applyFill="1" applyBorder="1" applyAlignment="1" applyProtection="1">
      <alignment horizontal="center" vertical="center" wrapText="1"/>
      <protection hidden="1"/>
    </xf>
    <xf numFmtId="0" fontId="32" fillId="13" borderId="63" xfId="0" applyFont="1" applyFill="1" applyBorder="1" applyAlignment="1" applyProtection="1">
      <alignment horizontal="center" vertical="center" wrapText="1"/>
      <protection hidden="1"/>
    </xf>
    <xf numFmtId="164" fontId="225" fillId="12" borderId="86" xfId="0" applyNumberFormat="1" applyFont="1" applyFill="1" applyBorder="1" applyAlignment="1" applyProtection="1">
      <alignment horizontal="center" vertical="center"/>
      <protection hidden="1"/>
    </xf>
    <xf numFmtId="167" fontId="225" fillId="12" borderId="54" xfId="0" applyNumberFormat="1" applyFont="1" applyFill="1" applyBorder="1" applyAlignment="1" applyProtection="1">
      <alignment horizontal="center" vertical="center"/>
      <protection hidden="1"/>
    </xf>
    <xf numFmtId="167" fontId="225" fillId="12" borderId="42" xfId="0" applyNumberFormat="1" applyFont="1" applyFill="1" applyBorder="1" applyAlignment="1" applyProtection="1">
      <alignment horizontal="center" vertical="center"/>
      <protection hidden="1"/>
    </xf>
    <xf numFmtId="0" fontId="225" fillId="13" borderId="36" xfId="0" applyFont="1" applyFill="1" applyBorder="1" applyAlignment="1" applyProtection="1">
      <alignment horizontal="center" vertical="center"/>
      <protection hidden="1"/>
    </xf>
    <xf numFmtId="0" fontId="225" fillId="13" borderId="36" xfId="0" applyFont="1" applyFill="1" applyBorder="1" applyAlignment="1" applyProtection="1">
      <alignment horizontal="center" vertical="center" wrapText="1"/>
      <protection hidden="1"/>
    </xf>
    <xf numFmtId="0" fontId="225" fillId="12" borderId="35" xfId="0" applyFont="1" applyFill="1" applyBorder="1" applyAlignment="1" applyProtection="1">
      <alignment horizontal="center" vertical="center"/>
      <protection hidden="1"/>
    </xf>
    <xf numFmtId="0" fontId="225" fillId="12" borderId="36" xfId="0" applyFont="1" applyFill="1" applyBorder="1" applyAlignment="1" applyProtection="1">
      <alignment horizontal="center" vertical="center"/>
      <protection hidden="1"/>
    </xf>
    <xf numFmtId="0" fontId="225" fillId="12" borderId="36" xfId="0" applyNumberFormat="1" applyFont="1" applyFill="1" applyBorder="1" applyAlignment="1" applyProtection="1">
      <alignment horizontal="center" vertical="center"/>
      <protection hidden="1"/>
    </xf>
    <xf numFmtId="0" fontId="225" fillId="13" borderId="35" xfId="0" applyFont="1" applyFill="1" applyBorder="1" applyAlignment="1" applyProtection="1">
      <alignment horizontal="center" vertical="center"/>
      <protection hidden="1"/>
    </xf>
    <xf numFmtId="0" fontId="225" fillId="13" borderId="64" xfId="0" applyFont="1" applyFill="1" applyBorder="1" applyAlignment="1" applyProtection="1">
      <alignment horizontal="center" vertical="center" wrapText="1"/>
      <protection hidden="1"/>
    </xf>
    <xf numFmtId="0" fontId="225" fillId="12" borderId="38" xfId="0" applyNumberFormat="1" applyFont="1" applyFill="1" applyBorder="1" applyAlignment="1" applyProtection="1">
      <alignment horizontal="center" vertical="center"/>
      <protection hidden="1"/>
    </xf>
    <xf numFmtId="0" fontId="225" fillId="12" borderId="39" xfId="0" applyNumberFormat="1" applyFont="1" applyFill="1" applyBorder="1" applyAlignment="1" applyProtection="1">
      <alignment horizontal="center" vertical="center"/>
      <protection hidden="1"/>
    </xf>
    <xf numFmtId="0" fontId="225" fillId="12" borderId="39" xfId="0" applyFont="1" applyFill="1" applyBorder="1" applyAlignment="1" applyProtection="1">
      <alignment horizontal="center" vertical="center" wrapText="1"/>
      <protection hidden="1"/>
    </xf>
    <xf numFmtId="0" fontId="11" fillId="13" borderId="46" xfId="0" applyFont="1" applyFill="1" applyBorder="1" applyAlignment="1" applyProtection="1">
      <alignment horizontal="center" vertical="center" wrapText="1"/>
      <protection hidden="1"/>
    </xf>
    <xf numFmtId="167" fontId="91" fillId="13" borderId="88" xfId="0" applyNumberFormat="1" applyFont="1" applyFill="1" applyBorder="1" applyAlignment="1" applyProtection="1">
      <alignment horizontal="centerContinuous" vertical="center" wrapText="1"/>
      <protection hidden="1"/>
    </xf>
    <xf numFmtId="0" fontId="91" fillId="13" borderId="90" xfId="0" applyNumberFormat="1" applyFont="1" applyFill="1" applyBorder="1" applyAlignment="1" applyProtection="1">
      <alignment horizontal="center" vertical="center"/>
      <protection hidden="1"/>
    </xf>
    <xf numFmtId="0" fontId="91" fillId="13" borderId="90" xfId="0" applyNumberFormat="1" applyFont="1" applyFill="1" applyBorder="1" applyAlignment="1" applyProtection="1">
      <alignment horizontal="centerContinuous" vertical="center" wrapText="1"/>
      <protection hidden="1"/>
    </xf>
    <xf numFmtId="174" fontId="91" fillId="13" borderId="90" xfId="0" applyNumberFormat="1" applyFont="1" applyFill="1" applyBorder="1" applyAlignment="1" applyProtection="1">
      <alignment horizontal="centerContinuous" vertical="center" wrapText="1"/>
      <protection hidden="1"/>
    </xf>
    <xf numFmtId="0" fontId="91" fillId="13" borderId="23" xfId="0" applyNumberFormat="1" applyFont="1" applyFill="1" applyBorder="1" applyAlignment="1" applyProtection="1">
      <alignment horizontal="center" vertical="center"/>
      <protection hidden="1"/>
    </xf>
    <xf numFmtId="167" fontId="58" fillId="13" borderId="88" xfId="0" applyNumberFormat="1" applyFont="1" applyFill="1" applyBorder="1" applyAlignment="1" applyProtection="1">
      <alignment horizontal="centerContinuous" vertical="center" wrapText="1"/>
      <protection hidden="1"/>
    </xf>
    <xf numFmtId="0" fontId="58" fillId="13" borderId="90" xfId="0" applyNumberFormat="1" applyFont="1" applyFill="1" applyBorder="1" applyAlignment="1" applyProtection="1">
      <alignment horizontal="center" vertical="center"/>
      <protection hidden="1"/>
    </xf>
    <xf numFmtId="0" fontId="58" fillId="13" borderId="90" xfId="0" applyNumberFormat="1" applyFont="1" applyFill="1" applyBorder="1" applyAlignment="1" applyProtection="1">
      <alignment horizontal="centerContinuous" vertical="center" wrapText="1"/>
      <protection hidden="1"/>
    </xf>
    <xf numFmtId="174" fontId="58" fillId="13" borderId="90" xfId="0" applyNumberFormat="1" applyFont="1" applyFill="1" applyBorder="1" applyAlignment="1" applyProtection="1">
      <alignment horizontal="centerContinuous" vertical="center" wrapText="1"/>
      <protection hidden="1"/>
    </xf>
    <xf numFmtId="0" fontId="58" fillId="13" borderId="23" xfId="0" applyNumberFormat="1" applyFont="1" applyFill="1" applyBorder="1" applyAlignment="1" applyProtection="1">
      <alignment horizontal="center" vertical="center"/>
      <protection hidden="1"/>
    </xf>
    <xf numFmtId="167" fontId="205" fillId="13" borderId="88" xfId="0" applyNumberFormat="1" applyFont="1" applyFill="1" applyBorder="1" applyAlignment="1" applyProtection="1">
      <alignment horizontal="centerContinuous" vertical="center" wrapText="1"/>
      <protection hidden="1"/>
    </xf>
    <xf numFmtId="0" fontId="205" fillId="13" borderId="90" xfId="0" applyNumberFormat="1" applyFont="1" applyFill="1" applyBorder="1" applyAlignment="1" applyProtection="1">
      <alignment horizontal="center" vertical="center"/>
      <protection hidden="1"/>
    </xf>
    <xf numFmtId="0" fontId="205" fillId="13" borderId="90" xfId="0" applyNumberFormat="1" applyFont="1" applyFill="1" applyBorder="1" applyAlignment="1" applyProtection="1">
      <alignment horizontal="centerContinuous" vertical="center" wrapText="1"/>
      <protection hidden="1"/>
    </xf>
    <xf numFmtId="174" fontId="205" fillId="13" borderId="90" xfId="0" applyNumberFormat="1" applyFont="1" applyFill="1" applyBorder="1" applyAlignment="1" applyProtection="1">
      <alignment horizontal="centerContinuous" vertical="center" wrapText="1"/>
      <protection hidden="1"/>
    </xf>
    <xf numFmtId="0" fontId="205" fillId="13" borderId="23" xfId="0" applyNumberFormat="1" applyFont="1" applyFill="1" applyBorder="1" applyAlignment="1" applyProtection="1">
      <alignment horizontal="center" vertical="center"/>
      <protection hidden="1"/>
    </xf>
    <xf numFmtId="167" fontId="204" fillId="12" borderId="81" xfId="0" applyNumberFormat="1" applyFont="1" applyFill="1" applyBorder="1" applyAlignment="1" applyProtection="1">
      <alignment horizontal="center" vertical="center"/>
      <protection hidden="1"/>
    </xf>
    <xf numFmtId="167" fontId="204" fillId="12" borderId="1" xfId="0" applyNumberFormat="1" applyFont="1" applyFill="1" applyBorder="1" applyAlignment="1" applyProtection="1">
      <alignment horizontal="center" vertical="center"/>
      <protection hidden="1"/>
    </xf>
    <xf numFmtId="0" fontId="204" fillId="12" borderId="175" xfId="0" applyFont="1" applyFill="1" applyBorder="1" applyAlignment="1" applyProtection="1">
      <alignment horizontal="center" vertical="center" wrapText="1"/>
      <protection hidden="1"/>
    </xf>
    <xf numFmtId="167" fontId="208" fillId="12" borderId="81" xfId="0" applyNumberFormat="1" applyFont="1" applyFill="1" applyBorder="1" applyAlignment="1" applyProtection="1">
      <alignment horizontal="center" vertical="center"/>
      <protection hidden="1"/>
    </xf>
    <xf numFmtId="167" fontId="208" fillId="12" borderId="1" xfId="0" applyNumberFormat="1" applyFont="1" applyFill="1" applyBorder="1" applyAlignment="1" applyProtection="1">
      <alignment horizontal="center" vertical="center"/>
      <protection hidden="1"/>
    </xf>
    <xf numFmtId="0" fontId="208" fillId="12" borderId="175" xfId="0" applyFont="1" applyFill="1" applyBorder="1" applyAlignment="1" applyProtection="1">
      <alignment horizontal="center" vertical="center" wrapText="1"/>
      <protection hidden="1"/>
    </xf>
    <xf numFmtId="167" fontId="203" fillId="12" borderId="81" xfId="0" applyNumberFormat="1" applyFont="1" applyFill="1" applyBorder="1" applyAlignment="1" applyProtection="1">
      <alignment horizontal="center" vertical="center"/>
      <protection hidden="1"/>
    </xf>
    <xf numFmtId="167" fontId="203" fillId="12" borderId="1" xfId="0" applyNumberFormat="1" applyFont="1" applyFill="1" applyBorder="1" applyAlignment="1" applyProtection="1">
      <alignment horizontal="center" vertical="center"/>
      <protection hidden="1"/>
    </xf>
    <xf numFmtId="0" fontId="203" fillId="12" borderId="175" xfId="0" applyFont="1" applyFill="1" applyBorder="1" applyAlignment="1" applyProtection="1">
      <alignment horizontal="center" vertical="center" wrapText="1"/>
      <protection hidden="1"/>
    </xf>
    <xf numFmtId="167" fontId="225" fillId="12" borderId="81" xfId="0" applyNumberFormat="1" applyFont="1" applyFill="1" applyBorder="1" applyAlignment="1" applyProtection="1">
      <alignment horizontal="center" vertical="center"/>
      <protection hidden="1"/>
    </xf>
    <xf numFmtId="167" fontId="225" fillId="12" borderId="1" xfId="0" applyNumberFormat="1" applyFont="1" applyFill="1" applyBorder="1" applyAlignment="1" applyProtection="1">
      <alignment horizontal="center" vertical="center"/>
      <protection hidden="1"/>
    </xf>
    <xf numFmtId="0" fontId="225" fillId="12" borderId="175" xfId="0" applyFont="1" applyFill="1" applyBorder="1" applyAlignment="1" applyProtection="1">
      <alignment horizontal="center" vertical="center" wrapText="1"/>
      <protection hidden="1"/>
    </xf>
    <xf numFmtId="167" fontId="186" fillId="13" borderId="39" xfId="0" applyNumberFormat="1" applyFont="1" applyFill="1" applyBorder="1" applyAlignment="1" applyProtection="1">
      <alignment horizontal="center" vertical="center"/>
      <protection hidden="1"/>
    </xf>
    <xf numFmtId="167" fontId="186" fillId="12" borderId="64" xfId="0" applyNumberFormat="1" applyFont="1" applyFill="1" applyBorder="1" applyAlignment="1" applyProtection="1">
      <alignment horizontal="center" vertical="center"/>
      <protection hidden="1"/>
    </xf>
    <xf numFmtId="0" fontId="60" fillId="13" borderId="90" xfId="0" applyNumberFormat="1" applyFont="1" applyFill="1" applyBorder="1" applyAlignment="1" applyProtection="1">
      <alignment horizontal="center" vertical="center"/>
      <protection hidden="1"/>
    </xf>
    <xf numFmtId="0" fontId="100" fillId="13" borderId="95" xfId="0" applyNumberFormat="1" applyFont="1" applyFill="1" applyBorder="1" applyAlignment="1" applyProtection="1">
      <alignment horizontal="center" vertical="center" wrapText="1"/>
      <protection hidden="1"/>
    </xf>
    <xf numFmtId="14" fontId="100" fillId="13" borderId="64" xfId="0" applyNumberFormat="1" applyFont="1" applyFill="1" applyBorder="1" applyAlignment="1" applyProtection="1">
      <alignment horizontal="center" vertical="center" wrapText="1"/>
      <protection hidden="1"/>
    </xf>
    <xf numFmtId="20" fontId="100" fillId="13" borderId="103" xfId="0" applyNumberFormat="1" applyFont="1" applyFill="1" applyBorder="1" applyAlignment="1" applyProtection="1">
      <alignment horizontal="center" vertical="center" wrapText="1"/>
      <protection hidden="1"/>
    </xf>
    <xf numFmtId="0" fontId="100" fillId="13" borderId="58" xfId="0" applyNumberFormat="1" applyFont="1" applyFill="1" applyBorder="1" applyAlignment="1" applyProtection="1">
      <alignment horizontal="center" vertical="center" wrapText="1"/>
      <protection hidden="1"/>
    </xf>
    <xf numFmtId="0" fontId="23" fillId="13" borderId="124" xfId="0" applyNumberFormat="1" applyFont="1" applyFill="1" applyBorder="1" applyAlignment="1" applyProtection="1">
      <alignment horizontal="left" vertical="center" wrapText="1"/>
      <protection hidden="1"/>
    </xf>
    <xf numFmtId="0" fontId="125" fillId="13" borderId="50" xfId="0" applyNumberFormat="1" applyFont="1" applyFill="1" applyBorder="1" applyAlignment="1" applyProtection="1">
      <alignment horizontal="left" vertical="center"/>
      <protection hidden="1"/>
    </xf>
    <xf numFmtId="0" fontId="24" fillId="12" borderId="170" xfId="0" applyNumberFormat="1" applyFont="1" applyFill="1" applyBorder="1" applyAlignment="1" applyProtection="1">
      <alignment horizontal="center" vertical="center" wrapText="1"/>
      <protection hidden="1"/>
    </xf>
    <xf numFmtId="0" fontId="172" fillId="13" borderId="19" xfId="0" applyFont="1" applyFill="1" applyBorder="1" applyAlignment="1" applyProtection="1">
      <alignment horizontal="center" vertical="center" wrapText="1"/>
      <protection hidden="1"/>
    </xf>
    <xf numFmtId="0" fontId="172" fillId="12" borderId="20" xfId="0" applyFont="1" applyFill="1" applyBorder="1" applyAlignment="1" applyProtection="1">
      <alignment horizontal="center" vertical="center" wrapText="1"/>
      <protection hidden="1"/>
    </xf>
    <xf numFmtId="0" fontId="172" fillId="13" borderId="20" xfId="0" applyFont="1" applyFill="1" applyBorder="1" applyAlignment="1" applyProtection="1">
      <alignment horizontal="center" vertical="center" wrapText="1"/>
      <protection hidden="1"/>
    </xf>
    <xf numFmtId="0" fontId="172" fillId="13" borderId="56" xfId="0" applyFont="1" applyFill="1" applyBorder="1" applyAlignment="1" applyProtection="1">
      <alignment horizontal="center" vertical="center" wrapText="1"/>
      <protection hidden="1"/>
    </xf>
    <xf numFmtId="167" fontId="172" fillId="12" borderId="19" xfId="0" applyNumberFormat="1" applyFont="1" applyFill="1" applyBorder="1" applyAlignment="1" applyProtection="1">
      <alignment horizontal="centerContinuous" vertical="center" wrapText="1"/>
      <protection hidden="1"/>
    </xf>
    <xf numFmtId="167" fontId="172" fillId="13" borderId="20" xfId="0" applyNumberFormat="1" applyFont="1" applyFill="1" applyBorder="1" applyAlignment="1" applyProtection="1">
      <alignment horizontal="center" vertical="center" wrapText="1"/>
      <protection hidden="1"/>
    </xf>
    <xf numFmtId="167" fontId="172" fillId="12" borderId="20" xfId="0" applyNumberFormat="1" applyFont="1" applyFill="1" applyBorder="1" applyAlignment="1" applyProtection="1">
      <alignment horizontal="centerContinuous" vertical="center" wrapText="1"/>
      <protection hidden="1"/>
    </xf>
    <xf numFmtId="167" fontId="172" fillId="13" borderId="20" xfId="0" applyNumberFormat="1" applyFont="1" applyFill="1" applyBorder="1" applyAlignment="1" applyProtection="1">
      <alignment horizontal="centerContinuous" vertical="center" wrapText="1"/>
      <protection hidden="1"/>
    </xf>
    <xf numFmtId="167" fontId="172" fillId="12" borderId="51" xfId="0" applyNumberFormat="1" applyFont="1" applyFill="1" applyBorder="1" applyAlignment="1" applyProtection="1">
      <alignment horizontal="centerContinuous" vertical="center" wrapText="1"/>
      <protection hidden="1"/>
    </xf>
    <xf numFmtId="0" fontId="24" fillId="13" borderId="190" xfId="0" applyNumberFormat="1" applyFont="1" applyFill="1" applyBorder="1" applyAlignment="1" applyProtection="1">
      <alignment horizontal="center" vertical="center" wrapText="1"/>
      <protection hidden="1"/>
    </xf>
    <xf numFmtId="0" fontId="172" fillId="13" borderId="29" xfId="0" applyFont="1" applyFill="1" applyBorder="1" applyAlignment="1" applyProtection="1">
      <alignment horizontal="centerContinuous" vertical="center"/>
      <protection hidden="1"/>
    </xf>
    <xf numFmtId="0" fontId="172" fillId="13" borderId="165" xfId="0" applyFont="1" applyFill="1" applyBorder="1" applyAlignment="1" applyProtection="1">
      <alignment horizontal="centerContinuous" vertical="center"/>
      <protection hidden="1"/>
    </xf>
    <xf numFmtId="0" fontId="11" fillId="13" borderId="46" xfId="0" applyNumberFormat="1" applyFont="1" applyFill="1" applyBorder="1" applyAlignment="1" applyProtection="1">
      <alignment horizontal="centerContinuous" vertical="center" wrapText="1"/>
      <protection hidden="1"/>
    </xf>
    <xf numFmtId="0" fontId="172" fillId="13" borderId="43" xfId="0" applyFont="1" applyFill="1" applyBorder="1" applyAlignment="1" applyProtection="1">
      <alignment horizontal="centerContinuous" vertical="center" wrapText="1"/>
      <protection hidden="1"/>
    </xf>
    <xf numFmtId="0" fontId="172" fillId="13" borderId="44" xfId="0" applyFont="1" applyFill="1" applyBorder="1" applyAlignment="1" applyProtection="1">
      <alignment horizontal="centerContinuous" vertical="center" wrapText="1"/>
      <protection hidden="1"/>
    </xf>
    <xf numFmtId="167" fontId="33" fillId="13" borderId="40" xfId="0" applyNumberFormat="1" applyFont="1" applyFill="1" applyBorder="1" applyAlignment="1" applyProtection="1">
      <alignment horizontal="center" vertical="center" wrapText="1"/>
      <protection hidden="1"/>
    </xf>
    <xf numFmtId="0" fontId="33" fillId="13" borderId="13" xfId="0" applyNumberFormat="1" applyFont="1" applyFill="1" applyBorder="1" applyAlignment="1" applyProtection="1">
      <alignment horizontal="center" vertical="center" wrapText="1"/>
      <protection hidden="1"/>
    </xf>
    <xf numFmtId="0" fontId="100" fillId="13" borderId="11" xfId="0" applyNumberFormat="1" applyFont="1" applyFill="1" applyBorder="1" applyAlignment="1" applyProtection="1">
      <alignment horizontal="center" vertical="center" wrapText="1"/>
      <protection hidden="1"/>
    </xf>
    <xf numFmtId="0" fontId="6" fillId="12" borderId="173" xfId="0" applyNumberFormat="1" applyFont="1" applyFill="1" applyBorder="1" applyAlignment="1" applyProtection="1">
      <alignment horizontal="center" vertical="center" wrapText="1"/>
      <protection hidden="1"/>
    </xf>
    <xf numFmtId="167" fontId="69" fillId="11" borderId="47" xfId="0" applyNumberFormat="1" applyFont="1" applyFill="1" applyBorder="1" applyAlignment="1" applyProtection="1">
      <alignment horizontal="center" vertical="center" wrapText="1"/>
      <protection hidden="1"/>
    </xf>
    <xf numFmtId="167" fontId="69" fillId="13" borderId="47" xfId="0" applyNumberFormat="1" applyFont="1" applyFill="1" applyBorder="1" applyAlignment="1" applyProtection="1">
      <alignment horizontal="center" vertical="center" wrapText="1"/>
      <protection hidden="1"/>
    </xf>
    <xf numFmtId="167" fontId="69" fillId="11" borderId="202" xfId="0" applyNumberFormat="1" applyFont="1" applyFill="1" applyBorder="1" applyAlignment="1" applyProtection="1">
      <alignment horizontal="center" vertical="center" wrapText="1"/>
      <protection hidden="1"/>
    </xf>
    <xf numFmtId="167" fontId="69" fillId="13" borderId="201" xfId="0" applyNumberFormat="1" applyFont="1" applyFill="1" applyBorder="1" applyAlignment="1" applyProtection="1">
      <alignment horizontal="center" vertical="center" wrapText="1"/>
      <protection hidden="1"/>
    </xf>
    <xf numFmtId="167" fontId="117" fillId="11" borderId="13" xfId="0" applyNumberFormat="1" applyFont="1" applyFill="1" applyBorder="1" applyAlignment="1" applyProtection="1">
      <alignment horizontal="center" vertical="center"/>
      <protection hidden="1"/>
    </xf>
    <xf numFmtId="0" fontId="202" fillId="13" borderId="73" xfId="0" applyNumberFormat="1" applyFont="1" applyFill="1" applyBorder="1" applyAlignment="1" applyProtection="1">
      <alignment horizontal="center" vertical="center"/>
      <protection hidden="1"/>
    </xf>
    <xf numFmtId="0" fontId="225" fillId="13" borderId="74" xfId="0" applyNumberFormat="1" applyFont="1" applyFill="1" applyBorder="1" applyAlignment="1" applyProtection="1">
      <alignment horizontal="center" vertical="center"/>
      <protection hidden="1"/>
    </xf>
    <xf numFmtId="0" fontId="69" fillId="13" borderId="138" xfId="0" applyFont="1" applyFill="1" applyBorder="1" applyAlignment="1" applyProtection="1">
      <alignment horizontal="center" vertical="center"/>
      <protection hidden="1"/>
    </xf>
    <xf numFmtId="0" fontId="100" fillId="13" borderId="51" xfId="4" applyFont="1" applyFill="1" applyBorder="1" applyAlignment="1" applyProtection="1">
      <alignment horizontal="center" vertical="center" wrapText="1"/>
      <protection hidden="1"/>
    </xf>
    <xf numFmtId="167" fontId="21" fillId="13" borderId="40" xfId="0" applyNumberFormat="1" applyFont="1" applyFill="1" applyBorder="1" applyAlignment="1" applyProtection="1">
      <alignment horizontal="center" vertical="center" wrapText="1"/>
      <protection hidden="1"/>
    </xf>
    <xf numFmtId="0" fontId="21" fillId="13" borderId="155" xfId="0" applyFont="1" applyFill="1" applyBorder="1" applyAlignment="1" applyProtection="1">
      <alignment horizontal="center" vertical="center"/>
      <protection hidden="1"/>
    </xf>
    <xf numFmtId="0" fontId="21" fillId="13" borderId="47" xfId="0" applyFont="1" applyFill="1" applyBorder="1" applyAlignment="1" applyProtection="1">
      <alignment horizontal="center" vertical="center"/>
      <protection hidden="1"/>
    </xf>
    <xf numFmtId="0" fontId="21" fillId="13" borderId="120" xfId="0" applyFont="1" applyFill="1" applyBorder="1" applyAlignment="1" applyProtection="1">
      <alignment horizontal="center" vertical="center"/>
      <protection hidden="1"/>
    </xf>
    <xf numFmtId="0" fontId="91" fillId="13" borderId="121" xfId="0" applyNumberFormat="1" applyFont="1" applyFill="1" applyBorder="1" applyAlignment="1" applyProtection="1">
      <alignment horizontal="center" vertical="center"/>
      <protection hidden="1"/>
    </xf>
    <xf numFmtId="0" fontId="58" fillId="12" borderId="35" xfId="0" applyNumberFormat="1" applyFont="1" applyFill="1" applyBorder="1" applyAlignment="1" applyProtection="1">
      <alignment horizontal="center" vertical="center"/>
      <protection hidden="1"/>
    </xf>
    <xf numFmtId="0" fontId="92" fillId="13" borderId="95" xfId="0" applyNumberFormat="1" applyFont="1" applyFill="1" applyBorder="1" applyAlignment="1" applyProtection="1">
      <alignment horizontal="center" vertical="center"/>
      <protection hidden="1"/>
    </xf>
    <xf numFmtId="0" fontId="59" fillId="12" borderId="12" xfId="0" applyNumberFormat="1" applyFont="1" applyFill="1" applyBorder="1" applyAlignment="1" applyProtection="1">
      <alignment horizontal="center" vertical="center"/>
      <protection hidden="1"/>
    </xf>
    <xf numFmtId="0" fontId="21" fillId="13" borderId="84" xfId="0" applyFont="1" applyFill="1" applyBorder="1" applyAlignment="1" applyProtection="1">
      <alignment horizontal="center" vertical="center"/>
      <protection hidden="1"/>
    </xf>
    <xf numFmtId="0" fontId="66" fillId="13" borderId="50" xfId="0" applyFont="1" applyFill="1" applyBorder="1" applyAlignment="1" applyProtection="1">
      <alignment horizontal="center" vertical="center"/>
      <protection hidden="1"/>
    </xf>
    <xf numFmtId="0" fontId="21" fillId="13" borderId="122" xfId="0" applyFont="1" applyFill="1" applyBorder="1" applyAlignment="1" applyProtection="1">
      <alignment horizontal="center" vertical="center" wrapText="1"/>
      <protection hidden="1"/>
    </xf>
    <xf numFmtId="0" fontId="21" fillId="13" borderId="74" xfId="0" applyFont="1" applyFill="1" applyBorder="1" applyAlignment="1" applyProtection="1">
      <alignment horizontal="center" vertical="center" wrapText="1"/>
      <protection hidden="1"/>
    </xf>
    <xf numFmtId="0" fontId="21" fillId="12" borderId="0" xfId="0" applyFont="1" applyFill="1" applyBorder="1" applyAlignment="1" applyProtection="1">
      <alignment horizontal="center" vertical="center" wrapText="1"/>
      <protection hidden="1"/>
    </xf>
    <xf numFmtId="0" fontId="21" fillId="12" borderId="74" xfId="0" applyFont="1" applyFill="1" applyBorder="1" applyAlignment="1" applyProtection="1">
      <alignment horizontal="center" vertical="center" wrapText="1"/>
      <protection hidden="1"/>
    </xf>
    <xf numFmtId="0" fontId="48" fillId="12" borderId="132" xfId="0" applyFont="1" applyFill="1" applyBorder="1" applyAlignment="1" applyProtection="1">
      <alignment horizontal="center" vertical="center" wrapText="1"/>
      <protection hidden="1"/>
    </xf>
    <xf numFmtId="0" fontId="0" fillId="12" borderId="88" xfId="0" applyFill="1" applyBorder="1" applyProtection="1">
      <alignment vertical="center"/>
      <protection hidden="1"/>
    </xf>
    <xf numFmtId="0" fontId="0" fillId="12" borderId="90" xfId="0" applyFill="1" applyBorder="1" applyProtection="1">
      <alignment vertical="center"/>
      <protection hidden="1"/>
    </xf>
    <xf numFmtId="0" fontId="0" fillId="12" borderId="23" xfId="0" applyFill="1" applyBorder="1" applyProtection="1">
      <alignment vertical="center"/>
      <protection hidden="1"/>
    </xf>
    <xf numFmtId="0" fontId="202" fillId="13" borderId="67" xfId="0" applyNumberFormat="1" applyFont="1" applyFill="1" applyBorder="1" applyAlignment="1" applyProtection="1">
      <alignment horizontal="center" vertical="center"/>
      <protection hidden="1"/>
    </xf>
    <xf numFmtId="0" fontId="202" fillId="13" borderId="177" xfId="0" applyNumberFormat="1" applyFont="1" applyFill="1" applyBorder="1" applyAlignment="1" applyProtection="1">
      <alignment horizontal="center" vertical="center"/>
      <protection hidden="1"/>
    </xf>
    <xf numFmtId="0" fontId="225" fillId="13" borderId="1" xfId="0" applyNumberFormat="1" applyFont="1" applyFill="1" applyBorder="1" applyAlignment="1" applyProtection="1">
      <alignment horizontal="center" vertical="center"/>
      <protection hidden="1"/>
    </xf>
    <xf numFmtId="0" fontId="202" fillId="13" borderId="191" xfId="0" applyNumberFormat="1" applyFont="1" applyFill="1" applyBorder="1" applyAlignment="1" applyProtection="1">
      <alignment horizontal="left" vertical="center"/>
      <protection hidden="1"/>
    </xf>
    <xf numFmtId="0" fontId="225" fillId="13" borderId="2" xfId="0" applyNumberFormat="1" applyFont="1" applyFill="1" applyBorder="1" applyAlignment="1" applyProtection="1">
      <alignment horizontal="left" vertical="center"/>
      <protection hidden="1"/>
    </xf>
    <xf numFmtId="0" fontId="80" fillId="13" borderId="126" xfId="0" applyNumberFormat="1" applyFont="1" applyFill="1" applyBorder="1" applyAlignment="1" applyProtection="1">
      <alignment horizontal="center" vertical="center" wrapText="1"/>
      <protection hidden="1"/>
    </xf>
    <xf numFmtId="0" fontId="80" fillId="19" borderId="126" xfId="0" applyNumberFormat="1" applyFont="1" applyFill="1" applyBorder="1" applyAlignment="1" applyProtection="1">
      <alignment horizontal="center" vertical="center" wrapText="1"/>
      <protection hidden="1"/>
    </xf>
    <xf numFmtId="174" fontId="24" fillId="13" borderId="36" xfId="0" applyNumberFormat="1" applyFont="1" applyFill="1" applyBorder="1" applyAlignment="1" applyProtection="1">
      <alignment horizontal="center" vertical="center" wrapText="1"/>
      <protection hidden="1"/>
    </xf>
    <xf numFmtId="0" fontId="24" fillId="11" borderId="57" xfId="0" applyFont="1" applyFill="1" applyBorder="1" applyAlignment="1" applyProtection="1">
      <alignment horizontal="center" vertical="center"/>
      <protection hidden="1"/>
    </xf>
    <xf numFmtId="0" fontId="253" fillId="15" borderId="35" xfId="0" applyFont="1" applyFill="1" applyBorder="1" applyAlignment="1" applyProtection="1">
      <alignment horizontal="centerContinuous" vertical="center" wrapText="1"/>
      <protection hidden="1"/>
    </xf>
    <xf numFmtId="0" fontId="254" fillId="15" borderId="35" xfId="0" applyFont="1" applyFill="1" applyBorder="1" applyAlignment="1" applyProtection="1">
      <alignment horizontal="centerContinuous" vertical="center" wrapText="1"/>
      <protection hidden="1"/>
    </xf>
    <xf numFmtId="165" fontId="253" fillId="15" borderId="36" xfId="0" applyNumberFormat="1" applyFont="1" applyFill="1" applyBorder="1" applyAlignment="1" applyProtection="1">
      <alignment horizontal="centerContinuous" vertical="center" wrapText="1"/>
      <protection hidden="1"/>
    </xf>
    <xf numFmtId="167" fontId="253" fillId="15" borderId="74" xfId="0" applyNumberFormat="1" applyFont="1" applyFill="1" applyBorder="1" applyAlignment="1" applyProtection="1">
      <alignment horizontal="center" vertical="center"/>
      <protection hidden="1"/>
    </xf>
    <xf numFmtId="0" fontId="253" fillId="15" borderId="95" xfId="0" applyFont="1" applyFill="1" applyBorder="1" applyAlignment="1" applyProtection="1">
      <alignment horizontal="centerContinuous" vertical="center" wrapText="1"/>
      <protection hidden="1"/>
    </xf>
    <xf numFmtId="0" fontId="254" fillId="15" borderId="95" xfId="0" applyFont="1" applyFill="1" applyBorder="1" applyAlignment="1" applyProtection="1">
      <alignment horizontal="centerContinuous" vertical="center" wrapText="1"/>
      <protection hidden="1"/>
    </xf>
    <xf numFmtId="165" fontId="253" fillId="15" borderId="64" xfId="0" applyNumberFormat="1" applyFont="1" applyFill="1" applyBorder="1" applyAlignment="1" applyProtection="1">
      <alignment horizontal="centerContinuous" vertical="center" wrapText="1"/>
      <protection hidden="1"/>
    </xf>
    <xf numFmtId="167" fontId="253" fillId="15" borderId="103" xfId="0" applyNumberFormat="1" applyFont="1" applyFill="1" applyBorder="1" applyAlignment="1" applyProtection="1">
      <alignment horizontal="center" vertical="center"/>
      <protection hidden="1"/>
    </xf>
    <xf numFmtId="0" fontId="253" fillId="12" borderId="16" xfId="0" applyFont="1" applyFill="1" applyBorder="1" applyAlignment="1" applyProtection="1">
      <alignment horizontal="center" vertical="center" wrapText="1"/>
      <protection hidden="1"/>
    </xf>
    <xf numFmtId="0" fontId="255" fillId="13" borderId="0" xfId="0" applyFont="1" applyFill="1" applyBorder="1" applyAlignment="1" applyProtection="1">
      <alignment vertical="center" wrapText="1"/>
      <protection hidden="1"/>
    </xf>
    <xf numFmtId="167" fontId="253" fillId="12" borderId="9" xfId="0" applyNumberFormat="1" applyFont="1" applyFill="1" applyBorder="1" applyAlignment="1" applyProtection="1">
      <alignment horizontal="centerContinuous" vertical="center" wrapText="1"/>
      <protection hidden="1"/>
    </xf>
    <xf numFmtId="0" fontId="253" fillId="12" borderId="60" xfId="0" applyFont="1" applyFill="1" applyBorder="1" applyAlignment="1" applyProtection="1">
      <alignment horizontal="center" vertical="center" wrapText="1"/>
      <protection hidden="1"/>
    </xf>
    <xf numFmtId="0" fontId="256" fillId="12" borderId="175" xfId="0" applyFont="1" applyFill="1" applyBorder="1" applyAlignment="1" applyProtection="1">
      <alignment horizontal="center" vertical="center" wrapText="1"/>
      <protection hidden="1"/>
    </xf>
    <xf numFmtId="0" fontId="257" fillId="22" borderId="0" xfId="0" applyFont="1" applyFill="1" applyAlignment="1">
      <alignment horizontal="center" vertical="center"/>
    </xf>
    <xf numFmtId="0" fontId="58" fillId="22" borderId="0" xfId="0" applyFont="1" applyFill="1" applyAlignment="1">
      <alignment horizontal="center" vertical="center"/>
    </xf>
    <xf numFmtId="0" fontId="1" fillId="13" borderId="22" xfId="0" applyNumberFormat="1" applyFont="1" applyFill="1" applyBorder="1" applyAlignment="1" applyProtection="1">
      <alignment horizontal="center" vertical="center" wrapText="1"/>
      <protection hidden="1"/>
    </xf>
    <xf numFmtId="0" fontId="134" fillId="13" borderId="43" xfId="0" applyFont="1" applyFill="1" applyBorder="1" applyAlignment="1" applyProtection="1">
      <alignment vertical="center" wrapText="1"/>
      <protection hidden="1"/>
    </xf>
    <xf numFmtId="0" fontId="256" fillId="12" borderId="39" xfId="0" applyFont="1" applyFill="1" applyBorder="1" applyAlignment="1" applyProtection="1">
      <alignment horizontal="center" vertical="center" wrapText="1"/>
      <protection hidden="1"/>
    </xf>
    <xf numFmtId="0" fontId="256" fillId="12" borderId="38" xfId="0" applyNumberFormat="1" applyFont="1" applyFill="1" applyBorder="1" applyAlignment="1" applyProtection="1">
      <alignment horizontal="center" vertical="center"/>
      <protection hidden="1"/>
    </xf>
    <xf numFmtId="0" fontId="256" fillId="12" borderId="39" xfId="0" applyNumberFormat="1" applyFont="1" applyFill="1" applyBorder="1" applyAlignment="1" applyProtection="1">
      <alignment horizontal="center" vertical="center"/>
      <protection hidden="1"/>
    </xf>
    <xf numFmtId="164" fontId="256" fillId="12" borderId="86" xfId="0" applyNumberFormat="1" applyFont="1" applyFill="1" applyBorder="1" applyAlignment="1" applyProtection="1">
      <alignment horizontal="center" vertical="center"/>
      <protection hidden="1"/>
    </xf>
    <xf numFmtId="167" fontId="256" fillId="12" borderId="54" xfId="0" applyNumberFormat="1" applyFont="1" applyFill="1" applyBorder="1" applyAlignment="1" applyProtection="1">
      <alignment horizontal="center" vertical="center"/>
      <protection hidden="1"/>
    </xf>
    <xf numFmtId="167" fontId="256" fillId="12" borderId="42" xfId="0" applyNumberFormat="1" applyFont="1" applyFill="1" applyBorder="1" applyAlignment="1" applyProtection="1">
      <alignment horizontal="center" vertical="center"/>
      <protection hidden="1"/>
    </xf>
    <xf numFmtId="167" fontId="256" fillId="12" borderId="81" xfId="0" applyNumberFormat="1" applyFont="1" applyFill="1" applyBorder="1" applyAlignment="1" applyProtection="1">
      <alignment horizontal="center" vertical="center"/>
      <protection hidden="1"/>
    </xf>
    <xf numFmtId="0" fontId="256" fillId="13" borderId="36" xfId="0" applyFont="1" applyFill="1" applyBorder="1" applyAlignment="1" applyProtection="1">
      <alignment horizontal="center" vertical="center"/>
      <protection hidden="1"/>
    </xf>
    <xf numFmtId="0" fontId="256" fillId="13" borderId="36" xfId="0" applyFont="1" applyFill="1" applyBorder="1" applyAlignment="1" applyProtection="1">
      <alignment horizontal="center" vertical="center" wrapText="1"/>
      <protection hidden="1"/>
    </xf>
    <xf numFmtId="0" fontId="256" fillId="12" borderId="35" xfId="0" applyFont="1" applyFill="1" applyBorder="1" applyAlignment="1" applyProtection="1">
      <alignment horizontal="center" vertical="center"/>
      <protection hidden="1"/>
    </xf>
    <xf numFmtId="0" fontId="256" fillId="12" borderId="36" xfId="0" applyFont="1" applyFill="1" applyBorder="1" applyAlignment="1" applyProtection="1">
      <alignment horizontal="center" vertical="center"/>
      <protection hidden="1"/>
    </xf>
    <xf numFmtId="0" fontId="256" fillId="12" borderId="36" xfId="0" applyNumberFormat="1" applyFont="1" applyFill="1" applyBorder="1" applyAlignment="1" applyProtection="1">
      <alignment horizontal="center" vertical="center"/>
      <protection hidden="1"/>
    </xf>
    <xf numFmtId="0" fontId="256" fillId="13" borderId="35" xfId="0" applyFont="1" applyFill="1" applyBorder="1" applyAlignment="1" applyProtection="1">
      <alignment horizontal="center" vertical="center"/>
      <protection hidden="1"/>
    </xf>
    <xf numFmtId="0" fontId="256" fillId="13" borderId="64" xfId="0" applyFont="1" applyFill="1" applyBorder="1" applyAlignment="1" applyProtection="1">
      <alignment horizontal="center" vertical="center"/>
      <protection hidden="1"/>
    </xf>
    <xf numFmtId="0" fontId="260" fillId="13" borderId="13" xfId="0" applyFont="1" applyFill="1" applyBorder="1" applyAlignment="1" applyProtection="1">
      <alignment horizontal="left" vertical="center"/>
      <protection hidden="1"/>
    </xf>
    <xf numFmtId="1" fontId="11" fillId="13" borderId="43" xfId="0" applyNumberFormat="1" applyFont="1" applyFill="1" applyBorder="1" applyAlignment="1" applyProtection="1">
      <alignment horizontal="center" vertical="center" wrapText="1"/>
      <protection hidden="1"/>
    </xf>
    <xf numFmtId="0" fontId="0" fillId="13" borderId="23" xfId="0" applyFill="1" applyBorder="1" applyProtection="1">
      <alignment vertical="center"/>
      <protection hidden="1"/>
    </xf>
    <xf numFmtId="0" fontId="261" fillId="13" borderId="10" xfId="0" applyFont="1" applyFill="1" applyBorder="1" applyAlignment="1" applyProtection="1">
      <alignment horizontal="centerContinuous" vertical="center"/>
      <protection hidden="1"/>
    </xf>
    <xf numFmtId="0" fontId="261" fillId="13" borderId="0" xfId="0" applyFont="1" applyFill="1" applyBorder="1" applyAlignment="1" applyProtection="1">
      <alignment horizontal="centerContinuous" vertical="center"/>
      <protection hidden="1"/>
    </xf>
    <xf numFmtId="0" fontId="40" fillId="13" borderId="43" xfId="0" applyFont="1" applyFill="1" applyBorder="1" applyAlignment="1" applyProtection="1">
      <alignment horizontal="left" vertical="center"/>
      <protection hidden="1"/>
    </xf>
    <xf numFmtId="0" fontId="40" fillId="13" borderId="44" xfId="0" applyFont="1" applyFill="1" applyBorder="1" applyAlignment="1" applyProtection="1">
      <alignment horizontal="left" vertical="center"/>
      <protection hidden="1"/>
    </xf>
    <xf numFmtId="0" fontId="262" fillId="13" borderId="10" xfId="0" applyNumberFormat="1" applyFont="1" applyFill="1" applyBorder="1" applyAlignment="1" applyProtection="1">
      <alignment horizontal="center" vertical="center"/>
      <protection hidden="1"/>
    </xf>
    <xf numFmtId="0" fontId="262" fillId="13" borderId="73" xfId="0" applyNumberFormat="1" applyFont="1" applyFill="1" applyBorder="1" applyAlignment="1" applyProtection="1">
      <alignment horizontal="centerContinuous" vertical="center" wrapText="1"/>
      <protection hidden="1"/>
    </xf>
    <xf numFmtId="0" fontId="262" fillId="13" borderId="22" xfId="0" applyNumberFormat="1" applyFont="1" applyFill="1" applyBorder="1" applyAlignment="1" applyProtection="1">
      <alignment horizontal="centerContinuous" vertical="center" wrapText="1"/>
      <protection hidden="1"/>
    </xf>
    <xf numFmtId="0" fontId="262" fillId="13" borderId="102" xfId="0" applyNumberFormat="1" applyFont="1" applyFill="1" applyBorder="1" applyAlignment="1" applyProtection="1">
      <alignment horizontal="centerContinuous" vertical="center" wrapText="1"/>
      <protection hidden="1"/>
    </xf>
    <xf numFmtId="1" fontId="262" fillId="13" borderId="67" xfId="0" applyNumberFormat="1" applyFont="1" applyFill="1" applyBorder="1" applyAlignment="1" applyProtection="1">
      <alignment horizontal="center" vertical="center"/>
      <protection hidden="1"/>
    </xf>
    <xf numFmtId="167" fontId="262" fillId="13" borderId="67" xfId="0" applyNumberFormat="1" applyFont="1" applyFill="1" applyBorder="1" applyAlignment="1" applyProtection="1">
      <alignment horizontal="center" vertical="center"/>
      <protection hidden="1"/>
    </xf>
    <xf numFmtId="0" fontId="262" fillId="13" borderId="28" xfId="0" applyNumberFormat="1" applyFont="1" applyFill="1" applyBorder="1" applyAlignment="1" applyProtection="1">
      <alignment horizontal="center" vertical="center" wrapText="1"/>
      <protection hidden="1"/>
    </xf>
    <xf numFmtId="0" fontId="253" fillId="11" borderId="105" xfId="0" applyNumberFormat="1" applyFont="1" applyFill="1" applyBorder="1" applyAlignment="1" applyProtection="1">
      <alignment horizontal="left" vertical="center"/>
      <protection hidden="1"/>
    </xf>
    <xf numFmtId="0" fontId="253" fillId="11" borderId="122" xfId="0" applyNumberFormat="1" applyFont="1" applyFill="1" applyBorder="1" applyAlignment="1" applyProtection="1">
      <alignment horizontal="center" vertical="center"/>
      <protection hidden="1"/>
    </xf>
    <xf numFmtId="167" fontId="124" fillId="12" borderId="13" xfId="0" applyNumberFormat="1" applyFont="1" applyFill="1" applyBorder="1" applyAlignment="1" applyProtection="1">
      <alignment horizontal="center" vertical="center"/>
      <protection hidden="1"/>
    </xf>
    <xf numFmtId="0" fontId="212" fillId="12" borderId="75" xfId="0" applyNumberFormat="1" applyFont="1" applyFill="1" applyBorder="1" applyAlignment="1" applyProtection="1">
      <alignment horizontal="left" vertical="center"/>
      <protection hidden="1"/>
    </xf>
    <xf numFmtId="0" fontId="212" fillId="12" borderId="68" xfId="0" applyNumberFormat="1" applyFont="1" applyFill="1" applyBorder="1" applyAlignment="1" applyProtection="1">
      <alignment horizontal="left" vertical="center"/>
      <protection hidden="1"/>
    </xf>
    <xf numFmtId="0" fontId="124" fillId="12" borderId="68" xfId="0" applyNumberFormat="1" applyFont="1" applyFill="1" applyBorder="1" applyAlignment="1" applyProtection="1">
      <alignment horizontal="center" vertical="center"/>
      <protection hidden="1"/>
    </xf>
    <xf numFmtId="0" fontId="124" fillId="12" borderId="70" xfId="0" applyNumberFormat="1" applyFont="1" applyFill="1" applyBorder="1" applyAlignment="1" applyProtection="1">
      <alignment horizontal="left" vertical="center"/>
      <protection hidden="1"/>
    </xf>
    <xf numFmtId="0" fontId="124" fillId="12" borderId="72" xfId="0" applyNumberFormat="1" applyFont="1" applyFill="1" applyBorder="1" applyAlignment="1" applyProtection="1">
      <alignment horizontal="center" vertical="center"/>
      <protection hidden="1"/>
    </xf>
    <xf numFmtId="0" fontId="124" fillId="12" borderId="78" xfId="0" applyNumberFormat="1" applyFont="1" applyFill="1" applyBorder="1" applyAlignment="1" applyProtection="1">
      <alignment horizontal="center" vertical="center"/>
      <protection hidden="1"/>
    </xf>
    <xf numFmtId="0" fontId="124" fillId="12" borderId="68" xfId="0" applyNumberFormat="1" applyFont="1" applyFill="1" applyBorder="1" applyAlignment="1" applyProtection="1">
      <alignment horizontal="left" vertical="center"/>
      <protection hidden="1"/>
    </xf>
    <xf numFmtId="0" fontId="124" fillId="12" borderId="13" xfId="0" applyNumberFormat="1" applyFont="1" applyFill="1" applyBorder="1" applyAlignment="1" applyProtection="1">
      <alignment horizontal="center" vertical="center"/>
      <protection hidden="1"/>
    </xf>
    <xf numFmtId="167" fontId="221" fillId="12" borderId="35" xfId="0" applyNumberFormat="1" applyFont="1" applyFill="1" applyBorder="1" applyAlignment="1" applyProtection="1">
      <alignment horizontal="center" vertical="center" wrapText="1"/>
      <protection hidden="1"/>
    </xf>
    <xf numFmtId="0" fontId="202" fillId="13" borderId="55" xfId="0" applyNumberFormat="1" applyFont="1" applyFill="1" applyBorder="1" applyAlignment="1" applyProtection="1">
      <alignment horizontal="center" vertical="center"/>
      <protection hidden="1"/>
    </xf>
    <xf numFmtId="0" fontId="225" fillId="13" borderId="47" xfId="0" applyNumberFormat="1" applyFont="1" applyFill="1" applyBorder="1" applyAlignment="1" applyProtection="1">
      <alignment horizontal="center" vertical="center"/>
      <protection hidden="1"/>
    </xf>
    <xf numFmtId="0" fontId="234" fillId="13" borderId="47" xfId="0" applyNumberFormat="1" applyFont="1" applyFill="1" applyBorder="1" applyAlignment="1" applyProtection="1">
      <alignment horizontal="center" vertical="center"/>
      <protection hidden="1"/>
    </xf>
    <xf numFmtId="0" fontId="238" fillId="12" borderId="55" xfId="0" applyNumberFormat="1" applyFont="1" applyFill="1" applyBorder="1" applyAlignment="1" applyProtection="1">
      <alignment horizontal="center" vertical="center"/>
      <protection hidden="1"/>
    </xf>
    <xf numFmtId="0" fontId="186" fillId="13" borderId="54" xfId="0" applyNumberFormat="1" applyFont="1" applyFill="1" applyBorder="1" applyAlignment="1" applyProtection="1">
      <alignment horizontal="center" vertical="center"/>
      <protection hidden="1"/>
    </xf>
    <xf numFmtId="167" fontId="186" fillId="13" borderId="94" xfId="0" applyNumberFormat="1" applyFont="1" applyFill="1" applyBorder="1" applyAlignment="1" applyProtection="1">
      <alignment horizontal="center" vertical="center"/>
      <protection hidden="1"/>
    </xf>
    <xf numFmtId="167" fontId="186" fillId="12" borderId="61" xfId="0" applyNumberFormat="1" applyFont="1" applyFill="1" applyBorder="1" applyAlignment="1" applyProtection="1">
      <alignment horizontal="center" vertical="center"/>
      <protection hidden="1"/>
    </xf>
    <xf numFmtId="0" fontId="186" fillId="12" borderId="36" xfId="0" applyNumberFormat="1" applyFont="1" applyFill="1" applyBorder="1" applyAlignment="1" applyProtection="1">
      <alignment horizontal="center" vertical="center"/>
      <protection hidden="1"/>
    </xf>
    <xf numFmtId="167" fontId="186" fillId="12" borderId="20" xfId="0" applyNumberFormat="1" applyFont="1" applyFill="1" applyBorder="1" applyAlignment="1" applyProtection="1">
      <alignment horizontal="center" vertical="center"/>
      <protection hidden="1"/>
    </xf>
    <xf numFmtId="0" fontId="186" fillId="13" borderId="61" xfId="0" applyNumberFormat="1" applyFont="1" applyFill="1" applyBorder="1" applyAlignment="1" applyProtection="1">
      <alignment horizontal="center" vertical="center"/>
      <protection hidden="1"/>
    </xf>
    <xf numFmtId="0" fontId="186" fillId="13" borderId="36" xfId="0" applyNumberFormat="1" applyFont="1" applyFill="1" applyBorder="1" applyAlignment="1" applyProtection="1">
      <alignment horizontal="center" vertical="center"/>
      <protection hidden="1"/>
    </xf>
    <xf numFmtId="167" fontId="186" fillId="13" borderId="20" xfId="0" applyNumberFormat="1" applyFont="1" applyFill="1" applyBorder="1" applyAlignment="1" applyProtection="1">
      <alignment horizontal="center" vertical="center"/>
      <protection hidden="1"/>
    </xf>
    <xf numFmtId="167" fontId="186" fillId="12" borderId="96" xfId="0" applyNumberFormat="1" applyFont="1" applyFill="1" applyBorder="1" applyAlignment="1" applyProtection="1">
      <alignment horizontal="center" vertical="center"/>
      <protection hidden="1"/>
    </xf>
    <xf numFmtId="0" fontId="186" fillId="12" borderId="64" xfId="0" applyNumberFormat="1" applyFont="1" applyFill="1" applyBorder="1" applyAlignment="1" applyProtection="1">
      <alignment horizontal="center" vertical="center"/>
      <protection hidden="1"/>
    </xf>
    <xf numFmtId="167" fontId="186" fillId="12" borderId="58" xfId="0" applyNumberFormat="1" applyFont="1" applyFill="1" applyBorder="1" applyAlignment="1" applyProtection="1">
      <alignment horizontal="center" vertical="center"/>
      <protection hidden="1"/>
    </xf>
    <xf numFmtId="167" fontId="186" fillId="13" borderId="111" xfId="0" applyNumberFormat="1" applyFont="1" applyFill="1" applyBorder="1" applyAlignment="1" applyProtection="1">
      <alignment horizontal="center" vertical="center"/>
      <protection hidden="1"/>
    </xf>
    <xf numFmtId="0" fontId="186" fillId="13" borderId="39" xfId="0" applyNumberFormat="1" applyFont="1" applyFill="1" applyBorder="1" applyAlignment="1" applyProtection="1">
      <alignment horizontal="center" vertical="center"/>
      <protection hidden="1"/>
    </xf>
    <xf numFmtId="167" fontId="186" fillId="13" borderId="51" xfId="0" applyNumberFormat="1" applyFont="1" applyFill="1" applyBorder="1" applyAlignment="1" applyProtection="1">
      <alignment horizontal="center" vertical="center"/>
      <protection hidden="1"/>
    </xf>
    <xf numFmtId="0" fontId="23" fillId="13" borderId="0" xfId="0" applyNumberFormat="1" applyFont="1" applyFill="1" applyBorder="1" applyAlignment="1" applyProtection="1">
      <alignment horizontal="center" vertical="center"/>
      <protection hidden="1"/>
    </xf>
    <xf numFmtId="0" fontId="186" fillId="13" borderId="151" xfId="0" applyNumberFormat="1" applyFont="1" applyFill="1" applyBorder="1" applyAlignment="1" applyProtection="1">
      <alignment horizontal="center" vertical="center"/>
      <protection hidden="1"/>
    </xf>
    <xf numFmtId="167" fontId="6" fillId="12" borderId="16" xfId="0" applyNumberFormat="1" applyFont="1" applyFill="1" applyBorder="1" applyAlignment="1" applyProtection="1">
      <alignment horizontal="center" vertical="center"/>
      <protection hidden="1"/>
    </xf>
    <xf numFmtId="167" fontId="6" fillId="13" borderId="16" xfId="0" applyNumberFormat="1" applyFont="1" applyFill="1" applyBorder="1" applyAlignment="1" applyProtection="1">
      <alignment horizontal="center" vertical="center"/>
      <protection hidden="1"/>
    </xf>
    <xf numFmtId="167" fontId="6" fillId="12" borderId="63" xfId="0" applyNumberFormat="1" applyFont="1" applyFill="1" applyBorder="1" applyAlignment="1" applyProtection="1">
      <alignment horizontal="center" vertical="center"/>
      <protection hidden="1"/>
    </xf>
    <xf numFmtId="167" fontId="6" fillId="13" borderId="60" xfId="0" applyNumberFormat="1" applyFont="1" applyFill="1" applyBorder="1" applyAlignment="1" applyProtection="1">
      <alignment horizontal="center" vertical="center"/>
      <protection hidden="1"/>
    </xf>
    <xf numFmtId="174" fontId="23" fillId="13" borderId="40" xfId="0" applyNumberFormat="1" applyFont="1" applyFill="1" applyBorder="1" applyAlignment="1" applyProtection="1">
      <alignment horizontal="center" vertical="center"/>
      <protection hidden="1"/>
    </xf>
    <xf numFmtId="0" fontId="20" fillId="13" borderId="41" xfId="0" applyNumberFormat="1" applyFont="1" applyFill="1" applyBorder="1" applyAlignment="1" applyProtection="1">
      <alignment horizontal="center" vertical="center"/>
      <protection hidden="1"/>
    </xf>
    <xf numFmtId="0" fontId="78" fillId="13" borderId="41" xfId="0" applyNumberFormat="1" applyFont="1" applyFill="1" applyBorder="1" applyAlignment="1" applyProtection="1">
      <alignment horizontal="center" vertical="center"/>
      <protection hidden="1"/>
    </xf>
    <xf numFmtId="0" fontId="20" fillId="13" borderId="88" xfId="0" applyNumberFormat="1" applyFont="1" applyFill="1" applyBorder="1" applyAlignment="1" applyProtection="1">
      <alignment horizontal="center" vertical="center"/>
      <protection hidden="1"/>
    </xf>
    <xf numFmtId="174" fontId="23" fillId="13" borderId="13" xfId="0" applyNumberFormat="1" applyFont="1" applyFill="1" applyBorder="1" applyAlignment="1" applyProtection="1">
      <alignment horizontal="center" vertical="center"/>
      <protection hidden="1"/>
    </xf>
    <xf numFmtId="0" fontId="23" fillId="13" borderId="90" xfId="0" applyNumberFormat="1" applyFont="1" applyFill="1" applyBorder="1" applyAlignment="1" applyProtection="1">
      <alignment horizontal="center" vertical="center"/>
      <protection hidden="1"/>
    </xf>
    <xf numFmtId="0" fontId="23" fillId="13" borderId="13" xfId="0" applyNumberFormat="1" applyFont="1" applyFill="1" applyBorder="1" applyAlignment="1" applyProtection="1">
      <alignment horizontal="center" vertical="center"/>
      <protection hidden="1"/>
    </xf>
    <xf numFmtId="0" fontId="78" fillId="13" borderId="54" xfId="0" applyNumberFormat="1" applyFont="1" applyFill="1" applyBorder="1" applyAlignment="1" applyProtection="1">
      <alignment horizontal="center" vertical="center"/>
      <protection hidden="1"/>
    </xf>
    <xf numFmtId="0" fontId="78" fillId="13" borderId="94" xfId="0" applyNumberFormat="1" applyFont="1" applyFill="1" applyBorder="1" applyAlignment="1" applyProtection="1">
      <alignment horizontal="center" vertical="center"/>
      <protection hidden="1"/>
    </xf>
    <xf numFmtId="174" fontId="78" fillId="13" borderId="16" xfId="0" applyNumberFormat="1" applyFont="1" applyFill="1" applyBorder="1" applyAlignment="1" applyProtection="1">
      <alignment horizontal="center" vertical="center"/>
      <protection hidden="1"/>
    </xf>
    <xf numFmtId="0" fontId="78" fillId="13" borderId="36" xfId="0" applyNumberFormat="1" applyFont="1" applyFill="1" applyBorder="1" applyAlignment="1" applyProtection="1">
      <alignment horizontal="center" vertical="center"/>
      <protection hidden="1"/>
    </xf>
    <xf numFmtId="0" fontId="78" fillId="13" borderId="20" xfId="0" applyNumberFormat="1" applyFont="1" applyFill="1" applyBorder="1" applyAlignment="1" applyProtection="1">
      <alignment horizontal="center" vertical="center"/>
      <protection hidden="1"/>
    </xf>
    <xf numFmtId="174" fontId="78" fillId="13" borderId="63" xfId="0" applyNumberFormat="1" applyFont="1" applyFill="1" applyBorder="1" applyAlignment="1" applyProtection="1">
      <alignment horizontal="center" vertical="center"/>
      <protection hidden="1"/>
    </xf>
    <xf numFmtId="0" fontId="78" fillId="13" borderId="64" xfId="0" applyNumberFormat="1" applyFont="1" applyFill="1" applyBorder="1" applyAlignment="1" applyProtection="1">
      <alignment horizontal="center" vertical="center"/>
      <protection hidden="1"/>
    </xf>
    <xf numFmtId="0" fontId="78" fillId="13" borderId="58" xfId="0" applyNumberFormat="1" applyFont="1" applyFill="1" applyBorder="1" applyAlignment="1" applyProtection="1">
      <alignment horizontal="center" vertical="center"/>
      <protection hidden="1"/>
    </xf>
    <xf numFmtId="174" fontId="78" fillId="13" borderId="60" xfId="0" applyNumberFormat="1" applyFont="1" applyFill="1" applyBorder="1" applyAlignment="1" applyProtection="1">
      <alignment horizontal="center" vertical="center"/>
      <protection hidden="1"/>
    </xf>
    <xf numFmtId="0" fontId="78" fillId="13" borderId="39" xfId="0" applyNumberFormat="1" applyFont="1" applyFill="1" applyBorder="1" applyAlignment="1" applyProtection="1">
      <alignment horizontal="center" vertical="center"/>
      <protection hidden="1"/>
    </xf>
    <xf numFmtId="0" fontId="78" fillId="13" borderId="51" xfId="0" applyNumberFormat="1" applyFont="1" applyFill="1" applyBorder="1" applyAlignment="1" applyProtection="1">
      <alignment horizontal="center" vertical="center"/>
      <protection hidden="1"/>
    </xf>
    <xf numFmtId="167" fontId="23" fillId="13" borderId="17" xfId="0" applyNumberFormat="1" applyFont="1" applyFill="1" applyBorder="1" applyAlignment="1" applyProtection="1">
      <alignment horizontal="center" vertical="center"/>
      <protection hidden="1"/>
    </xf>
    <xf numFmtId="0" fontId="6" fillId="13" borderId="0" xfId="0" applyNumberFormat="1" applyFont="1" applyFill="1" applyBorder="1" applyAlignment="1" applyProtection="1">
      <alignment horizontal="center" vertical="center" wrapText="1"/>
      <protection hidden="1"/>
    </xf>
    <xf numFmtId="0" fontId="6" fillId="13" borderId="13" xfId="0" applyNumberFormat="1" applyFont="1" applyFill="1" applyBorder="1" applyAlignment="1" applyProtection="1">
      <alignment horizontal="center" vertical="center" wrapText="1"/>
      <protection hidden="1"/>
    </xf>
    <xf numFmtId="0" fontId="6" fillId="13" borderId="90" xfId="0" applyNumberFormat="1" applyFont="1" applyFill="1" applyBorder="1" applyAlignment="1" applyProtection="1">
      <alignment horizontal="center" vertical="center" wrapText="1"/>
      <protection hidden="1"/>
    </xf>
    <xf numFmtId="174" fontId="6" fillId="13" borderId="0" xfId="0" applyNumberFormat="1" applyFont="1" applyFill="1" applyBorder="1" applyAlignment="1" applyProtection="1">
      <alignment horizontal="center" vertical="center" wrapText="1"/>
      <protection hidden="1"/>
    </xf>
    <xf numFmtId="0" fontId="6" fillId="13" borderId="0" xfId="0" applyNumberFormat="1" applyFont="1" applyFill="1" applyBorder="1" applyAlignment="1" applyProtection="1">
      <alignment horizontal="center" vertical="center"/>
      <protection hidden="1"/>
    </xf>
    <xf numFmtId="167" fontId="6" fillId="13" borderId="0" xfId="0" applyNumberFormat="1" applyFont="1" applyFill="1" applyBorder="1" applyAlignment="1" applyProtection="1">
      <alignment horizontal="center" vertical="center" wrapText="1"/>
      <protection hidden="1"/>
    </xf>
    <xf numFmtId="0" fontId="60" fillId="13" borderId="0" xfId="0" applyNumberFormat="1" applyFont="1" applyFill="1" applyBorder="1" applyAlignment="1" applyProtection="1">
      <alignment horizontal="center" vertical="center" wrapText="1"/>
      <protection hidden="1"/>
    </xf>
    <xf numFmtId="0" fontId="263" fillId="13" borderId="0" xfId="0" applyFont="1" applyFill="1" applyBorder="1" applyAlignment="1" applyProtection="1">
      <alignment horizontal="center" vertical="center" wrapText="1"/>
      <protection hidden="1"/>
    </xf>
    <xf numFmtId="175" fontId="6" fillId="13" borderId="0" xfId="0" applyNumberFormat="1" applyFont="1" applyFill="1" applyBorder="1" applyAlignment="1" applyProtection="1">
      <alignment horizontal="centerContinuous" vertical="center" wrapText="1"/>
      <protection hidden="1"/>
    </xf>
    <xf numFmtId="0" fontId="263" fillId="13" borderId="0" xfId="0" applyNumberFormat="1" applyFont="1" applyFill="1" applyBorder="1" applyAlignment="1" applyProtection="1">
      <alignment horizontal="centerContinuous" vertical="center" wrapText="1"/>
      <protection hidden="1"/>
    </xf>
    <xf numFmtId="14" fontId="263" fillId="13" borderId="0" xfId="0" applyNumberFormat="1" applyFont="1" applyFill="1" applyBorder="1" applyAlignment="1" applyProtection="1">
      <alignment horizontal="center" vertical="center" wrapText="1"/>
      <protection hidden="1"/>
    </xf>
    <xf numFmtId="0" fontId="263" fillId="13" borderId="15" xfId="0" applyFont="1" applyFill="1" applyBorder="1" applyAlignment="1" applyProtection="1">
      <alignment horizontal="center" vertical="center" wrapText="1"/>
      <protection hidden="1"/>
    </xf>
    <xf numFmtId="175" fontId="6" fillId="13" borderId="15" xfId="0" applyNumberFormat="1" applyFont="1" applyFill="1" applyBorder="1" applyAlignment="1" applyProtection="1">
      <alignment horizontal="centerContinuous" vertical="center" wrapText="1"/>
      <protection hidden="1"/>
    </xf>
    <xf numFmtId="0" fontId="263" fillId="13" borderId="15" xfId="0" applyNumberFormat="1" applyFont="1" applyFill="1" applyBorder="1" applyAlignment="1" applyProtection="1">
      <alignment horizontal="centerContinuous" vertical="center" wrapText="1"/>
      <protection hidden="1"/>
    </xf>
    <xf numFmtId="0" fontId="24" fillId="13" borderId="8" xfId="0" applyNumberFormat="1" applyFont="1" applyFill="1" applyBorder="1" applyAlignment="1" applyProtection="1">
      <alignment horizontal="center" vertical="center"/>
      <protection hidden="1"/>
    </xf>
    <xf numFmtId="0" fontId="55" fillId="13" borderId="39" xfId="0" applyNumberFormat="1" applyFont="1" applyFill="1" applyBorder="1" applyAlignment="1" applyProtection="1">
      <alignment horizontal="center" vertical="center"/>
      <protection hidden="1"/>
    </xf>
    <xf numFmtId="0" fontId="6" fillId="0" borderId="90" xfId="0" applyFont="1" applyFill="1" applyBorder="1" applyAlignment="1" applyProtection="1">
      <alignment horizontal="center" vertical="center"/>
      <protection hidden="1"/>
    </xf>
    <xf numFmtId="0" fontId="21" fillId="13" borderId="33" xfId="0" applyFont="1" applyFill="1" applyBorder="1" applyAlignment="1" applyProtection="1">
      <alignment horizontal="center" vertical="center" wrapText="1"/>
      <protection hidden="1"/>
    </xf>
    <xf numFmtId="0" fontId="24" fillId="13" borderId="166" xfId="0" applyFont="1" applyFill="1" applyBorder="1" applyAlignment="1" applyProtection="1">
      <alignment horizontal="center" vertical="center" wrapText="1"/>
      <protection hidden="1"/>
    </xf>
    <xf numFmtId="0" fontId="55" fillId="13" borderId="11" xfId="0" applyNumberFormat="1" applyFont="1" applyFill="1" applyBorder="1" applyAlignment="1" applyProtection="1">
      <alignment horizontal="center" vertical="center"/>
      <protection hidden="1"/>
    </xf>
    <xf numFmtId="0" fontId="55" fillId="13" borderId="36" xfId="0" applyNumberFormat="1" applyFont="1" applyFill="1" applyBorder="1" applyAlignment="1" applyProtection="1">
      <alignment horizontal="center" vertical="center"/>
      <protection hidden="1"/>
    </xf>
    <xf numFmtId="0" fontId="55" fillId="12" borderId="11" xfId="0" applyNumberFormat="1" applyFont="1" applyFill="1" applyBorder="1" applyAlignment="1" applyProtection="1">
      <alignment horizontal="center" vertical="center"/>
      <protection hidden="1"/>
    </xf>
    <xf numFmtId="0" fontId="55" fillId="12" borderId="36" xfId="0" applyNumberFormat="1" applyFont="1" applyFill="1" applyBorder="1" applyAlignment="1" applyProtection="1">
      <alignment horizontal="center" vertical="center"/>
      <protection hidden="1"/>
    </xf>
    <xf numFmtId="0" fontId="55" fillId="13" borderId="26" xfId="0" applyNumberFormat="1" applyFont="1" applyFill="1" applyBorder="1" applyAlignment="1" applyProtection="1">
      <alignment horizontal="center" vertical="center"/>
      <protection hidden="1"/>
    </xf>
    <xf numFmtId="0" fontId="55" fillId="13" borderId="64" xfId="0" applyNumberFormat="1" applyFont="1" applyFill="1" applyBorder="1" applyAlignment="1" applyProtection="1">
      <alignment horizontal="center" vertical="center"/>
      <protection hidden="1"/>
    </xf>
    <xf numFmtId="0" fontId="21" fillId="13" borderId="1" xfId="0" applyFont="1" applyFill="1" applyBorder="1" applyAlignment="1" applyProtection="1">
      <alignment horizontal="center" vertical="center" wrapText="1"/>
      <protection hidden="1"/>
    </xf>
    <xf numFmtId="0" fontId="21" fillId="12" borderId="1" xfId="0" applyFont="1" applyFill="1" applyBorder="1" applyAlignment="1" applyProtection="1">
      <alignment horizontal="center" vertical="center" wrapText="1"/>
      <protection hidden="1"/>
    </xf>
    <xf numFmtId="174" fontId="69" fillId="13" borderId="119" xfId="0" applyNumberFormat="1" applyFont="1" applyFill="1" applyBorder="1" applyAlignment="1" applyProtection="1">
      <alignment horizontal="center" vertical="center"/>
      <protection hidden="1"/>
    </xf>
    <xf numFmtId="167" fontId="69" fillId="13" borderId="11" xfId="0" applyNumberFormat="1" applyFont="1" applyFill="1" applyBorder="1" applyAlignment="1" applyProtection="1">
      <alignment horizontal="center" vertical="center"/>
      <protection hidden="1"/>
    </xf>
    <xf numFmtId="167" fontId="69" fillId="11" borderId="11" xfId="0" applyNumberFormat="1" applyFont="1" applyFill="1" applyBorder="1" applyAlignment="1" applyProtection="1">
      <alignment horizontal="center" vertical="center"/>
      <protection hidden="1"/>
    </xf>
    <xf numFmtId="0" fontId="69" fillId="13" borderId="11" xfId="0" applyFont="1" applyFill="1" applyBorder="1" applyAlignment="1" applyProtection="1">
      <alignment horizontal="center" vertical="center"/>
      <protection hidden="1"/>
    </xf>
    <xf numFmtId="0" fontId="69" fillId="11" borderId="11" xfId="0" applyFont="1" applyFill="1" applyBorder="1" applyAlignment="1" applyProtection="1">
      <alignment horizontal="center" vertical="center"/>
      <protection hidden="1"/>
    </xf>
    <xf numFmtId="0" fontId="69" fillId="11" borderId="12" xfId="0" applyFont="1" applyFill="1" applyBorder="1" applyAlignment="1" applyProtection="1">
      <alignment horizontal="center" vertical="center"/>
      <protection hidden="1"/>
    </xf>
    <xf numFmtId="0" fontId="69" fillId="12" borderId="122" xfId="0" applyNumberFormat="1" applyFont="1" applyFill="1" applyBorder="1" applyAlignment="1" applyProtection="1">
      <alignment horizontal="center" vertical="center"/>
      <protection hidden="1"/>
    </xf>
    <xf numFmtId="0" fontId="69" fillId="13" borderId="122" xfId="0" applyNumberFormat="1" applyFont="1" applyFill="1" applyBorder="1" applyAlignment="1" applyProtection="1">
      <alignment horizontal="center" vertical="center"/>
      <protection hidden="1"/>
    </xf>
    <xf numFmtId="0" fontId="69" fillId="13" borderId="130" xfId="0" applyNumberFormat="1" applyFont="1" applyFill="1" applyBorder="1" applyAlignment="1" applyProtection="1">
      <alignment horizontal="center" vertical="center"/>
      <protection hidden="1"/>
    </xf>
    <xf numFmtId="174" fontId="69" fillId="13" borderId="124" xfId="0" applyNumberFormat="1" applyFont="1" applyFill="1" applyBorder="1" applyAlignment="1" applyProtection="1">
      <alignment horizontal="center" vertical="center"/>
      <protection hidden="1"/>
    </xf>
    <xf numFmtId="174" fontId="69" fillId="12" borderId="121" xfId="0" applyNumberFormat="1" applyFont="1" applyFill="1" applyBorder="1" applyAlignment="1" applyProtection="1">
      <alignment horizontal="center" vertical="center"/>
      <protection hidden="1"/>
    </xf>
    <xf numFmtId="174" fontId="69" fillId="13" borderId="121" xfId="0" applyNumberFormat="1" applyFont="1" applyFill="1" applyBorder="1" applyAlignment="1" applyProtection="1">
      <alignment horizontal="center" vertical="center"/>
      <protection hidden="1"/>
    </xf>
    <xf numFmtId="174" fontId="69" fillId="13" borderId="91" xfId="0" applyNumberFormat="1" applyFont="1" applyFill="1" applyBorder="1" applyAlignment="1" applyProtection="1">
      <alignment horizontal="center" vertical="center"/>
      <protection hidden="1"/>
    </xf>
    <xf numFmtId="169" fontId="55" fillId="13" borderId="163" xfId="0" applyNumberFormat="1" applyFont="1" applyFill="1" applyBorder="1" applyAlignment="1" applyProtection="1">
      <alignment horizontal="center" vertical="center"/>
      <protection hidden="1"/>
    </xf>
    <xf numFmtId="169" fontId="55" fillId="12" borderId="1" xfId="0" applyNumberFormat="1" applyFont="1" applyFill="1" applyBorder="1" applyAlignment="1" applyProtection="1">
      <alignment horizontal="center" vertical="center"/>
      <protection hidden="1"/>
    </xf>
    <xf numFmtId="169" fontId="55" fillId="13" borderId="1" xfId="0" applyNumberFormat="1" applyFont="1" applyFill="1" applyBorder="1" applyAlignment="1" applyProtection="1">
      <alignment horizontal="center" vertical="center"/>
      <protection hidden="1"/>
    </xf>
    <xf numFmtId="169" fontId="55" fillId="13" borderId="82" xfId="0" applyNumberFormat="1" applyFont="1" applyFill="1" applyBorder="1" applyAlignment="1" applyProtection="1">
      <alignment horizontal="center" vertical="center"/>
      <protection hidden="1"/>
    </xf>
    <xf numFmtId="174" fontId="69" fillId="13" borderId="47" xfId="0" applyNumberFormat="1" applyFont="1" applyFill="1" applyBorder="1" applyAlignment="1" applyProtection="1">
      <alignment horizontal="center" vertical="center"/>
      <protection hidden="1"/>
    </xf>
    <xf numFmtId="174" fontId="69" fillId="12" borderId="47" xfId="0" applyNumberFormat="1" applyFont="1" applyFill="1" applyBorder="1" applyAlignment="1" applyProtection="1">
      <alignment horizontal="center" vertical="center"/>
      <protection hidden="1"/>
    </xf>
    <xf numFmtId="174" fontId="69" fillId="12" borderId="120" xfId="0" applyNumberFormat="1" applyFont="1" applyFill="1" applyBorder="1" applyAlignment="1" applyProtection="1">
      <alignment horizontal="center" vertical="center"/>
      <protection hidden="1"/>
    </xf>
    <xf numFmtId="0" fontId="184" fillId="11" borderId="72" xfId="0" applyFont="1" applyFill="1" applyBorder="1" applyProtection="1">
      <alignment vertical="center"/>
      <protection hidden="1"/>
    </xf>
    <xf numFmtId="167" fontId="166" fillId="12" borderId="13" xfId="0" applyNumberFormat="1" applyFont="1" applyFill="1" applyBorder="1" applyAlignment="1" applyProtection="1">
      <alignment horizontal="center" vertical="center"/>
      <protection hidden="1"/>
    </xf>
    <xf numFmtId="0" fontId="166" fillId="12" borderId="75" xfId="0" applyNumberFormat="1" applyFont="1" applyFill="1" applyBorder="1" applyAlignment="1" applyProtection="1">
      <alignment horizontal="left" vertical="center"/>
      <protection hidden="1"/>
    </xf>
    <xf numFmtId="0" fontId="166" fillId="12" borderId="68" xfId="0" applyNumberFormat="1" applyFont="1" applyFill="1" applyBorder="1" applyAlignment="1" applyProtection="1">
      <alignment horizontal="left" vertical="center"/>
      <protection hidden="1"/>
    </xf>
    <xf numFmtId="0" fontId="166" fillId="12" borderId="68" xfId="0" applyNumberFormat="1" applyFont="1" applyFill="1" applyBorder="1" applyAlignment="1" applyProtection="1">
      <alignment horizontal="center" vertical="center"/>
      <protection hidden="1"/>
    </xf>
    <xf numFmtId="0" fontId="166" fillId="12" borderId="67" xfId="0" applyNumberFormat="1" applyFont="1" applyFill="1" applyBorder="1" applyAlignment="1" applyProtection="1">
      <alignment horizontal="center" vertical="center"/>
      <protection hidden="1"/>
    </xf>
    <xf numFmtId="0" fontId="166" fillId="12" borderId="70" xfId="0" applyNumberFormat="1" applyFont="1" applyFill="1" applyBorder="1" applyAlignment="1" applyProtection="1">
      <alignment horizontal="left" vertical="center"/>
      <protection hidden="1"/>
    </xf>
    <xf numFmtId="167" fontId="166" fillId="13" borderId="11" xfId="0" applyNumberFormat="1" applyFont="1" applyFill="1" applyBorder="1" applyAlignment="1" applyProtection="1">
      <alignment horizontal="center" vertical="center"/>
      <protection hidden="1"/>
    </xf>
    <xf numFmtId="0" fontId="166" fillId="13" borderId="74" xfId="0" applyNumberFormat="1" applyFont="1" applyFill="1" applyBorder="1" applyAlignment="1" applyProtection="1">
      <alignment horizontal="left" vertical="center"/>
      <protection hidden="1"/>
    </xf>
    <xf numFmtId="0" fontId="166" fillId="13" borderId="36" xfId="0" applyNumberFormat="1" applyFont="1" applyFill="1" applyBorder="1" applyAlignment="1" applyProtection="1">
      <alignment horizontal="left" vertical="center"/>
      <protection hidden="1"/>
    </xf>
    <xf numFmtId="0" fontId="166" fillId="13" borderId="36" xfId="0" applyNumberFormat="1" applyFont="1" applyFill="1" applyBorder="1" applyAlignment="1" applyProtection="1">
      <alignment horizontal="center" vertical="center"/>
      <protection hidden="1"/>
    </xf>
    <xf numFmtId="0" fontId="166" fillId="13" borderId="20" xfId="0" applyNumberFormat="1" applyFont="1" applyFill="1" applyBorder="1" applyAlignment="1" applyProtection="1">
      <alignment horizontal="left" vertical="center"/>
      <protection hidden="1"/>
    </xf>
    <xf numFmtId="167" fontId="166" fillId="12" borderId="11" xfId="0" applyNumberFormat="1" applyFont="1" applyFill="1" applyBorder="1" applyAlignment="1" applyProtection="1">
      <alignment horizontal="center" vertical="center"/>
      <protection hidden="1"/>
    </xf>
    <xf numFmtId="0" fontId="166" fillId="12" borderId="74" xfId="0" applyNumberFormat="1" applyFont="1" applyFill="1" applyBorder="1" applyAlignment="1" applyProtection="1">
      <alignment horizontal="left" vertical="center"/>
      <protection hidden="1"/>
    </xf>
    <xf numFmtId="0" fontId="166" fillId="12" borderId="36" xfId="0" applyNumberFormat="1" applyFont="1" applyFill="1" applyBorder="1" applyAlignment="1" applyProtection="1">
      <alignment horizontal="left" vertical="center"/>
      <protection hidden="1"/>
    </xf>
    <xf numFmtId="0" fontId="166" fillId="12" borderId="36" xfId="0" applyNumberFormat="1" applyFont="1" applyFill="1" applyBorder="1" applyAlignment="1" applyProtection="1">
      <alignment horizontal="center" vertical="center"/>
      <protection hidden="1"/>
    </xf>
    <xf numFmtId="0" fontId="166" fillId="12" borderId="20" xfId="0" applyNumberFormat="1" applyFont="1" applyFill="1" applyBorder="1" applyAlignment="1" applyProtection="1">
      <alignment horizontal="left" vertical="center"/>
      <protection hidden="1"/>
    </xf>
    <xf numFmtId="167" fontId="166" fillId="13" borderId="12" xfId="0" applyNumberFormat="1" applyFont="1" applyFill="1" applyBorder="1" applyAlignment="1" applyProtection="1">
      <alignment horizontal="center" vertical="center"/>
      <protection hidden="1"/>
    </xf>
    <xf numFmtId="0" fontId="166" fillId="13" borderId="76" xfId="0" applyNumberFormat="1" applyFont="1" applyFill="1" applyBorder="1" applyAlignment="1" applyProtection="1">
      <alignment horizontal="left" vertical="center"/>
      <protection hidden="1"/>
    </xf>
    <xf numFmtId="0" fontId="166" fillId="13" borderId="57" xfId="0" applyNumberFormat="1" applyFont="1" applyFill="1" applyBorder="1" applyAlignment="1" applyProtection="1">
      <alignment horizontal="left" vertical="center"/>
      <protection hidden="1"/>
    </xf>
    <xf numFmtId="0" fontId="166" fillId="13" borderId="57" xfId="0" applyNumberFormat="1" applyFont="1" applyFill="1" applyBorder="1" applyAlignment="1" applyProtection="1">
      <alignment horizontal="center" vertical="center"/>
      <protection hidden="1"/>
    </xf>
    <xf numFmtId="0" fontId="166" fillId="13" borderId="56" xfId="0" applyNumberFormat="1" applyFont="1" applyFill="1" applyBorder="1" applyAlignment="1" applyProtection="1">
      <alignment horizontal="left" vertical="center"/>
      <protection hidden="1"/>
    </xf>
    <xf numFmtId="0" fontId="166" fillId="12" borderId="72" xfId="0" applyNumberFormat="1" applyFont="1" applyFill="1" applyBorder="1" applyAlignment="1" applyProtection="1">
      <alignment horizontal="center" vertical="center"/>
      <protection hidden="1"/>
    </xf>
    <xf numFmtId="0" fontId="166" fillId="12" borderId="78" xfId="0" applyNumberFormat="1" applyFont="1" applyFill="1" applyBorder="1" applyAlignment="1" applyProtection="1">
      <alignment horizontal="center" vertical="center"/>
      <protection hidden="1"/>
    </xf>
    <xf numFmtId="175" fontId="166" fillId="12" borderId="67" xfId="0" applyNumberFormat="1" applyFont="1" applyFill="1" applyBorder="1" applyAlignment="1" applyProtection="1">
      <alignment horizontal="center" vertical="center"/>
      <protection hidden="1"/>
    </xf>
    <xf numFmtId="0" fontId="166" fillId="13" borderId="16" xfId="0" applyNumberFormat="1" applyFont="1" applyFill="1" applyBorder="1" applyAlignment="1" applyProtection="1">
      <alignment horizontal="center" vertical="center"/>
      <protection hidden="1"/>
    </xf>
    <xf numFmtId="175" fontId="166" fillId="13" borderId="36" xfId="0" applyNumberFormat="1" applyFont="1" applyFill="1" applyBorder="1" applyAlignment="1" applyProtection="1">
      <alignment horizontal="center" vertical="center"/>
      <protection hidden="1"/>
    </xf>
    <xf numFmtId="0" fontId="166" fillId="12" borderId="16" xfId="0" applyNumberFormat="1" applyFont="1" applyFill="1" applyBorder="1" applyAlignment="1" applyProtection="1">
      <alignment horizontal="center" vertical="center"/>
      <protection hidden="1"/>
    </xf>
    <xf numFmtId="175" fontId="166" fillId="12" borderId="36" xfId="0" applyNumberFormat="1" applyFont="1" applyFill="1" applyBorder="1" applyAlignment="1" applyProtection="1">
      <alignment horizontal="center" vertical="center"/>
      <protection hidden="1"/>
    </xf>
    <xf numFmtId="0" fontId="166" fillId="13" borderId="63" xfId="0" applyNumberFormat="1" applyFont="1" applyFill="1" applyBorder="1" applyAlignment="1" applyProtection="1">
      <alignment horizontal="center" vertical="center"/>
      <protection hidden="1"/>
    </xf>
    <xf numFmtId="0" fontId="166" fillId="13" borderId="64" xfId="0" applyNumberFormat="1" applyFont="1" applyFill="1" applyBorder="1" applyAlignment="1" applyProtection="1">
      <alignment horizontal="center" vertical="center"/>
      <protection hidden="1"/>
    </xf>
    <xf numFmtId="175" fontId="166" fillId="13" borderId="57" xfId="0" applyNumberFormat="1" applyFont="1" applyFill="1" applyBorder="1" applyAlignment="1" applyProtection="1">
      <alignment horizontal="center" vertical="center"/>
      <protection hidden="1"/>
    </xf>
    <xf numFmtId="0" fontId="166" fillId="12" borderId="13" xfId="0" applyNumberFormat="1" applyFont="1" applyFill="1" applyBorder="1" applyAlignment="1" applyProtection="1">
      <alignment horizontal="center" vertical="center"/>
      <protection hidden="1"/>
    </xf>
    <xf numFmtId="167" fontId="164" fillId="11" borderId="35" xfId="0" applyNumberFormat="1" applyFont="1" applyFill="1" applyBorder="1" applyAlignment="1" applyProtection="1">
      <alignment horizontal="center" vertical="center" wrapText="1"/>
      <protection hidden="1"/>
    </xf>
    <xf numFmtId="0" fontId="166" fillId="13" borderId="11" xfId="0" applyNumberFormat="1" applyFont="1" applyFill="1" applyBorder="1" applyAlignment="1" applyProtection="1">
      <alignment horizontal="center" vertical="center"/>
      <protection hidden="1"/>
    </xf>
    <xf numFmtId="0" fontId="166" fillId="12" borderId="11" xfId="0" applyNumberFormat="1" applyFont="1" applyFill="1" applyBorder="1" applyAlignment="1" applyProtection="1">
      <alignment horizontal="center" vertical="center"/>
      <protection hidden="1"/>
    </xf>
    <xf numFmtId="0" fontId="166" fillId="13" borderId="12" xfId="0" applyNumberFormat="1" applyFont="1" applyFill="1" applyBorder="1" applyAlignment="1" applyProtection="1">
      <alignment horizontal="center" vertical="center"/>
      <protection hidden="1"/>
    </xf>
    <xf numFmtId="0" fontId="166" fillId="12" borderId="13" xfId="0" applyNumberFormat="1" applyFont="1" applyFill="1" applyBorder="1" applyAlignment="1" applyProtection="1">
      <alignment horizontal="left" vertical="center"/>
      <protection hidden="1"/>
    </xf>
    <xf numFmtId="0" fontId="166" fillId="12" borderId="178" xfId="0" applyNumberFormat="1" applyFont="1" applyFill="1" applyBorder="1" applyAlignment="1" applyProtection="1">
      <alignment horizontal="center" vertical="center"/>
      <protection hidden="1"/>
    </xf>
    <xf numFmtId="0" fontId="166" fillId="13" borderId="11" xfId="0" applyNumberFormat="1" applyFont="1" applyFill="1" applyBorder="1" applyAlignment="1" applyProtection="1">
      <alignment horizontal="left" vertical="center"/>
      <protection hidden="1"/>
    </xf>
    <xf numFmtId="0" fontId="166" fillId="13" borderId="1" xfId="0" applyNumberFormat="1" applyFont="1" applyFill="1" applyBorder="1" applyAlignment="1" applyProtection="1">
      <alignment horizontal="center" vertical="center"/>
      <protection hidden="1"/>
    </xf>
    <xf numFmtId="0" fontId="166" fillId="12" borderId="11" xfId="0" applyNumberFormat="1" applyFont="1" applyFill="1" applyBorder="1" applyAlignment="1" applyProtection="1">
      <alignment horizontal="left" vertical="center"/>
      <protection hidden="1"/>
    </xf>
    <xf numFmtId="0" fontId="166" fillId="12" borderId="1" xfId="0" applyNumberFormat="1" applyFont="1" applyFill="1" applyBorder="1" applyAlignment="1" applyProtection="1">
      <alignment horizontal="center" vertical="center"/>
      <protection hidden="1"/>
    </xf>
    <xf numFmtId="0" fontId="166" fillId="13" borderId="12" xfId="0" applyNumberFormat="1" applyFont="1" applyFill="1" applyBorder="1" applyAlignment="1" applyProtection="1">
      <alignment horizontal="left" vertical="center"/>
      <protection hidden="1"/>
    </xf>
    <xf numFmtId="0" fontId="166" fillId="13" borderId="82" xfId="0" applyNumberFormat="1" applyFont="1" applyFill="1" applyBorder="1" applyAlignment="1" applyProtection="1">
      <alignment horizontal="center" vertical="center"/>
      <protection hidden="1"/>
    </xf>
    <xf numFmtId="0" fontId="69" fillId="12" borderId="122" xfId="0" applyNumberFormat="1" applyFont="1" applyFill="1" applyBorder="1" applyAlignment="1" applyProtection="1">
      <alignment horizontal="center" vertical="center" wrapText="1"/>
      <protection hidden="1"/>
    </xf>
    <xf numFmtId="0" fontId="6" fillId="13" borderId="13" xfId="0" applyFont="1" applyFill="1" applyBorder="1" applyAlignment="1" applyProtection="1">
      <alignment horizontal="center" vertical="center"/>
      <protection hidden="1"/>
    </xf>
    <xf numFmtId="0" fontId="0" fillId="13" borderId="40" xfId="0" applyFill="1" applyBorder="1" applyProtection="1">
      <alignment vertical="center"/>
      <protection hidden="1"/>
    </xf>
    <xf numFmtId="0" fontId="0" fillId="13" borderId="13" xfId="0" applyFill="1" applyBorder="1" applyProtection="1">
      <alignment vertical="center"/>
      <protection hidden="1"/>
    </xf>
    <xf numFmtId="0" fontId="6" fillId="13" borderId="13" xfId="0" applyNumberFormat="1" applyFont="1" applyFill="1" applyBorder="1" applyAlignment="1" applyProtection="1">
      <alignment horizontal="center" vertical="center"/>
      <protection hidden="1"/>
    </xf>
    <xf numFmtId="0" fontId="55" fillId="13" borderId="13" xfId="0" applyFont="1" applyFill="1" applyBorder="1" applyAlignment="1" applyProtection="1">
      <alignment horizontal="center" vertical="center"/>
      <protection hidden="1"/>
    </xf>
    <xf numFmtId="0" fontId="124" fillId="11" borderId="0" xfId="0" applyNumberFormat="1" applyFont="1" applyFill="1" applyBorder="1" applyAlignment="1" applyProtection="1">
      <alignment horizontal="left" vertical="center"/>
      <protection hidden="1"/>
    </xf>
    <xf numFmtId="0" fontId="0" fillId="12" borderId="132" xfId="0" applyFill="1" applyBorder="1" applyProtection="1">
      <alignment vertical="center"/>
      <protection hidden="1"/>
    </xf>
    <xf numFmtId="0" fontId="89" fillId="14" borderId="195" xfId="0" applyFont="1" applyFill="1" applyBorder="1" applyAlignment="1" applyProtection="1">
      <alignment horizontal="center" vertical="center" readingOrder="1"/>
      <protection hidden="1"/>
    </xf>
    <xf numFmtId="0" fontId="51" fillId="14" borderId="141" xfId="0" applyFont="1" applyFill="1" applyBorder="1" applyAlignment="1" applyProtection="1">
      <alignment vertical="center"/>
      <protection hidden="1"/>
    </xf>
    <xf numFmtId="0" fontId="90" fillId="14" borderId="141" xfId="0" applyFont="1" applyFill="1" applyBorder="1" applyAlignment="1" applyProtection="1">
      <alignment horizontal="center" vertical="center" readingOrder="1"/>
      <protection hidden="1"/>
    </xf>
    <xf numFmtId="0" fontId="51" fillId="14" borderId="204" xfId="0" applyFont="1" applyFill="1" applyBorder="1" applyAlignment="1" applyProtection="1">
      <alignment vertical="center"/>
      <protection hidden="1"/>
    </xf>
    <xf numFmtId="0" fontId="7" fillId="13" borderId="41" xfId="0" applyFont="1" applyFill="1" applyBorder="1" applyAlignment="1" applyProtection="1">
      <alignment horizontal="center" vertical="center" wrapText="1"/>
      <protection hidden="1"/>
    </xf>
    <xf numFmtId="0" fontId="7" fillId="13" borderId="95" xfId="0" applyFont="1" applyFill="1" applyBorder="1" applyAlignment="1" applyProtection="1">
      <alignment horizontal="center" vertical="center" wrapText="1"/>
      <protection hidden="1"/>
    </xf>
    <xf numFmtId="0" fontId="7" fillId="13" borderId="35" xfId="0" applyFont="1" applyFill="1" applyBorder="1" applyAlignment="1" applyProtection="1">
      <alignment horizontal="center" vertical="center" wrapText="1"/>
      <protection hidden="1"/>
    </xf>
    <xf numFmtId="0" fontId="239" fillId="11" borderId="202" xfId="0" applyNumberFormat="1" applyFont="1" applyFill="1" applyBorder="1" applyAlignment="1" applyProtection="1">
      <alignment horizontal="center" vertical="center"/>
      <protection hidden="1"/>
    </xf>
    <xf numFmtId="0" fontId="264" fillId="13" borderId="47" xfId="0" applyNumberFormat="1" applyFont="1" applyFill="1" applyBorder="1" applyAlignment="1" applyProtection="1">
      <alignment horizontal="center" vertical="center"/>
      <protection hidden="1"/>
    </xf>
    <xf numFmtId="0" fontId="197" fillId="13" borderId="116" xfId="0" applyFont="1" applyFill="1" applyBorder="1" applyAlignment="1" applyProtection="1">
      <alignment vertical="center"/>
      <protection hidden="1"/>
    </xf>
    <xf numFmtId="170" fontId="21" fillId="13" borderId="155" xfId="0" applyNumberFormat="1" applyFont="1" applyFill="1" applyBorder="1" applyAlignment="1" applyProtection="1">
      <alignment horizontal="center" vertical="center" wrapText="1"/>
      <protection hidden="1"/>
    </xf>
    <xf numFmtId="170" fontId="21" fillId="13" borderId="202" xfId="0" applyNumberFormat="1" applyFont="1" applyFill="1" applyBorder="1" applyAlignment="1" applyProtection="1">
      <alignment horizontal="center" vertical="center" wrapText="1"/>
      <protection locked="0"/>
    </xf>
    <xf numFmtId="0" fontId="21" fillId="13" borderId="205" xfId="0" applyFont="1" applyFill="1" applyBorder="1" applyAlignment="1" applyProtection="1">
      <alignment horizontal="center" vertical="center"/>
      <protection hidden="1"/>
    </xf>
    <xf numFmtId="0" fontId="134" fillId="13" borderId="47" xfId="0" applyFont="1" applyFill="1" applyBorder="1" applyAlignment="1" applyProtection="1">
      <alignment horizontal="left" vertical="center" wrapText="1"/>
      <protection hidden="1"/>
    </xf>
    <xf numFmtId="0" fontId="134" fillId="13" borderId="47" xfId="0" applyFont="1" applyFill="1" applyBorder="1" applyAlignment="1" applyProtection="1">
      <alignment horizontal="left" vertical="center"/>
      <protection hidden="1"/>
    </xf>
    <xf numFmtId="0" fontId="134" fillId="13" borderId="47" xfId="0" applyFont="1" applyFill="1" applyBorder="1" applyAlignment="1" applyProtection="1">
      <alignment horizontal="center" vertical="center"/>
      <protection hidden="1"/>
    </xf>
    <xf numFmtId="0" fontId="50" fillId="13" borderId="47" xfId="0" applyFont="1" applyFill="1" applyBorder="1" applyAlignment="1" applyProtection="1">
      <alignment horizontal="center" vertical="center"/>
      <protection hidden="1"/>
    </xf>
    <xf numFmtId="0" fontId="134" fillId="13" borderId="44" xfId="0" applyFont="1" applyFill="1" applyBorder="1" applyAlignment="1" applyProtection="1">
      <alignment horizontal="right" vertical="center"/>
      <protection hidden="1"/>
    </xf>
    <xf numFmtId="0" fontId="259" fillId="13" borderId="46" xfId="0" applyFont="1" applyFill="1" applyBorder="1" applyAlignment="1" applyProtection="1">
      <alignment horizontal="center" vertical="center" wrapText="1"/>
      <protection hidden="1"/>
    </xf>
    <xf numFmtId="176" fontId="55" fillId="11" borderId="39" xfId="0" applyNumberFormat="1" applyFont="1" applyFill="1" applyBorder="1" applyAlignment="1" applyProtection="1">
      <alignment horizontal="center" vertical="center"/>
      <protection hidden="1"/>
    </xf>
    <xf numFmtId="0" fontId="6" fillId="13" borderId="33" xfId="0" applyNumberFormat="1" applyFont="1" applyFill="1" applyBorder="1" applyAlignment="1" applyProtection="1">
      <alignment horizontal="center" vertical="center"/>
      <protection hidden="1"/>
    </xf>
    <xf numFmtId="0" fontId="55" fillId="13" borderId="33" xfId="0" applyFont="1" applyFill="1" applyBorder="1" applyAlignment="1" applyProtection="1">
      <alignment horizontal="center" vertical="center"/>
      <protection hidden="1"/>
    </xf>
    <xf numFmtId="0" fontId="55" fillId="13" borderId="33" xfId="0" applyNumberFormat="1" applyFont="1" applyFill="1" applyBorder="1" applyAlignment="1" applyProtection="1">
      <alignment horizontal="center" vertical="center"/>
      <protection hidden="1"/>
    </xf>
    <xf numFmtId="0" fontId="6" fillId="13" borderId="33" xfId="0" applyFont="1" applyFill="1" applyBorder="1" applyAlignment="1" applyProtection="1">
      <alignment horizontal="center" vertical="center"/>
      <protection hidden="1"/>
    </xf>
    <xf numFmtId="0" fontId="232" fillId="0" borderId="90" xfId="0" applyFont="1" applyBorder="1" applyAlignment="1" applyProtection="1">
      <alignment horizontal="center" vertical="center"/>
      <protection hidden="1"/>
    </xf>
    <xf numFmtId="0" fontId="235" fillId="0" borderId="90" xfId="0" applyFont="1" applyBorder="1" applyAlignment="1" applyProtection="1">
      <alignment horizontal="center" vertical="center"/>
      <protection hidden="1"/>
    </xf>
    <xf numFmtId="0" fontId="235" fillId="0" borderId="44" xfId="0" applyFont="1" applyBorder="1" applyAlignment="1" applyProtection="1">
      <alignment horizontal="center" vertical="center"/>
      <protection hidden="1"/>
    </xf>
    <xf numFmtId="0" fontId="21" fillId="12" borderId="110" xfId="0" applyFont="1" applyFill="1" applyBorder="1" applyAlignment="1" applyProtection="1">
      <alignment horizontal="center" vertical="center" wrapText="1"/>
      <protection hidden="1"/>
    </xf>
    <xf numFmtId="0" fontId="202" fillId="13" borderId="102" xfId="0" applyFont="1" applyFill="1" applyBorder="1" applyAlignment="1" applyProtection="1">
      <alignment horizontal="center" vertical="center"/>
      <protection hidden="1"/>
    </xf>
    <xf numFmtId="0" fontId="202" fillId="13" borderId="177" xfId="0" applyFont="1" applyFill="1" applyBorder="1" applyAlignment="1" applyProtection="1">
      <alignment horizontal="center" vertical="center"/>
      <protection hidden="1"/>
    </xf>
    <xf numFmtId="0" fontId="228" fillId="12" borderId="47" xfId="0" applyNumberFormat="1" applyFont="1" applyFill="1" applyBorder="1" applyAlignment="1" applyProtection="1">
      <alignment horizontal="center" vertical="center"/>
      <protection hidden="1"/>
    </xf>
    <xf numFmtId="0" fontId="203" fillId="12" borderId="47" xfId="0" applyNumberFormat="1" applyFont="1" applyFill="1" applyBorder="1" applyAlignment="1" applyProtection="1">
      <alignment horizontal="center" vertical="center"/>
      <protection hidden="1"/>
    </xf>
    <xf numFmtId="0" fontId="226" fillId="12" borderId="47" xfId="0" applyNumberFormat="1" applyFont="1" applyFill="1" applyBorder="1" applyAlignment="1" applyProtection="1">
      <alignment horizontal="center" vertical="center"/>
      <protection hidden="1"/>
    </xf>
    <xf numFmtId="0" fontId="227" fillId="12" borderId="47" xfId="0" applyNumberFormat="1" applyFont="1" applyFill="1" applyBorder="1" applyAlignment="1" applyProtection="1">
      <alignment horizontal="center" vertical="center"/>
      <protection hidden="1"/>
    </xf>
    <xf numFmtId="0" fontId="228" fillId="12" borderId="2" xfId="0" applyNumberFormat="1" applyFont="1" applyFill="1" applyBorder="1" applyAlignment="1" applyProtection="1">
      <alignment horizontal="left" vertical="center"/>
      <protection hidden="1"/>
    </xf>
    <xf numFmtId="0" fontId="228" fillId="12" borderId="36" xfId="0" applyNumberFormat="1" applyFont="1" applyFill="1" applyBorder="1" applyAlignment="1" applyProtection="1">
      <alignment horizontal="center" vertical="center"/>
      <protection hidden="1"/>
    </xf>
    <xf numFmtId="0" fontId="228" fillId="12" borderId="1" xfId="0" applyNumberFormat="1" applyFont="1" applyFill="1" applyBorder="1" applyAlignment="1" applyProtection="1">
      <alignment horizontal="center" vertical="center"/>
      <protection hidden="1"/>
    </xf>
    <xf numFmtId="0" fontId="228" fillId="12" borderId="156" xfId="0" applyNumberFormat="1" applyFont="1" applyFill="1" applyBorder="1" applyAlignment="1" applyProtection="1">
      <alignment horizontal="center" vertical="center"/>
      <protection hidden="1"/>
    </xf>
    <xf numFmtId="0" fontId="228" fillId="12" borderId="2" xfId="0" applyNumberFormat="1" applyFont="1" applyFill="1" applyBorder="1" applyAlignment="1" applyProtection="1">
      <alignment horizontal="center" vertical="center"/>
      <protection hidden="1"/>
    </xf>
    <xf numFmtId="0" fontId="228" fillId="12" borderId="61" xfId="0" applyFont="1" applyFill="1" applyBorder="1" applyAlignment="1" applyProtection="1">
      <alignment horizontal="center" vertical="center"/>
      <protection hidden="1"/>
    </xf>
    <xf numFmtId="0" fontId="228" fillId="12" borderId="1" xfId="0" applyFont="1" applyFill="1" applyBorder="1" applyAlignment="1" applyProtection="1">
      <alignment horizontal="center" vertical="center"/>
      <protection hidden="1"/>
    </xf>
    <xf numFmtId="0" fontId="228" fillId="12" borderId="61" xfId="0" applyNumberFormat="1" applyFont="1" applyFill="1" applyBorder="1" applyAlignment="1" applyProtection="1">
      <alignment horizontal="center" vertical="center"/>
      <protection hidden="1"/>
    </xf>
    <xf numFmtId="0" fontId="228" fillId="12" borderId="74" xfId="0" applyNumberFormat="1" applyFont="1" applyFill="1" applyBorder="1" applyAlignment="1" applyProtection="1">
      <alignment horizontal="center" vertical="center"/>
      <protection hidden="1"/>
    </xf>
    <xf numFmtId="0" fontId="228" fillId="12" borderId="20" xfId="0" applyNumberFormat="1" applyFont="1" applyFill="1" applyBorder="1" applyAlignment="1" applyProtection="1">
      <alignment horizontal="center" vertical="center"/>
      <protection hidden="1"/>
    </xf>
    <xf numFmtId="0" fontId="203" fillId="12" borderId="2" xfId="0" applyNumberFormat="1" applyFont="1" applyFill="1" applyBorder="1" applyAlignment="1" applyProtection="1">
      <alignment horizontal="left" vertical="center"/>
      <protection hidden="1"/>
    </xf>
    <xf numFmtId="0" fontId="203" fillId="12" borderId="1" xfId="0" applyNumberFormat="1" applyFont="1" applyFill="1" applyBorder="1" applyAlignment="1" applyProtection="1">
      <alignment horizontal="center" vertical="center"/>
      <protection hidden="1"/>
    </xf>
    <xf numFmtId="0" fontId="203" fillId="12" borderId="156" xfId="0" applyNumberFormat="1" applyFont="1" applyFill="1" applyBorder="1" applyAlignment="1" applyProtection="1">
      <alignment horizontal="center" vertical="center"/>
      <protection hidden="1"/>
    </xf>
    <xf numFmtId="0" fontId="203" fillId="12" borderId="2" xfId="0" applyNumberFormat="1" applyFont="1" applyFill="1" applyBorder="1" applyAlignment="1" applyProtection="1">
      <alignment horizontal="center" vertical="center"/>
      <protection hidden="1"/>
    </xf>
    <xf numFmtId="0" fontId="203" fillId="12" borderId="61" xfId="0" applyFont="1" applyFill="1" applyBorder="1" applyAlignment="1" applyProtection="1">
      <alignment horizontal="center" vertical="center"/>
      <protection hidden="1"/>
    </xf>
    <xf numFmtId="0" fontId="203" fillId="12" borderId="1" xfId="0" applyFont="1" applyFill="1" applyBorder="1" applyAlignment="1" applyProtection="1">
      <alignment horizontal="center" vertical="center"/>
      <protection hidden="1"/>
    </xf>
    <xf numFmtId="0" fontId="203" fillId="12" borderId="61" xfId="0" applyNumberFormat="1" applyFont="1" applyFill="1" applyBorder="1" applyAlignment="1" applyProtection="1">
      <alignment horizontal="center" vertical="center"/>
      <protection hidden="1"/>
    </xf>
    <xf numFmtId="0" fontId="203" fillId="12" borderId="74" xfId="0" applyNumberFormat="1" applyFont="1" applyFill="1" applyBorder="1" applyAlignment="1" applyProtection="1">
      <alignment horizontal="center" vertical="center"/>
      <protection hidden="1"/>
    </xf>
    <xf numFmtId="0" fontId="203" fillId="12" borderId="20" xfId="0" applyNumberFormat="1" applyFont="1" applyFill="1" applyBorder="1" applyAlignment="1" applyProtection="1">
      <alignment horizontal="center" vertical="center"/>
      <protection hidden="1"/>
    </xf>
    <xf numFmtId="0" fontId="204" fillId="13" borderId="189" xfId="0" applyNumberFormat="1" applyFont="1" applyFill="1" applyBorder="1" applyAlignment="1" applyProtection="1">
      <alignment horizontal="left" vertical="center"/>
      <protection hidden="1"/>
    </xf>
    <xf numFmtId="0" fontId="204" fillId="13" borderId="64" xfId="0" applyNumberFormat="1" applyFont="1" applyFill="1" applyBorder="1" applyAlignment="1" applyProtection="1">
      <alignment horizontal="center" vertical="center"/>
      <protection hidden="1"/>
    </xf>
    <xf numFmtId="0" fontId="204" fillId="13" borderId="9" xfId="0" applyNumberFormat="1" applyFont="1" applyFill="1" applyBorder="1" applyAlignment="1" applyProtection="1">
      <alignment horizontal="center" vertical="center"/>
      <protection hidden="1"/>
    </xf>
    <xf numFmtId="0" fontId="204" fillId="13" borderId="158" xfId="0" applyNumberFormat="1" applyFont="1" applyFill="1" applyBorder="1" applyAlignment="1" applyProtection="1">
      <alignment horizontal="center" vertical="center"/>
      <protection hidden="1"/>
    </xf>
    <xf numFmtId="0" fontId="204" fillId="13" borderId="189" xfId="0" applyNumberFormat="1" applyFont="1" applyFill="1" applyBorder="1" applyAlignment="1" applyProtection="1">
      <alignment horizontal="center" vertical="center"/>
      <protection hidden="1"/>
    </xf>
    <xf numFmtId="0" fontId="204" fillId="13" borderId="96" xfId="0" applyFont="1" applyFill="1" applyBorder="1" applyAlignment="1" applyProtection="1">
      <alignment horizontal="center" vertical="center"/>
      <protection hidden="1"/>
    </xf>
    <xf numFmtId="0" fontId="204" fillId="13" borderId="9" xfId="0" applyFont="1" applyFill="1" applyBorder="1" applyAlignment="1" applyProtection="1">
      <alignment horizontal="center" vertical="center"/>
      <protection hidden="1"/>
    </xf>
    <xf numFmtId="0" fontId="204" fillId="13" borderId="96" xfId="0" applyNumberFormat="1" applyFont="1" applyFill="1" applyBorder="1" applyAlignment="1" applyProtection="1">
      <alignment horizontal="center" vertical="center"/>
      <protection hidden="1"/>
    </xf>
    <xf numFmtId="0" fontId="204" fillId="13" borderId="103" xfId="0" applyNumberFormat="1" applyFont="1" applyFill="1" applyBorder="1" applyAlignment="1" applyProtection="1">
      <alignment horizontal="center" vertical="center"/>
      <protection hidden="1"/>
    </xf>
    <xf numFmtId="0" fontId="204" fillId="13" borderId="58" xfId="0" applyNumberFormat="1" applyFont="1" applyFill="1" applyBorder="1" applyAlignment="1" applyProtection="1">
      <alignment horizontal="center" vertical="center"/>
      <protection hidden="1"/>
    </xf>
    <xf numFmtId="0" fontId="234" fillId="13" borderId="205" xfId="0" applyNumberFormat="1" applyFont="1" applyFill="1" applyBorder="1" applyAlignment="1" applyProtection="1">
      <alignment horizontal="center" vertical="center"/>
      <protection hidden="1"/>
    </xf>
    <xf numFmtId="0" fontId="204" fillId="13" borderId="53" xfId="0" applyNumberFormat="1" applyFont="1" applyFill="1" applyBorder="1" applyAlignment="1" applyProtection="1">
      <alignment horizontal="center" vertical="center"/>
      <protection hidden="1"/>
    </xf>
    <xf numFmtId="0" fontId="226" fillId="12" borderId="2" xfId="0" applyNumberFormat="1" applyFont="1" applyFill="1" applyBorder="1" applyAlignment="1" applyProtection="1">
      <alignment horizontal="left" vertical="center"/>
      <protection hidden="1"/>
    </xf>
    <xf numFmtId="0" fontId="226" fillId="12" borderId="36" xfId="0" applyNumberFormat="1" applyFont="1" applyFill="1" applyBorder="1" applyAlignment="1" applyProtection="1">
      <alignment horizontal="center" vertical="center"/>
      <protection hidden="1"/>
    </xf>
    <xf numFmtId="0" fontId="226" fillId="12" borderId="1" xfId="0" applyNumberFormat="1" applyFont="1" applyFill="1" applyBorder="1" applyAlignment="1" applyProtection="1">
      <alignment horizontal="center" vertical="center"/>
      <protection hidden="1"/>
    </xf>
    <xf numFmtId="0" fontId="226" fillId="12" borderId="156" xfId="0" applyNumberFormat="1" applyFont="1" applyFill="1" applyBorder="1" applyAlignment="1" applyProtection="1">
      <alignment horizontal="center" vertical="center"/>
      <protection hidden="1"/>
    </xf>
    <xf numFmtId="0" fontId="226" fillId="12" borderId="2" xfId="0" applyNumberFormat="1" applyFont="1" applyFill="1" applyBorder="1" applyAlignment="1" applyProtection="1">
      <alignment horizontal="center" vertical="center"/>
      <protection hidden="1"/>
    </xf>
    <xf numFmtId="0" fontId="226" fillId="12" borderId="61" xfId="0" applyFont="1" applyFill="1" applyBorder="1" applyAlignment="1" applyProtection="1">
      <alignment horizontal="center" vertical="center"/>
      <protection hidden="1"/>
    </xf>
    <xf numFmtId="0" fontId="226" fillId="12" borderId="1" xfId="0" applyFont="1" applyFill="1" applyBorder="1" applyAlignment="1" applyProtection="1">
      <alignment horizontal="center" vertical="center"/>
      <protection hidden="1"/>
    </xf>
    <xf numFmtId="0" fontId="226" fillId="12" borderId="61" xfId="0" applyNumberFormat="1" applyFont="1" applyFill="1" applyBorder="1" applyAlignment="1" applyProtection="1">
      <alignment horizontal="center" vertical="center"/>
      <protection hidden="1"/>
    </xf>
    <xf numFmtId="0" fontId="226" fillId="12" borderId="74" xfId="0" applyNumberFormat="1" applyFont="1" applyFill="1" applyBorder="1" applyAlignment="1" applyProtection="1">
      <alignment horizontal="center" vertical="center"/>
      <protection hidden="1"/>
    </xf>
    <xf numFmtId="0" fontId="226" fillId="12" borderId="20" xfId="0" applyNumberFormat="1" applyFont="1" applyFill="1" applyBorder="1" applyAlignment="1" applyProtection="1">
      <alignment horizontal="center" vertical="center"/>
      <protection hidden="1"/>
    </xf>
    <xf numFmtId="0" fontId="229" fillId="13" borderId="213" xfId="0" applyNumberFormat="1" applyFont="1" applyFill="1" applyBorder="1" applyAlignment="1" applyProtection="1">
      <alignment horizontal="left" vertical="center"/>
      <protection hidden="1"/>
    </xf>
    <xf numFmtId="0" fontId="229" fillId="13" borderId="68" xfId="0" applyNumberFormat="1" applyFont="1" applyFill="1" applyBorder="1" applyAlignment="1" applyProtection="1">
      <alignment horizontal="center" vertical="center"/>
      <protection hidden="1"/>
    </xf>
    <xf numFmtId="0" fontId="229" fillId="13" borderId="178" xfId="0" applyNumberFormat="1" applyFont="1" applyFill="1" applyBorder="1" applyAlignment="1" applyProtection="1">
      <alignment horizontal="center" vertical="center"/>
      <protection hidden="1"/>
    </xf>
    <xf numFmtId="0" fontId="229" fillId="13" borderId="89" xfId="0" applyNumberFormat="1" applyFont="1" applyFill="1" applyBorder="1" applyAlignment="1" applyProtection="1">
      <alignment horizontal="center" vertical="center"/>
      <protection hidden="1"/>
    </xf>
    <xf numFmtId="0" fontId="229" fillId="13" borderId="213" xfId="0" applyNumberFormat="1" applyFont="1" applyFill="1" applyBorder="1" applyAlignment="1" applyProtection="1">
      <alignment horizontal="center" vertical="center"/>
      <protection hidden="1"/>
    </xf>
    <xf numFmtId="0" fontId="229" fillId="13" borderId="154" xfId="0" applyNumberFormat="1" applyFont="1" applyFill="1" applyBorder="1" applyAlignment="1" applyProtection="1">
      <alignment horizontal="center" vertical="center"/>
      <protection hidden="1"/>
    </xf>
    <xf numFmtId="0" fontId="229" fillId="13" borderId="75" xfId="0" applyNumberFormat="1" applyFont="1" applyFill="1" applyBorder="1" applyAlignment="1" applyProtection="1">
      <alignment horizontal="center" vertical="center"/>
      <protection hidden="1"/>
    </xf>
    <xf numFmtId="0" fontId="229" fillId="13" borderId="70" xfId="0" applyNumberFormat="1" applyFont="1" applyFill="1" applyBorder="1" applyAlignment="1" applyProtection="1">
      <alignment horizontal="center" vertical="center"/>
      <protection hidden="1"/>
    </xf>
    <xf numFmtId="0" fontId="229" fillId="13" borderId="154" xfId="0" applyFont="1" applyFill="1" applyBorder="1" applyAlignment="1" applyProtection="1">
      <alignment horizontal="center" vertical="center"/>
      <protection hidden="1"/>
    </xf>
    <xf numFmtId="0" fontId="229" fillId="13" borderId="178" xfId="0" applyFont="1" applyFill="1" applyBorder="1" applyAlignment="1" applyProtection="1">
      <alignment horizontal="center" vertical="center"/>
      <protection hidden="1"/>
    </xf>
    <xf numFmtId="0" fontId="227" fillId="12" borderId="2" xfId="0" applyNumberFormat="1" applyFont="1" applyFill="1" applyBorder="1" applyAlignment="1" applyProtection="1">
      <alignment horizontal="left" vertical="center"/>
      <protection hidden="1"/>
    </xf>
    <xf numFmtId="0" fontId="227" fillId="12" borderId="36" xfId="0" applyNumberFormat="1" applyFont="1" applyFill="1" applyBorder="1" applyAlignment="1" applyProtection="1">
      <alignment horizontal="center" vertical="center"/>
      <protection hidden="1"/>
    </xf>
    <xf numFmtId="0" fontId="227" fillId="12" borderId="1" xfId="0" applyNumberFormat="1" applyFont="1" applyFill="1" applyBorder="1" applyAlignment="1" applyProtection="1">
      <alignment horizontal="center" vertical="center"/>
      <protection hidden="1"/>
    </xf>
    <xf numFmtId="0" fontId="227" fillId="12" borderId="156" xfId="0" applyNumberFormat="1" applyFont="1" applyFill="1" applyBorder="1" applyAlignment="1" applyProtection="1">
      <alignment horizontal="center" vertical="center"/>
      <protection hidden="1"/>
    </xf>
    <xf numFmtId="0" fontId="227" fillId="12" borderId="2" xfId="0" applyNumberFormat="1" applyFont="1" applyFill="1" applyBorder="1" applyAlignment="1" applyProtection="1">
      <alignment horizontal="center" vertical="center"/>
      <protection hidden="1"/>
    </xf>
    <xf numFmtId="0" fontId="227" fillId="12" borderId="61" xfId="0" applyFont="1" applyFill="1" applyBorder="1" applyAlignment="1" applyProtection="1">
      <alignment horizontal="center" vertical="center"/>
      <protection hidden="1"/>
    </xf>
    <xf numFmtId="0" fontId="227" fillId="12" borderId="1" xfId="0" applyFont="1" applyFill="1" applyBorder="1" applyAlignment="1" applyProtection="1">
      <alignment horizontal="center" vertical="center"/>
      <protection hidden="1"/>
    </xf>
    <xf numFmtId="0" fontId="227" fillId="12" borderId="61" xfId="0" applyNumberFormat="1" applyFont="1" applyFill="1" applyBorder="1" applyAlignment="1" applyProtection="1">
      <alignment horizontal="center" vertical="center"/>
      <protection hidden="1"/>
    </xf>
    <xf numFmtId="0" fontId="227" fillId="12" borderId="74" xfId="0" applyNumberFormat="1" applyFont="1" applyFill="1" applyBorder="1" applyAlignment="1" applyProtection="1">
      <alignment horizontal="center" vertical="center"/>
      <protection hidden="1"/>
    </xf>
    <xf numFmtId="0" fontId="227" fillId="12" borderId="20" xfId="0" applyNumberFormat="1" applyFont="1" applyFill="1" applyBorder="1" applyAlignment="1" applyProtection="1">
      <alignment horizontal="center" vertical="center"/>
      <protection hidden="1"/>
    </xf>
    <xf numFmtId="0" fontId="51" fillId="13" borderId="213" xfId="0" applyNumberFormat="1" applyFont="1" applyFill="1" applyBorder="1" applyAlignment="1" applyProtection="1">
      <alignment horizontal="left" vertical="center"/>
      <protection hidden="1"/>
    </xf>
    <xf numFmtId="0" fontId="51" fillId="13" borderId="68" xfId="0" applyNumberFormat="1" applyFont="1" applyFill="1" applyBorder="1" applyAlignment="1" applyProtection="1">
      <alignment horizontal="center" vertical="center"/>
      <protection hidden="1"/>
    </xf>
    <xf numFmtId="0" fontId="51" fillId="13" borderId="178" xfId="0" applyNumberFormat="1" applyFont="1" applyFill="1" applyBorder="1" applyAlignment="1" applyProtection="1">
      <alignment horizontal="center" vertical="center"/>
      <protection hidden="1"/>
    </xf>
    <xf numFmtId="0" fontId="51" fillId="13" borderId="89" xfId="0" applyNumberFormat="1" applyFont="1" applyFill="1" applyBorder="1" applyAlignment="1" applyProtection="1">
      <alignment horizontal="center" vertical="center"/>
      <protection hidden="1"/>
    </xf>
    <xf numFmtId="0" fontId="51" fillId="13" borderId="213" xfId="0" applyNumberFormat="1" applyFont="1" applyFill="1" applyBorder="1" applyAlignment="1" applyProtection="1">
      <alignment horizontal="center" vertical="center"/>
      <protection hidden="1"/>
    </xf>
    <xf numFmtId="0" fontId="51" fillId="13" borderId="99" xfId="0" applyFont="1" applyFill="1" applyBorder="1" applyAlignment="1" applyProtection="1">
      <alignment horizontal="center" vertical="center"/>
      <protection hidden="1"/>
    </xf>
    <xf numFmtId="0" fontId="51" fillId="13" borderId="62" xfId="0" applyNumberFormat="1" applyFont="1" applyFill="1" applyBorder="1" applyAlignment="1" applyProtection="1">
      <alignment horizontal="center" vertical="center"/>
      <protection hidden="1"/>
    </xf>
    <xf numFmtId="0" fontId="51" fillId="13" borderId="4" xfId="0" applyFont="1" applyFill="1" applyBorder="1" applyAlignment="1" applyProtection="1">
      <alignment horizontal="center" vertical="center"/>
      <protection hidden="1"/>
    </xf>
    <xf numFmtId="0" fontId="51" fillId="13" borderId="154" xfId="0" applyNumberFormat="1" applyFont="1" applyFill="1" applyBorder="1" applyAlignment="1" applyProtection="1">
      <alignment horizontal="center" vertical="center"/>
      <protection hidden="1"/>
    </xf>
    <xf numFmtId="0" fontId="51" fillId="13" borderId="75" xfId="0" applyNumberFormat="1" applyFont="1" applyFill="1" applyBorder="1" applyAlignment="1" applyProtection="1">
      <alignment horizontal="center" vertical="center"/>
      <protection hidden="1"/>
    </xf>
    <xf numFmtId="0" fontId="51" fillId="13" borderId="70" xfId="0" applyNumberFormat="1" applyFont="1" applyFill="1" applyBorder="1" applyAlignment="1" applyProtection="1">
      <alignment horizontal="center" vertical="center"/>
      <protection hidden="1"/>
    </xf>
    <xf numFmtId="0" fontId="202" fillId="10" borderId="191" xfId="0" applyNumberFormat="1" applyFont="1" applyFill="1" applyBorder="1" applyAlignment="1" applyProtection="1">
      <alignment horizontal="left" vertical="center"/>
      <protection hidden="1"/>
    </xf>
    <xf numFmtId="0" fontId="202" fillId="10" borderId="67" xfId="0" applyNumberFormat="1" applyFont="1" applyFill="1" applyBorder="1" applyAlignment="1" applyProtection="1">
      <alignment horizontal="center" vertical="center"/>
      <protection hidden="1"/>
    </xf>
    <xf numFmtId="0" fontId="202" fillId="10" borderId="177" xfId="0" applyNumberFormat="1" applyFont="1" applyFill="1" applyBorder="1" applyAlignment="1" applyProtection="1">
      <alignment horizontal="center" vertical="center"/>
      <protection hidden="1"/>
    </xf>
    <xf numFmtId="0" fontId="202" fillId="10" borderId="113" xfId="0" applyNumberFormat="1" applyFont="1" applyFill="1" applyBorder="1" applyAlignment="1" applyProtection="1">
      <alignment horizontal="center" vertical="center"/>
      <protection hidden="1"/>
    </xf>
    <xf numFmtId="0" fontId="202" fillId="10" borderId="191" xfId="0" applyNumberFormat="1" applyFont="1" applyFill="1" applyBorder="1" applyAlignment="1" applyProtection="1">
      <alignment horizontal="center" vertical="center"/>
      <protection hidden="1"/>
    </xf>
    <xf numFmtId="0" fontId="202" fillId="10" borderId="71" xfId="0" applyFont="1" applyFill="1" applyBorder="1" applyAlignment="1" applyProtection="1">
      <alignment horizontal="center" vertical="center"/>
      <protection hidden="1"/>
    </xf>
    <xf numFmtId="0" fontId="202" fillId="10" borderId="78" xfId="0" applyNumberFormat="1" applyFont="1" applyFill="1" applyBorder="1" applyAlignment="1" applyProtection="1">
      <alignment horizontal="center" vertical="center"/>
      <protection hidden="1"/>
    </xf>
    <xf numFmtId="0" fontId="202" fillId="10" borderId="163" xfId="0" applyFont="1" applyFill="1" applyBorder="1" applyAlignment="1" applyProtection="1">
      <alignment horizontal="center" vertical="center"/>
      <protection hidden="1"/>
    </xf>
    <xf numFmtId="0" fontId="202" fillId="10" borderId="102" xfId="0" applyNumberFormat="1" applyFont="1" applyFill="1" applyBorder="1" applyAlignment="1" applyProtection="1">
      <alignment horizontal="center" vertical="center"/>
      <protection hidden="1"/>
    </xf>
    <xf numFmtId="0" fontId="202" fillId="10" borderId="73" xfId="0" applyNumberFormat="1" applyFont="1" applyFill="1" applyBorder="1" applyAlignment="1" applyProtection="1">
      <alignment horizontal="center" vertical="center"/>
      <protection hidden="1"/>
    </xf>
    <xf numFmtId="0" fontId="202" fillId="10" borderId="69" xfId="0" applyNumberFormat="1" applyFont="1" applyFill="1" applyBorder="1" applyAlignment="1" applyProtection="1">
      <alignment horizontal="center" vertical="center"/>
      <protection hidden="1"/>
    </xf>
    <xf numFmtId="0" fontId="51" fillId="23" borderId="191" xfId="0" applyNumberFormat="1" applyFont="1" applyFill="1" applyBorder="1" applyAlignment="1" applyProtection="1">
      <alignment horizontal="left" vertical="center"/>
      <protection hidden="1"/>
    </xf>
    <xf numFmtId="0" fontId="51" fillId="23" borderId="67" xfId="0" applyNumberFormat="1" applyFont="1" applyFill="1" applyBorder="1" applyAlignment="1" applyProtection="1">
      <alignment horizontal="center" vertical="center"/>
      <protection hidden="1"/>
    </xf>
    <xf numFmtId="0" fontId="51" fillId="23" borderId="177" xfId="0" applyNumberFormat="1" applyFont="1" applyFill="1" applyBorder="1" applyAlignment="1" applyProtection="1">
      <alignment horizontal="center" vertical="center"/>
      <protection hidden="1"/>
    </xf>
    <xf numFmtId="0" fontId="51" fillId="23" borderId="113" xfId="0" applyNumberFormat="1" applyFont="1" applyFill="1" applyBorder="1" applyAlignment="1" applyProtection="1">
      <alignment horizontal="center" vertical="center"/>
      <protection hidden="1"/>
    </xf>
    <xf numFmtId="0" fontId="51" fillId="23" borderId="191" xfId="0" applyNumberFormat="1" applyFont="1" applyFill="1" applyBorder="1" applyAlignment="1" applyProtection="1">
      <alignment horizontal="center" vertical="center"/>
      <protection hidden="1"/>
    </xf>
    <xf numFmtId="0" fontId="51" fillId="23" borderId="71" xfId="0" applyFont="1" applyFill="1" applyBorder="1" applyAlignment="1" applyProtection="1">
      <alignment horizontal="center" vertical="center"/>
      <protection hidden="1"/>
    </xf>
    <xf numFmtId="0" fontId="51" fillId="23" borderId="78" xfId="0" applyNumberFormat="1" applyFont="1" applyFill="1" applyBorder="1" applyAlignment="1" applyProtection="1">
      <alignment horizontal="center" vertical="center"/>
      <protection hidden="1"/>
    </xf>
    <xf numFmtId="0" fontId="51" fillId="23" borderId="163" xfId="0" applyFont="1" applyFill="1" applyBorder="1" applyAlignment="1" applyProtection="1">
      <alignment horizontal="center" vertical="center"/>
      <protection hidden="1"/>
    </xf>
    <xf numFmtId="0" fontId="51" fillId="23" borderId="102" xfId="0" applyNumberFormat="1" applyFont="1" applyFill="1" applyBorder="1" applyAlignment="1" applyProtection="1">
      <alignment horizontal="center" vertical="center"/>
      <protection hidden="1"/>
    </xf>
    <xf numFmtId="0" fontId="51" fillId="23" borderId="73" xfId="0" applyNumberFormat="1" applyFont="1" applyFill="1" applyBorder="1" applyAlignment="1" applyProtection="1">
      <alignment horizontal="center" vertical="center"/>
      <protection hidden="1"/>
    </xf>
    <xf numFmtId="0" fontId="51" fillId="23" borderId="69" xfId="0" applyNumberFormat="1" applyFont="1" applyFill="1" applyBorder="1" applyAlignment="1" applyProtection="1">
      <alignment horizontal="center" vertical="center"/>
      <protection hidden="1"/>
    </xf>
    <xf numFmtId="0" fontId="21" fillId="12" borderId="164" xfId="0" applyFont="1" applyFill="1" applyBorder="1" applyAlignment="1" applyProtection="1">
      <alignment horizontal="center" vertical="center" wrapText="1"/>
      <protection hidden="1"/>
    </xf>
    <xf numFmtId="0" fontId="33" fillId="12" borderId="16" xfId="0" applyFont="1" applyFill="1" applyBorder="1" applyProtection="1">
      <alignment vertical="center"/>
      <protection hidden="1"/>
    </xf>
    <xf numFmtId="14" fontId="33" fillId="12" borderId="74" xfId="0" applyNumberFormat="1" applyFont="1" applyFill="1" applyBorder="1" applyAlignment="1" applyProtection="1">
      <alignment horizontal="center" vertical="center"/>
      <protection hidden="1"/>
    </xf>
    <xf numFmtId="0" fontId="33" fillId="12" borderId="36" xfId="0" applyFont="1" applyFill="1" applyBorder="1" applyProtection="1">
      <alignment vertical="center"/>
      <protection hidden="1"/>
    </xf>
    <xf numFmtId="14" fontId="33" fillId="12" borderId="20" xfId="0" applyNumberFormat="1" applyFont="1" applyFill="1" applyBorder="1" applyAlignment="1" applyProtection="1">
      <alignment horizontal="center" vertical="center"/>
      <protection hidden="1"/>
    </xf>
    <xf numFmtId="0" fontId="100" fillId="12" borderId="16" xfId="4" applyFont="1" applyFill="1" applyBorder="1" applyAlignment="1" applyProtection="1">
      <alignment horizontal="center" vertical="center" wrapText="1"/>
      <protection hidden="1"/>
    </xf>
    <xf numFmtId="0" fontId="100" fillId="12" borderId="36" xfId="4" applyFont="1" applyFill="1" applyBorder="1" applyAlignment="1" applyProtection="1">
      <alignment horizontal="center" vertical="center" wrapText="1"/>
      <protection hidden="1"/>
    </xf>
    <xf numFmtId="0" fontId="100" fillId="12" borderId="20" xfId="4" applyFont="1" applyFill="1" applyBorder="1" applyAlignment="1" applyProtection="1">
      <alignment horizontal="center" vertical="center" wrapText="1"/>
      <protection hidden="1"/>
    </xf>
    <xf numFmtId="0" fontId="100" fillId="12" borderId="19" xfId="4" applyFont="1" applyFill="1" applyBorder="1" applyAlignment="1" applyProtection="1">
      <alignment horizontal="center" vertical="center" wrapText="1"/>
      <protection hidden="1"/>
    </xf>
    <xf numFmtId="0" fontId="100" fillId="12" borderId="60" xfId="4" applyFont="1" applyFill="1" applyBorder="1" applyAlignment="1" applyProtection="1">
      <alignment horizontal="center" vertical="center" wrapText="1"/>
      <protection hidden="1"/>
    </xf>
    <xf numFmtId="0" fontId="100" fillId="12" borderId="39" xfId="4" applyFont="1" applyFill="1" applyBorder="1" applyAlignment="1" applyProtection="1">
      <alignment horizontal="center" vertical="center" wrapText="1"/>
      <protection hidden="1"/>
    </xf>
    <xf numFmtId="0" fontId="100" fillId="12" borderId="51" xfId="4" applyFont="1" applyFill="1" applyBorder="1" applyAlignment="1" applyProtection="1">
      <alignment horizontal="center" vertical="center" wrapText="1"/>
      <protection hidden="1"/>
    </xf>
    <xf numFmtId="0" fontId="100" fillId="12" borderId="19" xfId="0" applyFont="1" applyFill="1" applyBorder="1" applyAlignment="1" applyProtection="1">
      <alignment horizontal="center" vertical="center" wrapText="1"/>
      <protection hidden="1"/>
    </xf>
    <xf numFmtId="0" fontId="249" fillId="13" borderId="36" xfId="4" applyFont="1" applyFill="1" applyBorder="1" applyAlignment="1" applyProtection="1">
      <alignment horizontal="center" vertical="center" wrapText="1"/>
      <protection hidden="1"/>
    </xf>
    <xf numFmtId="0" fontId="170" fillId="12" borderId="78" xfId="4" applyFont="1" applyFill="1" applyBorder="1" applyAlignment="1" applyProtection="1">
      <alignment horizontal="center" vertical="center" wrapText="1"/>
      <protection hidden="1"/>
    </xf>
    <xf numFmtId="0" fontId="160" fillId="12" borderId="16" xfId="4" applyFont="1" applyFill="1" applyBorder="1" applyAlignment="1" applyProtection="1">
      <alignment horizontal="center" vertical="center" wrapText="1"/>
      <protection hidden="1"/>
    </xf>
    <xf numFmtId="0" fontId="100" fillId="13" borderId="106" xfId="4" applyFont="1" applyFill="1" applyBorder="1" applyAlignment="1" applyProtection="1">
      <alignment horizontal="center" vertical="center" wrapText="1"/>
      <protection hidden="1"/>
    </xf>
    <xf numFmtId="0" fontId="100" fillId="13" borderId="71" xfId="4" applyFont="1" applyFill="1" applyBorder="1" applyAlignment="1" applyProtection="1">
      <alignment horizontal="center" vertical="center" wrapText="1"/>
      <protection hidden="1"/>
    </xf>
    <xf numFmtId="0" fontId="100" fillId="13" borderId="72" xfId="4" applyFont="1" applyFill="1" applyBorder="1" applyAlignment="1" applyProtection="1">
      <alignment horizontal="center" vertical="center" wrapText="1"/>
      <protection hidden="1"/>
    </xf>
    <xf numFmtId="0" fontId="164" fillId="12" borderId="51" xfId="0" applyFont="1" applyFill="1" applyBorder="1" applyAlignment="1" applyProtection="1">
      <alignment horizontal="center" vertical="center" wrapText="1"/>
      <protection hidden="1"/>
    </xf>
    <xf numFmtId="0" fontId="164" fillId="12" borderId="39" xfId="0" applyFont="1" applyFill="1" applyBorder="1" applyAlignment="1" applyProtection="1">
      <alignment horizontal="center" vertical="center" wrapText="1"/>
      <protection hidden="1"/>
    </xf>
    <xf numFmtId="0" fontId="248" fillId="12" borderId="39" xfId="0" applyFont="1" applyFill="1" applyBorder="1" applyAlignment="1" applyProtection="1">
      <alignment horizontal="center" vertical="center" wrapText="1"/>
      <protection hidden="1"/>
    </xf>
    <xf numFmtId="0" fontId="248" fillId="12" borderId="60" xfId="0" applyFont="1" applyFill="1" applyBorder="1" applyAlignment="1" applyProtection="1">
      <alignment horizontal="center" vertical="center" wrapText="1"/>
      <protection hidden="1"/>
    </xf>
    <xf numFmtId="0" fontId="248" fillId="13" borderId="20" xfId="0" applyFont="1" applyFill="1" applyBorder="1" applyAlignment="1" applyProtection="1">
      <alignment horizontal="centerContinuous" vertical="center" wrapText="1"/>
      <protection hidden="1"/>
    </xf>
    <xf numFmtId="0" fontId="246" fillId="13" borderId="36" xfId="0" applyFont="1" applyFill="1" applyBorder="1" applyAlignment="1" applyProtection="1">
      <alignment horizontal="center" vertical="center" wrapText="1"/>
      <protection hidden="1"/>
    </xf>
    <xf numFmtId="0" fontId="246" fillId="13" borderId="16" xfId="0" applyFont="1" applyFill="1" applyBorder="1" applyAlignment="1" applyProtection="1">
      <alignment horizontal="center" vertical="center" wrapText="1"/>
      <protection hidden="1"/>
    </xf>
    <xf numFmtId="0" fontId="246" fillId="12" borderId="20" xfId="0" applyFont="1" applyFill="1" applyBorder="1" applyAlignment="1" applyProtection="1">
      <alignment horizontal="center" vertical="center" wrapText="1"/>
      <protection hidden="1"/>
    </xf>
    <xf numFmtId="0" fontId="246" fillId="12" borderId="36" xfId="0" applyFont="1" applyFill="1" applyBorder="1" applyAlignment="1" applyProtection="1">
      <alignment horizontal="center" vertical="center" wrapText="1"/>
      <protection hidden="1"/>
    </xf>
    <xf numFmtId="0" fontId="246" fillId="12" borderId="16" xfId="0" applyFont="1" applyFill="1" applyBorder="1" applyAlignment="1" applyProtection="1">
      <alignment horizontal="center" vertical="center" wrapText="1"/>
      <protection hidden="1"/>
    </xf>
    <xf numFmtId="0" fontId="246" fillId="12" borderId="56" xfId="0" applyFont="1" applyFill="1" applyBorder="1" applyAlignment="1" applyProtection="1">
      <alignment horizontal="center" vertical="center" wrapText="1"/>
      <protection hidden="1"/>
    </xf>
    <xf numFmtId="0" fontId="246" fillId="12" borderId="57" xfId="0" applyFont="1" applyFill="1" applyBorder="1" applyAlignment="1" applyProtection="1">
      <alignment horizontal="center" vertical="center" wrapText="1"/>
      <protection hidden="1"/>
    </xf>
    <xf numFmtId="0" fontId="246" fillId="12" borderId="27" xfId="0" applyFont="1" applyFill="1" applyBorder="1" applyAlignment="1" applyProtection="1">
      <alignment horizontal="centerContinuous" vertical="center" wrapText="1"/>
      <protection hidden="1"/>
    </xf>
    <xf numFmtId="0" fontId="246" fillId="13" borderId="20" xfId="0" applyFont="1" applyFill="1" applyBorder="1" applyAlignment="1" applyProtection="1">
      <alignment horizontal="center" vertical="center" wrapText="1"/>
      <protection hidden="1"/>
    </xf>
    <xf numFmtId="0" fontId="246" fillId="12" borderId="106" xfId="0" applyFont="1" applyFill="1" applyBorder="1" applyAlignment="1" applyProtection="1">
      <alignment horizontal="center" vertical="center" wrapText="1"/>
      <protection hidden="1"/>
    </xf>
    <xf numFmtId="0" fontId="246" fillId="12" borderId="62" xfId="0" applyFont="1" applyFill="1" applyBorder="1" applyAlignment="1" applyProtection="1">
      <alignment horizontal="center" vertical="center" wrapText="1"/>
      <protection hidden="1"/>
    </xf>
    <xf numFmtId="0" fontId="246" fillId="12" borderId="98" xfId="0" applyFont="1" applyFill="1" applyBorder="1" applyAlignment="1" applyProtection="1">
      <alignment horizontal="center" vertical="center" wrapText="1"/>
      <protection hidden="1"/>
    </xf>
    <xf numFmtId="0" fontId="173" fillId="12" borderId="56" xfId="0" applyFont="1" applyFill="1" applyBorder="1" applyAlignment="1" applyProtection="1">
      <alignment horizontal="center" vertical="center" wrapText="1"/>
      <protection hidden="1"/>
    </xf>
    <xf numFmtId="0" fontId="164" fillId="12" borderId="57" xfId="0" applyFont="1" applyFill="1" applyBorder="1" applyAlignment="1" applyProtection="1">
      <alignment horizontal="center" vertical="center" wrapText="1"/>
      <protection hidden="1"/>
    </xf>
    <xf numFmtId="0" fontId="164" fillId="12" borderId="162" xfId="0" applyFont="1" applyFill="1" applyBorder="1" applyAlignment="1" applyProtection="1">
      <alignment horizontal="center" vertical="center" wrapText="1"/>
      <protection hidden="1"/>
    </xf>
    <xf numFmtId="0" fontId="164" fillId="12" borderId="27" xfId="0" applyFont="1" applyFill="1" applyBorder="1" applyAlignment="1" applyProtection="1">
      <alignment horizontal="center" vertical="center" wrapText="1"/>
      <protection hidden="1"/>
    </xf>
    <xf numFmtId="0" fontId="164" fillId="13" borderId="28" xfId="0" applyFont="1" applyFill="1" applyBorder="1" applyAlignment="1" applyProtection="1">
      <alignment horizontal="center" vertical="center" wrapText="1"/>
      <protection hidden="1"/>
    </xf>
    <xf numFmtId="0" fontId="164" fillId="12" borderId="56" xfId="0" applyFont="1" applyFill="1" applyBorder="1" applyAlignment="1" applyProtection="1">
      <alignment horizontal="center" vertical="center" wrapText="1"/>
      <protection hidden="1"/>
    </xf>
    <xf numFmtId="0" fontId="164" fillId="13" borderId="20" xfId="0" applyFont="1" applyFill="1" applyBorder="1" applyAlignment="1" applyProtection="1">
      <alignment horizontal="center" vertical="center" wrapText="1"/>
      <protection hidden="1"/>
    </xf>
    <xf numFmtId="0" fontId="164" fillId="13" borderId="36" xfId="0" applyFont="1" applyFill="1" applyBorder="1" applyAlignment="1" applyProtection="1">
      <alignment horizontal="center" vertical="center" wrapText="1"/>
      <protection hidden="1"/>
    </xf>
    <xf numFmtId="0" fontId="164" fillId="13" borderId="16" xfId="0" applyFont="1" applyFill="1" applyBorder="1" applyAlignment="1" applyProtection="1">
      <alignment horizontal="center" vertical="center" wrapText="1"/>
      <protection hidden="1"/>
    </xf>
    <xf numFmtId="0" fontId="164" fillId="12" borderId="20" xfId="0" applyFont="1" applyFill="1" applyBorder="1" applyAlignment="1" applyProtection="1">
      <alignment horizontal="center" vertical="center" wrapText="1"/>
      <protection hidden="1"/>
    </xf>
    <xf numFmtId="0" fontId="164" fillId="12" borderId="36" xfId="0" applyFont="1" applyFill="1" applyBorder="1" applyAlignment="1" applyProtection="1">
      <alignment horizontal="center" vertical="center" wrapText="1"/>
      <protection hidden="1"/>
    </xf>
    <xf numFmtId="0" fontId="164" fillId="12" borderId="16" xfId="0" applyFont="1" applyFill="1" applyBorder="1" applyAlignment="1" applyProtection="1">
      <alignment horizontal="center" vertical="center" wrapText="1"/>
      <protection hidden="1"/>
    </xf>
    <xf numFmtId="0" fontId="164" fillId="13" borderId="106" xfId="0" applyFont="1" applyFill="1" applyBorder="1" applyAlignment="1" applyProtection="1">
      <alignment horizontal="center" vertical="center" wrapText="1"/>
      <protection hidden="1"/>
    </xf>
    <xf numFmtId="0" fontId="164" fillId="13" borderId="62" xfId="0" applyFont="1" applyFill="1" applyBorder="1" applyAlignment="1" applyProtection="1">
      <alignment horizontal="center" vertical="center" wrapText="1"/>
      <protection hidden="1"/>
    </xf>
    <xf numFmtId="0" fontId="164" fillId="13" borderId="99" xfId="0" applyFont="1" applyFill="1" applyBorder="1" applyAlignment="1" applyProtection="1">
      <alignment horizontal="center" vertical="center" wrapText="1"/>
      <protection hidden="1"/>
    </xf>
    <xf numFmtId="0" fontId="164" fillId="13" borderId="83" xfId="0" applyFont="1" applyFill="1" applyBorder="1" applyAlignment="1" applyProtection="1">
      <alignment horizontal="center" vertical="center" wrapText="1"/>
      <protection hidden="1"/>
    </xf>
    <xf numFmtId="0" fontId="164" fillId="13" borderId="56" xfId="0" applyFont="1" applyFill="1" applyBorder="1" applyAlignment="1" applyProtection="1">
      <alignment horizontal="center" vertical="center" wrapText="1"/>
      <protection hidden="1"/>
    </xf>
    <xf numFmtId="0" fontId="164" fillId="13" borderId="57" xfId="0" applyFont="1" applyFill="1" applyBorder="1" applyAlignment="1" applyProtection="1">
      <alignment horizontal="center" vertical="center" wrapText="1"/>
      <protection hidden="1"/>
    </xf>
    <xf numFmtId="0" fontId="164" fillId="13" borderId="27" xfId="0" applyFont="1" applyFill="1" applyBorder="1" applyAlignment="1" applyProtection="1">
      <alignment horizontal="center" vertical="center" wrapText="1"/>
      <protection hidden="1"/>
    </xf>
    <xf numFmtId="0" fontId="164" fillId="12" borderId="106" xfId="0" applyFont="1" applyFill="1" applyBorder="1" applyAlignment="1" applyProtection="1">
      <alignment horizontal="center" vertical="center" wrapText="1"/>
      <protection hidden="1"/>
    </xf>
    <xf numFmtId="0" fontId="164" fillId="12" borderId="62" xfId="0" applyFont="1" applyFill="1" applyBorder="1" applyAlignment="1" applyProtection="1">
      <alignment horizontal="center" vertical="center" wrapText="1"/>
      <protection hidden="1"/>
    </xf>
    <xf numFmtId="0" fontId="164" fillId="12" borderId="83" xfId="0" applyFont="1" applyFill="1" applyBorder="1" applyAlignment="1" applyProtection="1">
      <alignment horizontal="center" vertical="center" wrapText="1"/>
      <protection hidden="1"/>
    </xf>
    <xf numFmtId="0" fontId="164" fillId="13" borderId="19" xfId="0" applyFont="1" applyFill="1" applyBorder="1" applyAlignment="1" applyProtection="1">
      <alignment horizontal="center" vertical="center" wrapText="1"/>
      <protection hidden="1"/>
    </xf>
    <xf numFmtId="0" fontId="164" fillId="13" borderId="78" xfId="0" applyFont="1" applyFill="1" applyBorder="1" applyAlignment="1" applyProtection="1">
      <alignment horizontal="center" vertical="center" wrapText="1"/>
      <protection hidden="1"/>
    </xf>
    <xf numFmtId="167" fontId="172" fillId="12" borderId="71" xfId="0" applyNumberFormat="1" applyFont="1" applyFill="1" applyBorder="1" applyAlignment="1" applyProtection="1">
      <alignment horizontal="centerContinuous" vertical="center" wrapText="1"/>
      <protection hidden="1"/>
    </xf>
    <xf numFmtId="0" fontId="172" fillId="13" borderId="61" xfId="0" applyFont="1" applyFill="1" applyBorder="1" applyAlignment="1" applyProtection="1">
      <alignment horizontal="centerContinuous" vertical="center" wrapText="1"/>
      <protection hidden="1"/>
    </xf>
    <xf numFmtId="0" fontId="66" fillId="13" borderId="97" xfId="0" applyFont="1" applyFill="1" applyBorder="1" applyAlignment="1" applyProtection="1">
      <alignment horizontal="center" vertical="center" wrapText="1"/>
      <protection hidden="1"/>
    </xf>
    <xf numFmtId="0" fontId="66" fillId="13" borderId="86" xfId="0" applyFont="1" applyFill="1" applyBorder="1" applyAlignment="1" applyProtection="1">
      <alignment horizontal="centerContinuous" vertical="center" wrapText="1"/>
      <protection hidden="1"/>
    </xf>
    <xf numFmtId="0" fontId="81" fillId="13" borderId="84" xfId="0" applyFont="1" applyFill="1" applyBorder="1" applyAlignment="1" applyProtection="1">
      <alignment horizontal="centerContinuous" vertical="center"/>
      <protection hidden="1"/>
    </xf>
    <xf numFmtId="0" fontId="66" fillId="13" borderId="189" xfId="0" applyFont="1" applyFill="1" applyBorder="1" applyAlignment="1" applyProtection="1">
      <alignment horizontal="center" vertical="center" wrapText="1"/>
      <protection hidden="1"/>
    </xf>
    <xf numFmtId="0" fontId="66" fillId="13" borderId="95" xfId="0" applyFont="1" applyFill="1" applyBorder="1" applyAlignment="1" applyProtection="1">
      <alignment horizontal="centerContinuous" vertical="center" wrapText="1"/>
      <protection hidden="1"/>
    </xf>
    <xf numFmtId="0" fontId="81" fillId="13" borderId="104" xfId="0" applyFont="1" applyFill="1" applyBorder="1" applyAlignment="1" applyProtection="1">
      <alignment horizontal="centerContinuous" vertical="center"/>
      <protection hidden="1"/>
    </xf>
    <xf numFmtId="0" fontId="66" fillId="13" borderId="2" xfId="0" applyFont="1" applyFill="1" applyBorder="1" applyAlignment="1" applyProtection="1">
      <alignment horizontal="center" vertical="center" wrapText="1"/>
      <protection hidden="1"/>
    </xf>
    <xf numFmtId="0" fontId="81" fillId="13" borderId="14" xfId="0" applyFont="1" applyFill="1" applyBorder="1" applyAlignment="1" applyProtection="1">
      <alignment horizontal="centerContinuous" vertical="center"/>
      <protection hidden="1"/>
    </xf>
    <xf numFmtId="0" fontId="66" fillId="13" borderId="187" xfId="0" applyFont="1" applyFill="1" applyBorder="1" applyAlignment="1" applyProtection="1">
      <alignment horizontal="center" vertical="center" wrapText="1"/>
      <protection hidden="1"/>
    </xf>
    <xf numFmtId="0" fontId="81" fillId="13" borderId="50" xfId="0" applyFont="1" applyFill="1" applyBorder="1" applyAlignment="1" applyProtection="1">
      <alignment horizontal="centerContinuous" vertical="center"/>
      <protection hidden="1"/>
    </xf>
    <xf numFmtId="0" fontId="100" fillId="13" borderId="124" xfId="0" applyNumberFormat="1" applyFont="1" applyFill="1" applyBorder="1" applyAlignment="1" applyProtection="1">
      <alignment horizontal="center" vertical="center" wrapText="1"/>
      <protection hidden="1"/>
    </xf>
    <xf numFmtId="0" fontId="32" fillId="13" borderId="60" xfId="0" applyFont="1" applyFill="1" applyBorder="1" applyAlignment="1" applyProtection="1">
      <alignment horizontal="center" vertical="center" wrapText="1"/>
      <protection hidden="1"/>
    </xf>
    <xf numFmtId="0" fontId="5" fillId="13" borderId="200" xfId="0" applyFont="1" applyFill="1" applyBorder="1" applyAlignment="1" applyProtection="1">
      <alignment horizontal="left" vertical="center"/>
      <protection hidden="1"/>
    </xf>
    <xf numFmtId="0" fontId="273" fillId="13" borderId="0" xfId="0" applyFont="1" applyFill="1" applyBorder="1" applyAlignment="1" applyProtection="1">
      <alignment horizontal="centerContinuous" vertical="center"/>
      <protection hidden="1"/>
    </xf>
    <xf numFmtId="0" fontId="273" fillId="13" borderId="79" xfId="0" applyFont="1" applyFill="1" applyBorder="1" applyAlignment="1" applyProtection="1">
      <alignment horizontal="centerContinuous" vertical="center"/>
      <protection hidden="1"/>
    </xf>
    <xf numFmtId="0" fontId="261" fillId="8" borderId="0" xfId="0" applyFont="1" applyFill="1" applyBorder="1" applyAlignment="1" applyProtection="1">
      <alignment horizontal="centerContinuous" vertical="center"/>
      <protection hidden="1"/>
    </xf>
    <xf numFmtId="0" fontId="273" fillId="13" borderId="22" xfId="0" applyFont="1" applyFill="1" applyBorder="1" applyAlignment="1" applyProtection="1">
      <alignment horizontal="centerContinuous" vertical="center"/>
      <protection hidden="1"/>
    </xf>
    <xf numFmtId="0" fontId="273" fillId="13" borderId="34" xfId="0" applyFont="1" applyFill="1" applyBorder="1" applyAlignment="1" applyProtection="1">
      <alignment horizontal="centerContinuous" vertical="center"/>
      <protection hidden="1"/>
    </xf>
    <xf numFmtId="0" fontId="273" fillId="8" borderId="0" xfId="0" applyFont="1" applyFill="1" applyBorder="1" applyAlignment="1" applyProtection="1">
      <alignment horizontal="centerContinuous" vertical="center"/>
      <protection hidden="1"/>
    </xf>
    <xf numFmtId="0" fontId="273" fillId="8" borderId="79" xfId="0" applyFont="1" applyFill="1" applyBorder="1" applyAlignment="1" applyProtection="1">
      <alignment horizontal="centerContinuous" vertical="center"/>
      <protection hidden="1"/>
    </xf>
    <xf numFmtId="0" fontId="28" fillId="16" borderId="68" xfId="0" applyFont="1" applyFill="1" applyBorder="1" applyAlignment="1" applyProtection="1">
      <alignment horizontal="center" vertical="center" wrapText="1"/>
      <protection hidden="1"/>
    </xf>
    <xf numFmtId="0" fontId="23" fillId="13" borderId="72" xfId="0" applyNumberFormat="1" applyFont="1" applyFill="1" applyBorder="1" applyAlignment="1" applyProtection="1">
      <alignment horizontal="center" vertical="center" wrapText="1"/>
      <protection hidden="1"/>
    </xf>
    <xf numFmtId="0" fontId="203" fillId="24" borderId="206" xfId="0" applyNumberFormat="1" applyFont="1" applyFill="1" applyBorder="1" applyAlignment="1" applyProtection="1">
      <alignment horizontal="left" vertical="center"/>
      <protection hidden="1"/>
    </xf>
    <xf numFmtId="0" fontId="203" fillId="24" borderId="207" xfId="0" applyNumberFormat="1" applyFont="1" applyFill="1" applyBorder="1" applyAlignment="1" applyProtection="1">
      <alignment horizontal="center" vertical="center"/>
      <protection hidden="1"/>
    </xf>
    <xf numFmtId="0" fontId="203" fillId="24" borderId="208" xfId="0" applyNumberFormat="1" applyFont="1" applyFill="1" applyBorder="1" applyAlignment="1" applyProtection="1">
      <alignment horizontal="center" vertical="center"/>
      <protection hidden="1"/>
    </xf>
    <xf numFmtId="0" fontId="203" fillId="24" borderId="209" xfId="0" applyNumberFormat="1" applyFont="1" applyFill="1" applyBorder="1" applyAlignment="1" applyProtection="1">
      <alignment horizontal="center" vertical="center"/>
      <protection hidden="1"/>
    </xf>
    <xf numFmtId="0" fontId="203" fillId="24" borderId="206" xfId="0" applyNumberFormat="1" applyFont="1" applyFill="1" applyBorder="1" applyAlignment="1" applyProtection="1">
      <alignment horizontal="center" vertical="center"/>
      <protection hidden="1"/>
    </xf>
    <xf numFmtId="0" fontId="203" fillId="24" borderId="210" xfId="0" applyFont="1" applyFill="1" applyBorder="1" applyAlignment="1" applyProtection="1">
      <alignment horizontal="center" vertical="center"/>
      <protection hidden="1"/>
    </xf>
    <xf numFmtId="0" fontId="203" fillId="24" borderId="208" xfId="0" applyFont="1" applyFill="1" applyBorder="1" applyAlignment="1" applyProtection="1">
      <alignment horizontal="center" vertical="center"/>
      <protection hidden="1"/>
    </xf>
    <xf numFmtId="0" fontId="203" fillId="24" borderId="210" xfId="0" applyNumberFormat="1" applyFont="1" applyFill="1" applyBorder="1" applyAlignment="1" applyProtection="1">
      <alignment horizontal="center" vertical="center"/>
      <protection hidden="1"/>
    </xf>
    <xf numFmtId="0" fontId="203" fillId="24" borderId="211" xfId="0" applyNumberFormat="1" applyFont="1" applyFill="1" applyBorder="1" applyAlignment="1" applyProtection="1">
      <alignment horizontal="center" vertical="center"/>
      <protection hidden="1"/>
    </xf>
    <xf numFmtId="0" fontId="203" fillId="24" borderId="212" xfId="0" applyNumberFormat="1" applyFont="1" applyFill="1" applyBorder="1" applyAlignment="1" applyProtection="1">
      <alignment horizontal="center" vertical="center"/>
      <protection hidden="1"/>
    </xf>
    <xf numFmtId="0" fontId="23" fillId="13" borderId="60" xfId="0" applyNumberFormat="1" applyFont="1" applyFill="1" applyBorder="1" applyAlignment="1" applyProtection="1">
      <alignment horizontal="center" vertical="center" wrapText="1"/>
      <protection hidden="1"/>
    </xf>
    <xf numFmtId="177" fontId="66" fillId="13" borderId="39" xfId="0" applyNumberFormat="1" applyFont="1" applyFill="1" applyBorder="1" applyAlignment="1" applyProtection="1">
      <alignment horizontal="centerContinuous" vertical="center" wrapText="1"/>
      <protection hidden="1"/>
    </xf>
    <xf numFmtId="0" fontId="100" fillId="13" borderId="51" xfId="0" applyNumberFormat="1" applyFont="1" applyFill="1" applyBorder="1" applyAlignment="1" applyProtection="1">
      <alignment horizontal="center" vertical="center" wrapText="1"/>
      <protection hidden="1"/>
    </xf>
    <xf numFmtId="0" fontId="89" fillId="11" borderId="122" xfId="0" applyNumberFormat="1" applyFont="1" applyFill="1" applyBorder="1" applyAlignment="1" applyProtection="1">
      <alignment horizontal="center" vertical="center"/>
      <protection hidden="1"/>
    </xf>
    <xf numFmtId="167" fontId="15" fillId="13" borderId="188" xfId="0" applyNumberFormat="1" applyFont="1" applyFill="1" applyBorder="1" applyAlignment="1" applyProtection="1">
      <alignment horizontal="center" vertical="center" wrapText="1"/>
      <protection hidden="1"/>
    </xf>
    <xf numFmtId="0" fontId="66" fillId="13" borderId="156" xfId="0" applyFont="1" applyFill="1" applyBorder="1" applyAlignment="1" applyProtection="1">
      <alignment horizontal="center" vertical="center" wrapText="1"/>
      <protection hidden="1"/>
    </xf>
    <xf numFmtId="0" fontId="66" fillId="11" borderId="156" xfId="0" applyFont="1" applyFill="1" applyBorder="1" applyAlignment="1" applyProtection="1">
      <alignment horizontal="center" vertical="center" wrapText="1"/>
      <protection hidden="1"/>
    </xf>
    <xf numFmtId="0" fontId="225" fillId="13" borderId="9" xfId="0" applyFont="1" applyFill="1" applyBorder="1" applyAlignment="1" applyProtection="1">
      <alignment horizontal="center" vertical="center" wrapText="1"/>
      <protection hidden="1"/>
    </xf>
    <xf numFmtId="0" fontId="204" fillId="13" borderId="9" xfId="0" applyFont="1" applyFill="1" applyBorder="1" applyAlignment="1" applyProtection="1">
      <alignment horizontal="center" vertical="center" wrapText="1"/>
      <protection hidden="1"/>
    </xf>
    <xf numFmtId="0" fontId="208" fillId="13" borderId="9" xfId="0" applyFont="1" applyFill="1" applyBorder="1" applyAlignment="1" applyProtection="1">
      <alignment horizontal="center" vertical="center" wrapText="1"/>
      <protection hidden="1"/>
    </xf>
    <xf numFmtId="0" fontId="203" fillId="13" borderId="9" xfId="0" applyFont="1" applyFill="1" applyBorder="1" applyAlignment="1" applyProtection="1">
      <alignment horizontal="center" vertical="center" wrapText="1"/>
      <protection hidden="1"/>
    </xf>
    <xf numFmtId="0" fontId="21" fillId="13" borderId="132" xfId="0" applyFont="1" applyFill="1" applyBorder="1" applyAlignment="1" applyProtection="1">
      <alignment horizontal="center" vertical="center" wrapText="1"/>
      <protection hidden="1"/>
    </xf>
    <xf numFmtId="0" fontId="21" fillId="13" borderId="14" xfId="0" applyFont="1" applyFill="1" applyBorder="1" applyAlignment="1" applyProtection="1">
      <alignment horizontal="center" vertical="center" wrapText="1"/>
      <protection hidden="1"/>
    </xf>
    <xf numFmtId="0" fontId="48" fillId="12" borderId="41" xfId="0" applyFont="1" applyFill="1" applyBorder="1" applyAlignment="1" applyProtection="1">
      <alignment horizontal="center" vertical="center" wrapText="1"/>
      <protection hidden="1"/>
    </xf>
    <xf numFmtId="0" fontId="48" fillId="12" borderId="0" xfId="0" applyFont="1" applyFill="1" applyBorder="1" applyAlignment="1" applyProtection="1">
      <alignment horizontal="center" vertical="center" wrapText="1"/>
      <protection hidden="1"/>
    </xf>
    <xf numFmtId="0" fontId="48" fillId="12" borderId="15" xfId="0" applyFont="1" applyFill="1" applyBorder="1" applyAlignment="1" applyProtection="1">
      <alignment horizontal="center" vertical="center" wrapText="1"/>
      <protection hidden="1"/>
    </xf>
    <xf numFmtId="0" fontId="0" fillId="13" borderId="41" xfId="0" applyFill="1" applyBorder="1" applyAlignment="1" applyProtection="1">
      <alignment horizontal="center" vertical="center"/>
      <protection hidden="1"/>
    </xf>
    <xf numFmtId="0" fontId="0" fillId="13" borderId="0" xfId="0" applyFill="1" applyBorder="1" applyAlignment="1" applyProtection="1">
      <alignment horizontal="center" vertical="center"/>
      <protection hidden="1"/>
    </xf>
    <xf numFmtId="0" fontId="0" fillId="13" borderId="15" xfId="0" applyFill="1" applyBorder="1" applyAlignment="1" applyProtection="1">
      <alignment horizontal="center" vertical="center"/>
      <protection hidden="1"/>
    </xf>
    <xf numFmtId="0" fontId="0" fillId="12" borderId="13" xfId="0" applyFill="1" applyBorder="1" applyAlignment="1" applyProtection="1">
      <alignment horizontal="center" vertical="center"/>
      <protection hidden="1"/>
    </xf>
    <xf numFmtId="0" fontId="0" fillId="12" borderId="90" xfId="0" applyFill="1" applyBorder="1" applyAlignment="1" applyProtection="1">
      <alignment horizontal="center" vertical="center"/>
      <protection hidden="1"/>
    </xf>
    <xf numFmtId="0" fontId="27" fillId="12" borderId="13" xfId="0" applyFont="1" applyFill="1" applyBorder="1" applyAlignment="1" applyProtection="1">
      <alignment horizontal="center" vertical="center" wrapText="1"/>
      <protection hidden="1"/>
    </xf>
    <xf numFmtId="0" fontId="27" fillId="12" borderId="0" xfId="0" applyFont="1" applyFill="1" applyBorder="1" applyAlignment="1" applyProtection="1">
      <alignment horizontal="center" vertical="center" wrapText="1"/>
      <protection hidden="1"/>
    </xf>
    <xf numFmtId="0" fontId="27" fillId="12" borderId="90" xfId="0" applyFont="1" applyFill="1" applyBorder="1" applyAlignment="1" applyProtection="1">
      <alignment horizontal="center" vertical="center" wrapText="1"/>
      <protection hidden="1"/>
    </xf>
    <xf numFmtId="0" fontId="21" fillId="13" borderId="40" xfId="0" applyFont="1" applyFill="1" applyBorder="1" applyAlignment="1" applyProtection="1">
      <alignment horizontal="center" vertical="center" wrapText="1"/>
      <protection hidden="1"/>
    </xf>
    <xf numFmtId="0" fontId="256" fillId="13" borderId="9" xfId="0" applyFont="1" applyFill="1" applyBorder="1" applyAlignment="1" applyProtection="1">
      <alignment horizontal="center" vertical="center" wrapText="1"/>
      <protection hidden="1"/>
    </xf>
    <xf numFmtId="0" fontId="69" fillId="13" borderId="14" xfId="0" applyFont="1" applyFill="1" applyBorder="1" applyAlignment="1" applyProtection="1">
      <alignment horizontal="center" vertical="center" wrapText="1"/>
      <protection hidden="1"/>
    </xf>
    <xf numFmtId="0" fontId="69" fillId="13" borderId="74" xfId="0" applyFont="1" applyFill="1" applyBorder="1" applyAlignment="1" applyProtection="1">
      <alignment horizontal="center" vertical="center" wrapText="1"/>
      <protection hidden="1"/>
    </xf>
    <xf numFmtId="0" fontId="21" fillId="11" borderId="156" xfId="0" applyFont="1" applyFill="1" applyBorder="1" applyAlignment="1" applyProtection="1">
      <alignment horizontal="center" vertical="center" wrapText="1"/>
      <protection hidden="1"/>
    </xf>
    <xf numFmtId="0" fontId="69" fillId="13" borderId="110" xfId="0" applyFont="1" applyFill="1" applyBorder="1" applyAlignment="1" applyProtection="1">
      <alignment horizontal="center" vertical="center" wrapText="1"/>
      <protection hidden="1"/>
    </xf>
    <xf numFmtId="0" fontId="66" fillId="13" borderId="14" xfId="0" applyFont="1" applyFill="1" applyBorder="1" applyAlignment="1" applyProtection="1">
      <alignment horizontal="center" vertical="center"/>
      <protection hidden="1"/>
    </xf>
    <xf numFmtId="0" fontId="201" fillId="17" borderId="13" xfId="0" applyFont="1" applyFill="1" applyBorder="1" applyAlignment="1" applyProtection="1">
      <alignment horizontal="center" vertical="center" wrapText="1"/>
      <protection hidden="1"/>
    </xf>
    <xf numFmtId="0" fontId="201" fillId="17" borderId="0" xfId="0" applyFont="1" applyFill="1" applyBorder="1" applyAlignment="1" applyProtection="1">
      <alignment horizontal="center" vertical="center" wrapText="1"/>
      <protection hidden="1"/>
    </xf>
    <xf numFmtId="0" fontId="201" fillId="17" borderId="90" xfId="0" applyFont="1" applyFill="1" applyBorder="1" applyAlignment="1" applyProtection="1">
      <alignment horizontal="center" vertical="center" wrapText="1"/>
      <protection hidden="1"/>
    </xf>
    <xf numFmtId="0" fontId="0" fillId="12" borderId="0" xfId="0" applyFill="1" applyBorder="1" applyAlignment="1" applyProtection="1">
      <alignment horizontal="center" vertical="center"/>
      <protection hidden="1"/>
    </xf>
    <xf numFmtId="0" fontId="0" fillId="12" borderId="15" xfId="0" applyFill="1" applyBorder="1" applyAlignment="1" applyProtection="1">
      <alignment horizontal="center" vertical="center"/>
      <protection hidden="1"/>
    </xf>
    <xf numFmtId="0" fontId="69" fillId="13" borderId="109" xfId="0" applyFont="1" applyFill="1" applyBorder="1" applyAlignment="1" applyProtection="1">
      <alignment horizontal="center" vertical="center" wrapText="1"/>
      <protection hidden="1"/>
    </xf>
    <xf numFmtId="0" fontId="215" fillId="13" borderId="0" xfId="0" applyFont="1" applyFill="1" applyBorder="1" applyAlignment="1" applyProtection="1">
      <alignment horizontal="center" vertical="center" wrapText="1"/>
      <protection hidden="1"/>
    </xf>
    <xf numFmtId="0" fontId="215" fillId="13" borderId="15" xfId="0" applyFont="1" applyFill="1" applyBorder="1" applyAlignment="1" applyProtection="1">
      <alignment horizontal="center" vertical="center" wrapText="1"/>
      <protection hidden="1"/>
    </xf>
    <xf numFmtId="0" fontId="99" fillId="13" borderId="13" xfId="0" applyFont="1" applyFill="1" applyBorder="1" applyAlignment="1" applyProtection="1">
      <alignment horizontal="center" vertical="center" wrapText="1"/>
      <protection hidden="1"/>
    </xf>
    <xf numFmtId="0" fontId="99" fillId="13" borderId="0" xfId="0" applyFont="1" applyFill="1" applyBorder="1" applyAlignment="1" applyProtection="1">
      <alignment horizontal="center" vertical="center" wrapText="1"/>
      <protection hidden="1"/>
    </xf>
    <xf numFmtId="0" fontId="99" fillId="13" borderId="90" xfId="0" applyFont="1" applyFill="1" applyBorder="1" applyAlignment="1" applyProtection="1">
      <alignment horizontal="center" vertical="center" wrapText="1"/>
      <protection hidden="1"/>
    </xf>
    <xf numFmtId="0" fontId="66" fillId="12" borderId="14" xfId="0" applyFont="1" applyFill="1" applyBorder="1" applyAlignment="1" applyProtection="1">
      <alignment horizontal="center" vertical="center"/>
      <protection hidden="1"/>
    </xf>
    <xf numFmtId="0" fontId="6" fillId="13" borderId="29" xfId="0" applyFont="1" applyFill="1" applyBorder="1" applyAlignment="1" applyProtection="1">
      <alignment horizontal="center" vertical="center"/>
      <protection hidden="1"/>
    </xf>
    <xf numFmtId="0" fontId="0" fillId="13" borderId="0" xfId="0" applyFill="1" applyProtection="1">
      <alignment vertical="center"/>
      <protection hidden="1"/>
    </xf>
    <xf numFmtId="0" fontId="21" fillId="0" borderId="0" xfId="0" applyFont="1" applyAlignment="1" applyProtection="1">
      <alignment horizontal="center" vertical="center" wrapText="1"/>
      <protection hidden="1"/>
    </xf>
    <xf numFmtId="0" fontId="0" fillId="0" borderId="0" xfId="0" applyProtection="1">
      <alignment vertical="center"/>
      <protection hidden="1"/>
    </xf>
    <xf numFmtId="0" fontId="0" fillId="13" borderId="43" xfId="0" applyFill="1" applyBorder="1" applyProtection="1">
      <alignment vertical="center"/>
      <protection hidden="1"/>
    </xf>
    <xf numFmtId="0" fontId="0" fillId="0" borderId="28" xfId="0" applyBorder="1" applyProtection="1">
      <alignment vertical="center"/>
      <protection hidden="1"/>
    </xf>
    <xf numFmtId="0" fontId="0" fillId="0" borderId="90" xfId="0" applyBorder="1" applyProtection="1">
      <alignment vertical="center"/>
      <protection hidden="1"/>
    </xf>
    <xf numFmtId="174" fontId="69" fillId="12" borderId="155" xfId="0" applyNumberFormat="1" applyFont="1" applyFill="1" applyBorder="1" applyAlignment="1" applyProtection="1">
      <alignment horizontal="center" vertical="center"/>
      <protection hidden="1"/>
    </xf>
    <xf numFmtId="174" fontId="0" fillId="0" borderId="90" xfId="0" applyNumberFormat="1" applyBorder="1" applyProtection="1">
      <alignment vertical="center"/>
      <protection hidden="1"/>
    </xf>
    <xf numFmtId="174" fontId="0" fillId="0" borderId="44" xfId="0" applyNumberFormat="1" applyBorder="1" applyProtection="1">
      <alignment vertical="center"/>
      <protection hidden="1"/>
    </xf>
    <xf numFmtId="0" fontId="0" fillId="0" borderId="44" xfId="0" applyBorder="1" applyProtection="1">
      <alignment vertical="center"/>
      <protection hidden="1"/>
    </xf>
    <xf numFmtId="0" fontId="4" fillId="13" borderId="13" xfId="0" applyFont="1" applyFill="1" applyBorder="1" applyProtection="1">
      <alignment vertical="center"/>
      <protection hidden="1"/>
    </xf>
    <xf numFmtId="0" fontId="4" fillId="13" borderId="48" xfId="0" applyFont="1" applyFill="1" applyBorder="1" applyProtection="1">
      <alignment vertical="center"/>
      <protection hidden="1"/>
    </xf>
    <xf numFmtId="0" fontId="0" fillId="13" borderId="48" xfId="0" applyFill="1" applyBorder="1" applyProtection="1">
      <alignment vertical="center"/>
      <protection hidden="1"/>
    </xf>
    <xf numFmtId="0" fontId="0" fillId="0" borderId="0" xfId="0" applyFill="1" applyProtection="1">
      <alignment vertical="center"/>
      <protection hidden="1"/>
    </xf>
    <xf numFmtId="0" fontId="0" fillId="12" borderId="0" xfId="0" applyFill="1" applyBorder="1" applyProtection="1">
      <alignment vertical="center"/>
      <protection hidden="1"/>
    </xf>
    <xf numFmtId="0" fontId="21" fillId="20" borderId="0" xfId="0" applyFont="1" applyFill="1" applyProtection="1">
      <alignment vertical="center"/>
      <protection hidden="1"/>
    </xf>
    <xf numFmtId="0" fontId="0" fillId="0" borderId="131" xfId="0" applyBorder="1" applyProtection="1">
      <alignment vertical="center"/>
      <protection hidden="1"/>
    </xf>
    <xf numFmtId="0" fontId="6" fillId="0" borderId="132" xfId="0" applyFont="1" applyBorder="1" applyAlignment="1" applyProtection="1">
      <alignment horizontal="center" vertical="center"/>
      <protection hidden="1"/>
    </xf>
    <xf numFmtId="0" fontId="0" fillId="0" borderId="107" xfId="0" applyBorder="1" applyAlignment="1" applyProtection="1">
      <alignment horizontal="center" vertical="center"/>
      <protection hidden="1"/>
    </xf>
    <xf numFmtId="0" fontId="0" fillId="12" borderId="15" xfId="0" applyFill="1" applyBorder="1" applyProtection="1">
      <alignment vertical="center"/>
      <protection hidden="1"/>
    </xf>
    <xf numFmtId="0" fontId="23" fillId="13" borderId="84" xfId="0" applyFont="1" applyFill="1" applyBorder="1" applyAlignment="1" applyProtection="1">
      <alignment horizontal="centerContinuous" vertical="center" wrapText="1"/>
      <protection hidden="1"/>
    </xf>
    <xf numFmtId="0" fontId="164" fillId="13" borderId="94" xfId="0" applyNumberFormat="1" applyFont="1" applyFill="1" applyBorder="1" applyAlignment="1" applyProtection="1">
      <alignment horizontal="centerContinuous" vertical="center" wrapText="1"/>
      <protection hidden="1"/>
    </xf>
    <xf numFmtId="0" fontId="163" fillId="14" borderId="0" xfId="0" applyFont="1" applyFill="1" applyBorder="1" applyAlignment="1" applyProtection="1">
      <alignment horizontal="centerContinuous" vertical="center"/>
      <protection locked="0" hidden="1"/>
    </xf>
    <xf numFmtId="0" fontId="21" fillId="13" borderId="14" xfId="0" applyFont="1" applyFill="1" applyBorder="1" applyAlignment="1" applyProtection="1">
      <alignment horizontal="center" vertical="center" wrapText="1"/>
      <protection hidden="1"/>
    </xf>
    <xf numFmtId="0" fontId="11" fillId="13" borderId="13" xfId="0" applyFont="1" applyFill="1" applyBorder="1" applyAlignment="1" applyProtection="1">
      <alignment horizontal="center" vertical="center" wrapText="1"/>
      <protection hidden="1"/>
    </xf>
    <xf numFmtId="167" fontId="11" fillId="13" borderId="13" xfId="0" applyNumberFormat="1" applyFont="1" applyFill="1" applyBorder="1" applyAlignment="1" applyProtection="1">
      <alignment horizontal="center" vertical="center" wrapText="1"/>
      <protection hidden="1"/>
    </xf>
    <xf numFmtId="0" fontId="11" fillId="13" borderId="48" xfId="0" applyFont="1" applyFill="1" applyBorder="1" applyAlignment="1" applyProtection="1">
      <alignment horizontal="center" vertical="center" wrapText="1"/>
      <protection hidden="1"/>
    </xf>
    <xf numFmtId="0" fontId="174" fillId="13" borderId="72" xfId="0" applyNumberFormat="1" applyFont="1" applyFill="1" applyBorder="1" applyAlignment="1" applyProtection="1">
      <alignment horizontal="left" vertical="center"/>
      <protection hidden="1"/>
    </xf>
    <xf numFmtId="0" fontId="174" fillId="13" borderId="63" xfId="0" applyNumberFormat="1" applyFont="1" applyFill="1" applyBorder="1" applyAlignment="1" applyProtection="1">
      <alignment horizontal="left" vertical="center"/>
      <protection hidden="1"/>
    </xf>
    <xf numFmtId="0" fontId="174" fillId="13" borderId="16" xfId="0" applyNumberFormat="1" applyFont="1" applyFill="1" applyBorder="1" applyAlignment="1" applyProtection="1">
      <alignment horizontal="left" vertical="center"/>
      <protection hidden="1"/>
    </xf>
    <xf numFmtId="0" fontId="245" fillId="13" borderId="63" xfId="0" applyNumberFormat="1" applyFont="1" applyFill="1" applyBorder="1" applyAlignment="1" applyProtection="1">
      <alignment horizontal="left" vertical="center"/>
      <protection hidden="1"/>
    </xf>
    <xf numFmtId="0" fontId="174" fillId="13" borderId="60" xfId="0" applyNumberFormat="1" applyFont="1" applyFill="1" applyBorder="1" applyAlignment="1" applyProtection="1">
      <alignment horizontal="left" vertical="center"/>
      <protection hidden="1"/>
    </xf>
    <xf numFmtId="0" fontId="100" fillId="12" borderId="71" xfId="4" applyFont="1" applyFill="1" applyBorder="1" applyAlignment="1" applyProtection="1">
      <alignment horizontal="center" vertical="center" wrapText="1"/>
      <protection hidden="1"/>
    </xf>
    <xf numFmtId="167" fontId="256" fillId="11" borderId="1" xfId="0" applyNumberFormat="1" applyFont="1" applyFill="1" applyBorder="1" applyAlignment="1" applyProtection="1">
      <alignment horizontal="center" vertical="center"/>
      <protection hidden="1"/>
    </xf>
    <xf numFmtId="0" fontId="87" fillId="8" borderId="90" xfId="0" applyFont="1" applyFill="1" applyBorder="1" applyAlignment="1" applyProtection="1">
      <alignment horizontal="center" vertical="center" wrapText="1"/>
      <protection hidden="1"/>
    </xf>
    <xf numFmtId="0" fontId="23" fillId="13" borderId="120" xfId="0" applyFont="1" applyFill="1" applyBorder="1" applyAlignment="1" applyProtection="1">
      <alignment horizontal="centerContinuous" vertical="center" wrapText="1"/>
      <protection hidden="1"/>
    </xf>
    <xf numFmtId="0" fontId="87" fillId="8" borderId="21" xfId="0" applyFont="1" applyFill="1" applyBorder="1" applyAlignment="1" applyProtection="1">
      <alignment horizontal="center" vertical="center" wrapText="1"/>
      <protection hidden="1"/>
    </xf>
    <xf numFmtId="0" fontId="0" fillId="13" borderId="0" xfId="0" applyFill="1">
      <alignment vertical="center"/>
    </xf>
    <xf numFmtId="0" fontId="58" fillId="13" borderId="40" xfId="0" applyFont="1" applyFill="1" applyBorder="1" applyAlignment="1" applyProtection="1">
      <alignment horizontal="center" vertical="center" wrapText="1"/>
      <protection hidden="1"/>
    </xf>
    <xf numFmtId="0" fontId="200" fillId="13" borderId="88" xfId="0" applyFont="1" applyFill="1" applyBorder="1" applyAlignment="1" applyProtection="1">
      <alignment horizontal="center" vertical="center" wrapText="1"/>
      <protection hidden="1"/>
    </xf>
    <xf numFmtId="0" fontId="74" fillId="13" borderId="90" xfId="0" applyFont="1" applyFill="1" applyBorder="1" applyAlignment="1" applyProtection="1">
      <alignment horizontal="center" vertical="center" wrapText="1"/>
      <protection hidden="1"/>
    </xf>
    <xf numFmtId="0" fontId="6" fillId="0" borderId="0" xfId="0" applyFont="1" applyBorder="1" applyAlignment="1" applyProtection="1">
      <alignment horizontal="center" vertical="center"/>
      <protection hidden="1"/>
    </xf>
    <xf numFmtId="0" fontId="0" fillId="0" borderId="0" xfId="0" applyBorder="1" applyAlignment="1" applyProtection="1">
      <alignment horizontal="center" vertical="center"/>
      <protection hidden="1"/>
    </xf>
    <xf numFmtId="0" fontId="0" fillId="0" borderId="13" xfId="0" applyBorder="1" applyProtection="1">
      <alignment vertical="center"/>
      <protection hidden="1"/>
    </xf>
    <xf numFmtId="174" fontId="69" fillId="0" borderId="13" xfId="0" applyNumberFormat="1" applyFont="1" applyBorder="1" applyAlignment="1" applyProtection="1">
      <alignment horizontal="center" vertical="center"/>
      <protection hidden="1"/>
    </xf>
    <xf numFmtId="0" fontId="58" fillId="22" borderId="131" xfId="0" applyFont="1" applyFill="1" applyBorder="1" applyAlignment="1" applyProtection="1">
      <alignment horizontal="center" vertical="center"/>
      <protection hidden="1"/>
    </xf>
    <xf numFmtId="0" fontId="257" fillId="22" borderId="132" xfId="0" applyFont="1" applyFill="1" applyBorder="1" applyAlignment="1" applyProtection="1">
      <alignment horizontal="center" vertical="center"/>
      <protection hidden="1"/>
    </xf>
    <xf numFmtId="0" fontId="257" fillId="22" borderId="107" xfId="0" applyFont="1" applyFill="1" applyBorder="1" applyAlignment="1" applyProtection="1">
      <alignment horizontal="center" vertical="center"/>
      <protection hidden="1"/>
    </xf>
    <xf numFmtId="0" fontId="257" fillId="22" borderId="131" xfId="0" applyFont="1" applyFill="1" applyBorder="1" applyAlignment="1" applyProtection="1">
      <alignment horizontal="center" vertical="center"/>
      <protection hidden="1"/>
    </xf>
    <xf numFmtId="0" fontId="6" fillId="0" borderId="13" xfId="0" applyFont="1" applyBorder="1" applyAlignment="1" applyProtection="1">
      <alignment horizontal="center" vertical="center"/>
      <protection hidden="1"/>
    </xf>
    <xf numFmtId="0" fontId="6" fillId="0" borderId="90" xfId="0" applyFont="1" applyBorder="1" applyAlignment="1" applyProtection="1">
      <alignment horizontal="center" vertical="center"/>
      <protection hidden="1"/>
    </xf>
    <xf numFmtId="173" fontId="70" fillId="13" borderId="45" xfId="0" applyNumberFormat="1" applyFont="1" applyFill="1" applyBorder="1" applyAlignment="1" applyProtection="1">
      <alignment horizontal="center" vertical="center" wrapText="1" readingOrder="1"/>
      <protection hidden="1"/>
    </xf>
    <xf numFmtId="173" fontId="70" fillId="13" borderId="207" xfId="0" applyNumberFormat="1" applyFont="1" applyFill="1" applyBorder="1" applyAlignment="1" applyProtection="1">
      <alignment horizontal="center" vertical="center" wrapText="1" readingOrder="1"/>
      <protection hidden="1"/>
    </xf>
    <xf numFmtId="173" fontId="70" fillId="13" borderId="118" xfId="0" applyNumberFormat="1" applyFont="1" applyFill="1" applyBorder="1" applyAlignment="1" applyProtection="1">
      <alignment horizontal="center" vertical="center" wrapText="1" readingOrder="1"/>
      <protection hidden="1"/>
    </xf>
    <xf numFmtId="0" fontId="80" fillId="13" borderId="41" xfId="0" applyFont="1" applyFill="1" applyBorder="1" applyAlignment="1" applyProtection="1">
      <alignment horizontal="left" vertical="center"/>
      <protection hidden="1"/>
    </xf>
    <xf numFmtId="0" fontId="80" fillId="13" borderId="11" xfId="0" applyFont="1" applyFill="1" applyBorder="1" applyAlignment="1" applyProtection="1">
      <alignment horizontal="left" vertical="center"/>
      <protection hidden="1"/>
    </xf>
    <xf numFmtId="0" fontId="80" fillId="13" borderId="37" xfId="0" applyFont="1" applyFill="1" applyBorder="1" applyAlignment="1" applyProtection="1">
      <alignment horizontal="left" vertical="center"/>
      <protection hidden="1"/>
    </xf>
    <xf numFmtId="0" fontId="69" fillId="13" borderId="74" xfId="0" applyFont="1" applyFill="1" applyBorder="1" applyAlignment="1" applyProtection="1">
      <alignment horizontal="center" vertical="center" wrapText="1"/>
      <protection hidden="1"/>
    </xf>
    <xf numFmtId="177" fontId="66" fillId="13" borderId="36" xfId="0" applyNumberFormat="1" applyFont="1" applyFill="1" applyBorder="1" applyAlignment="1" applyProtection="1">
      <alignment horizontal="center" vertical="center" wrapText="1"/>
      <protection hidden="1"/>
    </xf>
    <xf numFmtId="177" fontId="66" fillId="13" borderId="54" xfId="0" applyNumberFormat="1" applyFont="1" applyFill="1" applyBorder="1" applyAlignment="1" applyProtection="1">
      <alignment horizontal="centerContinuous" vertical="center" wrapText="1"/>
      <protection hidden="1"/>
    </xf>
    <xf numFmtId="0" fontId="74" fillId="25" borderId="74" xfId="0" applyFont="1" applyFill="1" applyBorder="1" applyAlignment="1" applyProtection="1">
      <alignment horizontal="center" vertical="center" wrapText="1"/>
      <protection hidden="1"/>
    </xf>
    <xf numFmtId="0" fontId="176" fillId="25" borderId="36" xfId="0" applyFont="1" applyFill="1" applyBorder="1" applyAlignment="1" applyProtection="1">
      <alignment horizontal="center" vertical="center" wrapText="1"/>
      <protection hidden="1"/>
    </xf>
    <xf numFmtId="0" fontId="69" fillId="12" borderId="168" xfId="0" applyFont="1" applyFill="1" applyBorder="1" applyAlignment="1" applyProtection="1">
      <alignment horizontal="center" vertical="center" wrapText="1"/>
      <protection hidden="1"/>
    </xf>
    <xf numFmtId="174" fontId="78" fillId="13" borderId="17" xfId="0" applyNumberFormat="1" applyFont="1" applyFill="1" applyBorder="1" applyAlignment="1" applyProtection="1">
      <alignment horizontal="center" vertical="center"/>
      <protection hidden="1"/>
    </xf>
    <xf numFmtId="0" fontId="199" fillId="12" borderId="134" xfId="0" applyFont="1" applyFill="1" applyBorder="1" applyAlignment="1" applyProtection="1">
      <alignment horizontal="center" vertical="center" wrapText="1"/>
      <protection hidden="1"/>
    </xf>
    <xf numFmtId="0" fontId="4" fillId="13" borderId="90" xfId="0" applyFont="1" applyFill="1" applyBorder="1" applyProtection="1">
      <alignment vertical="center"/>
      <protection hidden="1"/>
    </xf>
    <xf numFmtId="0" fontId="4" fillId="13" borderId="0" xfId="0" applyFont="1" applyFill="1" applyProtection="1">
      <alignment vertical="center"/>
      <protection hidden="1"/>
    </xf>
    <xf numFmtId="167" fontId="172" fillId="13" borderId="190" xfId="0" applyNumberFormat="1" applyFont="1" applyFill="1" applyBorder="1" applyAlignment="1" applyProtection="1">
      <alignment horizontal="centerContinuous" vertical="center" wrapText="1"/>
      <protection hidden="1"/>
    </xf>
    <xf numFmtId="167" fontId="172" fillId="13" borderId="29" xfId="0" applyNumberFormat="1" applyFont="1" applyFill="1" applyBorder="1" applyAlignment="1" applyProtection="1">
      <alignment horizontal="centerContinuous" vertical="center"/>
      <protection hidden="1"/>
    </xf>
    <xf numFmtId="167" fontId="172" fillId="13" borderId="29" xfId="0" applyNumberFormat="1" applyFont="1" applyFill="1" applyBorder="1" applyAlignment="1" applyProtection="1">
      <alignment horizontal="centerContinuous" vertical="center" wrapText="1"/>
      <protection hidden="1"/>
    </xf>
    <xf numFmtId="167" fontId="172" fillId="12" borderId="61" xfId="0" applyNumberFormat="1" applyFont="1" applyFill="1" applyBorder="1" applyAlignment="1" applyProtection="1">
      <alignment horizontal="centerContinuous" vertical="center" wrapText="1"/>
      <protection hidden="1"/>
    </xf>
    <xf numFmtId="167" fontId="172" fillId="13" borderId="61" xfId="0" applyNumberFormat="1" applyFont="1" applyFill="1" applyBorder="1" applyAlignment="1" applyProtection="1">
      <alignment horizontal="centerContinuous" vertical="center" wrapText="1"/>
      <protection hidden="1"/>
    </xf>
    <xf numFmtId="0" fontId="4" fillId="13" borderId="23" xfId="0" applyFont="1" applyFill="1" applyBorder="1" applyProtection="1">
      <alignment vertical="center"/>
      <protection hidden="1"/>
    </xf>
    <xf numFmtId="167" fontId="172" fillId="13" borderId="165" xfId="0" applyNumberFormat="1" applyFont="1" applyFill="1" applyBorder="1" applyAlignment="1" applyProtection="1">
      <alignment horizontal="centerContinuous" vertical="center" wrapText="1"/>
      <protection hidden="1"/>
    </xf>
    <xf numFmtId="167" fontId="172" fillId="12" borderId="111" xfId="0" applyNumberFormat="1" applyFont="1" applyFill="1" applyBorder="1" applyAlignment="1" applyProtection="1">
      <alignment horizontal="centerContinuous" vertical="center" wrapText="1"/>
      <protection hidden="1"/>
    </xf>
    <xf numFmtId="0" fontId="69" fillId="0" borderId="13" xfId="0" applyFont="1" applyBorder="1" applyAlignment="1" applyProtection="1">
      <alignment horizontal="center" vertical="center"/>
      <protection hidden="1"/>
    </xf>
    <xf numFmtId="0" fontId="69" fillId="0" borderId="48" xfId="0" applyFont="1" applyBorder="1" applyAlignment="1" applyProtection="1">
      <alignment horizontal="center" vertical="center"/>
      <protection hidden="1"/>
    </xf>
    <xf numFmtId="0" fontId="21" fillId="13" borderId="14" xfId="0" applyFont="1" applyFill="1" applyBorder="1" applyAlignment="1" applyProtection="1">
      <alignment horizontal="center" vertical="center" wrapText="1"/>
      <protection hidden="1"/>
    </xf>
    <xf numFmtId="0" fontId="277" fillId="11" borderId="84" xfId="5" applyFont="1" applyFill="1" applyBorder="1" applyAlignment="1" applyProtection="1">
      <alignment horizontal="center" vertical="center" wrapText="1"/>
      <protection locked="0"/>
    </xf>
    <xf numFmtId="0" fontId="278" fillId="13" borderId="14" xfId="5" applyFont="1" applyFill="1" applyBorder="1" applyAlignment="1" applyProtection="1">
      <alignment horizontal="center" vertical="center" wrapText="1"/>
      <protection locked="0"/>
    </xf>
    <xf numFmtId="0" fontId="280" fillId="11" borderId="104" xfId="5" applyFont="1" applyFill="1" applyBorder="1" applyAlignment="1" applyProtection="1">
      <alignment horizontal="center" vertical="center" wrapText="1"/>
      <protection locked="0"/>
    </xf>
    <xf numFmtId="0" fontId="66" fillId="8" borderId="136" xfId="0" applyFont="1" applyFill="1" applyBorder="1" applyAlignment="1" applyProtection="1">
      <alignment horizontal="center" vertical="center" wrapText="1"/>
      <protection hidden="1"/>
    </xf>
    <xf numFmtId="0" fontId="66" fillId="8" borderId="91" xfId="0" applyFont="1" applyFill="1" applyBorder="1" applyAlignment="1" applyProtection="1">
      <alignment horizontal="center" vertical="center" wrapText="1"/>
      <protection hidden="1"/>
    </xf>
    <xf numFmtId="0" fontId="58" fillId="14" borderId="101" xfId="0" applyFont="1" applyFill="1" applyBorder="1" applyAlignment="1" applyProtection="1">
      <alignment horizontal="center" vertical="center" wrapText="1"/>
      <protection hidden="1"/>
    </xf>
    <xf numFmtId="0" fontId="58" fillId="14" borderId="100" xfId="0" applyFont="1" applyFill="1" applyBorder="1" applyAlignment="1" applyProtection="1">
      <alignment horizontal="center" vertical="center" wrapText="1"/>
      <protection hidden="1"/>
    </xf>
    <xf numFmtId="0" fontId="58" fillId="14" borderId="134" xfId="0" applyFont="1" applyFill="1" applyBorder="1" applyAlignment="1" applyProtection="1">
      <alignment horizontal="center" vertical="center" wrapText="1"/>
      <protection hidden="1"/>
    </xf>
    <xf numFmtId="0" fontId="231" fillId="12" borderId="131" xfId="0" applyFont="1" applyFill="1" applyBorder="1" applyAlignment="1" applyProtection="1">
      <alignment horizontal="center" vertical="center" wrapText="1"/>
      <protection hidden="1"/>
    </xf>
    <xf numFmtId="0" fontId="231" fillId="12" borderId="132" xfId="0" applyFont="1" applyFill="1" applyBorder="1" applyAlignment="1" applyProtection="1">
      <alignment horizontal="center" vertical="center" wrapText="1"/>
      <protection hidden="1"/>
    </xf>
    <xf numFmtId="0" fontId="231" fillId="12" borderId="107" xfId="0" applyFont="1" applyFill="1" applyBorder="1" applyAlignment="1" applyProtection="1">
      <alignment horizontal="center" vertical="center" wrapText="1"/>
      <protection hidden="1"/>
    </xf>
    <xf numFmtId="0" fontId="78" fillId="13" borderId="55" xfId="0" applyNumberFormat="1" applyFont="1" applyFill="1" applyBorder="1" applyAlignment="1" applyProtection="1">
      <alignment horizontal="center" vertical="center" wrapText="1"/>
      <protection hidden="1"/>
    </xf>
    <xf numFmtId="0" fontId="78" fillId="13" borderId="43" xfId="0" applyNumberFormat="1" applyFont="1" applyFill="1" applyBorder="1" applyAlignment="1" applyProtection="1">
      <alignment horizontal="center" vertical="center" wrapText="1"/>
      <protection hidden="1"/>
    </xf>
    <xf numFmtId="0" fontId="78" fillId="13" borderId="44" xfId="0" applyNumberFormat="1" applyFont="1" applyFill="1" applyBorder="1" applyAlignment="1" applyProtection="1">
      <alignment horizontal="center" vertical="center" wrapText="1"/>
      <protection hidden="1"/>
    </xf>
    <xf numFmtId="0" fontId="66" fillId="13" borderId="156" xfId="0" applyFont="1" applyFill="1" applyBorder="1" applyAlignment="1" applyProtection="1">
      <alignment horizontal="center" vertical="center"/>
      <protection hidden="1"/>
    </xf>
    <xf numFmtId="0" fontId="66" fillId="13" borderId="35" xfId="0" applyFont="1" applyFill="1" applyBorder="1" applyAlignment="1" applyProtection="1">
      <alignment horizontal="center" vertical="center"/>
      <protection hidden="1"/>
    </xf>
    <xf numFmtId="0" fontId="66" fillId="13" borderId="14" xfId="0" applyFont="1" applyFill="1" applyBorder="1" applyAlignment="1" applyProtection="1">
      <alignment horizontal="center" vertical="center"/>
      <protection hidden="1"/>
    </xf>
    <xf numFmtId="0" fontId="66" fillId="12" borderId="156" xfId="0" applyFont="1" applyFill="1" applyBorder="1" applyAlignment="1" applyProtection="1">
      <alignment horizontal="center" vertical="center"/>
      <protection hidden="1"/>
    </xf>
    <xf numFmtId="0" fontId="66" fillId="12" borderId="35" xfId="0" applyFont="1" applyFill="1" applyBorder="1" applyAlignment="1" applyProtection="1">
      <alignment horizontal="center" vertical="center"/>
      <protection hidden="1"/>
    </xf>
    <xf numFmtId="0" fontId="66" fillId="12" borderId="14" xfId="0" applyFont="1" applyFill="1" applyBorder="1" applyAlignment="1" applyProtection="1">
      <alignment horizontal="center" vertical="center"/>
      <protection hidden="1"/>
    </xf>
    <xf numFmtId="0" fontId="265" fillId="12" borderId="10" xfId="0" applyFont="1" applyFill="1" applyBorder="1" applyAlignment="1" applyProtection="1">
      <alignment horizontal="center" vertical="center" wrapText="1"/>
      <protection hidden="1"/>
    </xf>
    <xf numFmtId="0" fontId="265" fillId="12" borderId="28" xfId="0" applyFont="1" applyFill="1" applyBorder="1" applyAlignment="1" applyProtection="1">
      <alignment horizontal="center" vertical="center" wrapText="1"/>
      <protection hidden="1"/>
    </xf>
    <xf numFmtId="0" fontId="265" fillId="12" borderId="13" xfId="0" applyFont="1" applyFill="1" applyBorder="1" applyAlignment="1" applyProtection="1">
      <alignment horizontal="center" vertical="center" wrapText="1"/>
      <protection hidden="1"/>
    </xf>
    <xf numFmtId="0" fontId="265" fillId="12" borderId="90" xfId="0" applyFont="1" applyFill="1" applyBorder="1" applyAlignment="1" applyProtection="1">
      <alignment horizontal="center" vertical="center" wrapText="1"/>
      <protection hidden="1"/>
    </xf>
    <xf numFmtId="0" fontId="265" fillId="12" borderId="48" xfId="0" applyFont="1" applyFill="1" applyBorder="1" applyAlignment="1" applyProtection="1">
      <alignment horizontal="center" vertical="center" wrapText="1"/>
      <protection hidden="1"/>
    </xf>
    <xf numFmtId="0" fontId="265" fillId="12" borderId="23" xfId="0" applyFont="1" applyFill="1" applyBorder="1" applyAlignment="1" applyProtection="1">
      <alignment horizontal="center" vertical="center" wrapText="1"/>
      <protection hidden="1"/>
    </xf>
    <xf numFmtId="0" fontId="60" fillId="12" borderId="0" xfId="0" applyFont="1" applyFill="1" applyBorder="1" applyAlignment="1" applyProtection="1">
      <alignment horizontal="center" vertical="center"/>
      <protection hidden="1"/>
    </xf>
    <xf numFmtId="0" fontId="60" fillId="12" borderId="15" xfId="0" applyFont="1" applyFill="1" applyBorder="1" applyAlignment="1" applyProtection="1">
      <alignment horizontal="center" vertical="center"/>
      <protection hidden="1"/>
    </xf>
    <xf numFmtId="0" fontId="58" fillId="13" borderId="124" xfId="0" applyFont="1" applyFill="1" applyBorder="1" applyAlignment="1" applyProtection="1">
      <alignment horizontal="center" vertical="center"/>
      <protection hidden="1"/>
    </xf>
    <xf numFmtId="0" fontId="58" fillId="13" borderId="35" xfId="0" applyFont="1" applyFill="1" applyBorder="1" applyAlignment="1" applyProtection="1">
      <alignment horizontal="center" vertical="center"/>
      <protection hidden="1"/>
    </xf>
    <xf numFmtId="0" fontId="58" fillId="13" borderId="92" xfId="0" applyFont="1" applyFill="1" applyBorder="1" applyAlignment="1" applyProtection="1">
      <alignment horizontal="center" vertical="center"/>
      <protection hidden="1"/>
    </xf>
    <xf numFmtId="0" fontId="156" fillId="12" borderId="124" xfId="0" applyFont="1" applyFill="1" applyBorder="1" applyAlignment="1" applyProtection="1">
      <alignment horizontal="center" vertical="center"/>
      <protection hidden="1"/>
    </xf>
    <xf numFmtId="0" fontId="156" fillId="12" borderId="35" xfId="0" applyFont="1" applyFill="1" applyBorder="1" applyAlignment="1" applyProtection="1">
      <alignment horizontal="center" vertical="center"/>
      <protection hidden="1"/>
    </xf>
    <xf numFmtId="0" fontId="156" fillId="12" borderId="92" xfId="0" applyFont="1" applyFill="1" applyBorder="1" applyAlignment="1" applyProtection="1">
      <alignment horizontal="center" vertical="center"/>
      <protection hidden="1"/>
    </xf>
    <xf numFmtId="0" fontId="0" fillId="12" borderId="40" xfId="0" applyFill="1" applyBorder="1" applyAlignment="1" applyProtection="1">
      <alignment horizontal="center" vertical="center" wrapText="1"/>
      <protection hidden="1"/>
    </xf>
    <xf numFmtId="0" fontId="0" fillId="12" borderId="41" xfId="0" applyFill="1" applyBorder="1" applyAlignment="1" applyProtection="1">
      <alignment horizontal="center" vertical="center" wrapText="1"/>
      <protection hidden="1"/>
    </xf>
    <xf numFmtId="0" fontId="0" fillId="12" borderId="88" xfId="0" applyFill="1" applyBorder="1" applyAlignment="1" applyProtection="1">
      <alignment horizontal="center" vertical="center" wrapText="1"/>
      <protection hidden="1"/>
    </xf>
    <xf numFmtId="0" fontId="0" fillId="12" borderId="13" xfId="0" applyFill="1" applyBorder="1" applyAlignment="1" applyProtection="1">
      <alignment horizontal="center" vertical="center" wrapText="1"/>
      <protection hidden="1"/>
    </xf>
    <xf numFmtId="0" fontId="0" fillId="12" borderId="0" xfId="0" applyFill="1" applyBorder="1" applyAlignment="1" applyProtection="1">
      <alignment horizontal="center" vertical="center" wrapText="1"/>
      <protection hidden="1"/>
    </xf>
    <xf numFmtId="0" fontId="0" fillId="12" borderId="90" xfId="0" applyFill="1" applyBorder="1" applyAlignment="1" applyProtection="1">
      <alignment horizontal="center" vertical="center" wrapText="1"/>
      <protection hidden="1"/>
    </xf>
    <xf numFmtId="0" fontId="0" fillId="12" borderId="48" xfId="0" applyFill="1" applyBorder="1" applyAlignment="1" applyProtection="1">
      <alignment horizontal="center" vertical="center" wrapText="1"/>
      <protection hidden="1"/>
    </xf>
    <xf numFmtId="0" fontId="0" fillId="12" borderId="15" xfId="0" applyFill="1" applyBorder="1" applyAlignment="1" applyProtection="1">
      <alignment horizontal="center" vertical="center" wrapText="1"/>
      <protection hidden="1"/>
    </xf>
    <xf numFmtId="0" fontId="0" fillId="12" borderId="23" xfId="0" applyFill="1" applyBorder="1" applyAlignment="1" applyProtection="1">
      <alignment horizontal="center" vertical="center" wrapText="1"/>
      <protection hidden="1"/>
    </xf>
    <xf numFmtId="167" fontId="27" fillId="12" borderId="88" xfId="0" applyNumberFormat="1" applyFont="1" applyFill="1" applyBorder="1" applyAlignment="1" applyProtection="1">
      <alignment horizontal="center" vertical="center" wrapText="1"/>
      <protection hidden="1"/>
    </xf>
    <xf numFmtId="167" fontId="27" fillId="12" borderId="90" xfId="0" applyNumberFormat="1" applyFont="1" applyFill="1" applyBorder="1" applyAlignment="1" applyProtection="1">
      <alignment horizontal="center" vertical="center" wrapText="1"/>
      <protection hidden="1"/>
    </xf>
    <xf numFmtId="0" fontId="66" fillId="12" borderId="192" xfId="0" applyFont="1" applyFill="1" applyBorder="1" applyAlignment="1" applyProtection="1">
      <alignment horizontal="center" vertical="center"/>
      <protection hidden="1"/>
    </xf>
    <xf numFmtId="0" fontId="66" fillId="12" borderId="92" xfId="0" applyFont="1" applyFill="1" applyBorder="1" applyAlignment="1" applyProtection="1">
      <alignment horizontal="center" vertical="center"/>
      <protection hidden="1"/>
    </xf>
    <xf numFmtId="0" fontId="66" fillId="12" borderId="59" xfId="0" applyFont="1" applyFill="1" applyBorder="1" applyAlignment="1" applyProtection="1">
      <alignment horizontal="center" vertical="center"/>
      <protection hidden="1"/>
    </xf>
    <xf numFmtId="0" fontId="215" fillId="12" borderId="190" xfId="0" applyFont="1" applyFill="1" applyBorder="1" applyAlignment="1" applyProtection="1">
      <alignment horizontal="center" vertical="center" wrapText="1"/>
      <protection hidden="1"/>
    </xf>
    <xf numFmtId="0" fontId="215" fillId="12" borderId="29" xfId="0" applyFont="1" applyFill="1" applyBorder="1" applyAlignment="1" applyProtection="1">
      <alignment horizontal="center" vertical="center" wrapText="1"/>
      <protection hidden="1"/>
    </xf>
    <xf numFmtId="0" fontId="215" fillId="12" borderId="165" xfId="0" applyFont="1" applyFill="1" applyBorder="1" applyAlignment="1" applyProtection="1">
      <alignment horizontal="center" vertical="center" wrapText="1"/>
      <protection hidden="1"/>
    </xf>
    <xf numFmtId="0" fontId="27" fillId="13" borderId="131" xfId="0" quotePrefix="1" applyFont="1" applyFill="1" applyBorder="1" applyAlignment="1" applyProtection="1">
      <alignment horizontal="center" vertical="center" wrapText="1"/>
      <protection hidden="1"/>
    </xf>
    <xf numFmtId="0" fontId="27" fillId="13" borderId="132" xfId="0" applyFont="1" applyFill="1" applyBorder="1" applyAlignment="1" applyProtection="1">
      <alignment horizontal="center" vertical="center" wrapText="1"/>
      <protection hidden="1"/>
    </xf>
    <xf numFmtId="0" fontId="27" fillId="13" borderId="107" xfId="0" applyFont="1" applyFill="1" applyBorder="1" applyAlignment="1" applyProtection="1">
      <alignment horizontal="center" vertical="center" wrapText="1"/>
      <protection hidden="1"/>
    </xf>
    <xf numFmtId="0" fontId="66" fillId="13" borderId="186" xfId="0" applyFont="1" applyFill="1" applyBorder="1" applyAlignment="1" applyProtection="1">
      <alignment horizontal="center" vertical="center"/>
      <protection hidden="1"/>
    </xf>
    <xf numFmtId="0" fontId="66" fillId="13" borderId="121" xfId="0" applyFont="1" applyFill="1" applyBorder="1" applyAlignment="1" applyProtection="1">
      <alignment horizontal="center" vertical="center"/>
      <protection hidden="1"/>
    </xf>
    <xf numFmtId="0" fontId="66" fillId="13" borderId="21" xfId="0" applyFont="1" applyFill="1" applyBorder="1" applyAlignment="1" applyProtection="1">
      <alignment horizontal="center" vertical="center"/>
      <protection hidden="1"/>
    </xf>
    <xf numFmtId="167" fontId="156" fillId="11" borderId="55" xfId="0" applyNumberFormat="1" applyFont="1" applyFill="1" applyBorder="1" applyAlignment="1" applyProtection="1">
      <alignment horizontal="center" vertical="center" wrapText="1"/>
      <protection hidden="1"/>
    </xf>
    <xf numFmtId="167" fontId="156" fillId="11" borderId="43" xfId="0" applyNumberFormat="1" applyFont="1" applyFill="1" applyBorder="1" applyAlignment="1" applyProtection="1">
      <alignment horizontal="center" vertical="center" wrapText="1"/>
      <protection hidden="1"/>
    </xf>
    <xf numFmtId="0" fontId="250" fillId="12" borderId="40" xfId="0" applyFont="1" applyFill="1" applyBorder="1" applyAlignment="1" applyProtection="1">
      <alignment horizontal="center" vertical="center" wrapText="1"/>
      <protection hidden="1"/>
    </xf>
    <xf numFmtId="0" fontId="250" fillId="12" borderId="41" xfId="0" applyFont="1" applyFill="1" applyBorder="1" applyAlignment="1" applyProtection="1">
      <alignment horizontal="center" vertical="center" wrapText="1"/>
      <protection hidden="1"/>
    </xf>
    <xf numFmtId="0" fontId="250" fillId="12" borderId="88" xfId="0" applyFont="1" applyFill="1" applyBorder="1" applyAlignment="1" applyProtection="1">
      <alignment horizontal="center" vertical="center" wrapText="1"/>
      <protection hidden="1"/>
    </xf>
    <xf numFmtId="0" fontId="250" fillId="12" borderId="13" xfId="0" applyFont="1" applyFill="1" applyBorder="1" applyAlignment="1" applyProtection="1">
      <alignment horizontal="center" vertical="center" wrapText="1"/>
      <protection hidden="1"/>
    </xf>
    <xf numFmtId="0" fontId="250" fillId="12" borderId="0" xfId="0" applyFont="1" applyFill="1" applyBorder="1" applyAlignment="1" applyProtection="1">
      <alignment horizontal="center" vertical="center" wrapText="1"/>
      <protection hidden="1"/>
    </xf>
    <xf numFmtId="0" fontId="250" fillId="12" borderId="90" xfId="0" applyFont="1" applyFill="1" applyBorder="1" applyAlignment="1" applyProtection="1">
      <alignment horizontal="center" vertical="center" wrapText="1"/>
      <protection hidden="1"/>
    </xf>
    <xf numFmtId="0" fontId="250" fillId="12" borderId="48" xfId="0" applyFont="1" applyFill="1" applyBorder="1" applyAlignment="1" applyProtection="1">
      <alignment horizontal="center" vertical="center" wrapText="1"/>
      <protection hidden="1"/>
    </xf>
    <xf numFmtId="0" fontId="250" fillId="12" borderId="15" xfId="0" applyFont="1" applyFill="1" applyBorder="1" applyAlignment="1" applyProtection="1">
      <alignment horizontal="center" vertical="center" wrapText="1"/>
      <protection hidden="1"/>
    </xf>
    <xf numFmtId="0" fontId="250" fillId="12" borderId="23" xfId="0" applyFont="1" applyFill="1" applyBorder="1" applyAlignment="1" applyProtection="1">
      <alignment horizontal="center" vertical="center" wrapText="1"/>
      <protection hidden="1"/>
    </xf>
    <xf numFmtId="0" fontId="27" fillId="13" borderId="40" xfId="0" applyFont="1" applyFill="1" applyBorder="1" applyAlignment="1" applyProtection="1">
      <alignment horizontal="center" vertical="center" wrapText="1"/>
      <protection hidden="1"/>
    </xf>
    <xf numFmtId="0" fontId="27" fillId="13" borderId="41" xfId="0" applyFont="1" applyFill="1" applyBorder="1" applyAlignment="1" applyProtection="1">
      <alignment horizontal="center" vertical="center" wrapText="1"/>
      <protection hidden="1"/>
    </xf>
    <xf numFmtId="0" fontId="27" fillId="13" borderId="88" xfId="0" applyFont="1" applyFill="1" applyBorder="1" applyAlignment="1" applyProtection="1">
      <alignment horizontal="center" vertical="center" wrapText="1"/>
      <protection hidden="1"/>
    </xf>
    <xf numFmtId="0" fontId="27" fillId="13" borderId="13" xfId="0" applyFont="1" applyFill="1" applyBorder="1" applyAlignment="1" applyProtection="1">
      <alignment horizontal="center" vertical="center" wrapText="1"/>
      <protection hidden="1"/>
    </xf>
    <xf numFmtId="0" fontId="27" fillId="13" borderId="0" xfId="0" applyFont="1" applyFill="1" applyBorder="1" applyAlignment="1" applyProtection="1">
      <alignment horizontal="center" vertical="center" wrapText="1"/>
      <protection hidden="1"/>
    </xf>
    <xf numFmtId="0" fontId="27" fillId="13" borderId="90" xfId="0" applyFont="1" applyFill="1" applyBorder="1" applyAlignment="1" applyProtection="1">
      <alignment horizontal="center" vertical="center" wrapText="1"/>
      <protection hidden="1"/>
    </xf>
    <xf numFmtId="0" fontId="27" fillId="13" borderId="48" xfId="0" applyFont="1" applyFill="1" applyBorder="1" applyAlignment="1" applyProtection="1">
      <alignment horizontal="center" vertical="center" wrapText="1"/>
      <protection hidden="1"/>
    </xf>
    <xf numFmtId="0" fontId="27" fillId="13" borderId="15" xfId="0" applyFont="1" applyFill="1" applyBorder="1" applyAlignment="1" applyProtection="1">
      <alignment horizontal="center" vertical="center" wrapText="1"/>
      <protection hidden="1"/>
    </xf>
    <xf numFmtId="0" fontId="27" fillId="13" borderId="23" xfId="0" applyFont="1" applyFill="1" applyBorder="1" applyAlignment="1" applyProtection="1">
      <alignment horizontal="center" vertical="center" wrapText="1"/>
      <protection hidden="1"/>
    </xf>
    <xf numFmtId="167" fontId="91" fillId="11" borderId="55" xfId="0" applyNumberFormat="1" applyFont="1" applyFill="1" applyBorder="1" applyAlignment="1" applyProtection="1">
      <alignment horizontal="center" vertical="center" wrapText="1"/>
      <protection hidden="1"/>
    </xf>
    <xf numFmtId="167" fontId="91" fillId="11" borderId="43" xfId="0" applyNumberFormat="1" applyFont="1" applyFill="1" applyBorder="1" applyAlignment="1" applyProtection="1">
      <alignment horizontal="center" vertical="center" wrapText="1"/>
      <protection hidden="1"/>
    </xf>
    <xf numFmtId="167" fontId="178" fillId="13" borderId="55" xfId="0" applyNumberFormat="1" applyFont="1" applyFill="1" applyBorder="1" applyAlignment="1" applyProtection="1">
      <alignment horizontal="center" vertical="center" wrapText="1"/>
      <protection hidden="1"/>
    </xf>
    <xf numFmtId="167" fontId="178" fillId="13" borderId="43" xfId="0" applyNumberFormat="1" applyFont="1" applyFill="1" applyBorder="1" applyAlignment="1" applyProtection="1">
      <alignment horizontal="center" vertical="center" wrapText="1"/>
      <protection hidden="1"/>
    </xf>
    <xf numFmtId="0" fontId="99" fillId="13" borderId="40" xfId="0" applyFont="1" applyFill="1" applyBorder="1" applyAlignment="1" applyProtection="1">
      <alignment horizontal="center" vertical="center" wrapText="1"/>
      <protection hidden="1"/>
    </xf>
    <xf numFmtId="0" fontId="99" fillId="13" borderId="41" xfId="0" applyFont="1" applyFill="1" applyBorder="1" applyAlignment="1" applyProtection="1">
      <alignment horizontal="center" vertical="center" wrapText="1"/>
      <protection hidden="1"/>
    </xf>
    <xf numFmtId="0" fontId="99" fillId="13" borderId="88" xfId="0" applyFont="1" applyFill="1" applyBorder="1" applyAlignment="1" applyProtection="1">
      <alignment horizontal="center" vertical="center" wrapText="1"/>
      <protection hidden="1"/>
    </xf>
    <xf numFmtId="0" fontId="99" fillId="13" borderId="13" xfId="0" applyFont="1" applyFill="1" applyBorder="1" applyAlignment="1" applyProtection="1">
      <alignment horizontal="center" vertical="center" wrapText="1"/>
      <protection hidden="1"/>
    </xf>
    <xf numFmtId="0" fontId="99" fillId="13" borderId="0" xfId="0" applyFont="1" applyFill="1" applyBorder="1" applyAlignment="1" applyProtection="1">
      <alignment horizontal="center" vertical="center" wrapText="1"/>
      <protection hidden="1"/>
    </xf>
    <xf numFmtId="0" fontId="99" fillId="13" borderId="90" xfId="0" applyFont="1" applyFill="1" applyBorder="1" applyAlignment="1" applyProtection="1">
      <alignment horizontal="center" vertical="center" wrapText="1"/>
      <protection hidden="1"/>
    </xf>
    <xf numFmtId="0" fontId="99" fillId="13" borderId="48" xfId="0" applyFont="1" applyFill="1" applyBorder="1" applyAlignment="1" applyProtection="1">
      <alignment horizontal="center" vertical="center" wrapText="1"/>
      <protection hidden="1"/>
    </xf>
    <xf numFmtId="0" fontId="99" fillId="13" borderId="15" xfId="0" applyFont="1" applyFill="1" applyBorder="1" applyAlignment="1" applyProtection="1">
      <alignment horizontal="center" vertical="center" wrapText="1"/>
      <protection hidden="1"/>
    </xf>
    <xf numFmtId="0" fontId="99" fillId="13" borderId="23" xfId="0" applyFont="1" applyFill="1" applyBorder="1" applyAlignment="1" applyProtection="1">
      <alignment horizontal="center" vertical="center" wrapText="1"/>
      <protection hidden="1"/>
    </xf>
    <xf numFmtId="0" fontId="21" fillId="12" borderId="9" xfId="0" applyFont="1" applyFill="1" applyBorder="1" applyAlignment="1" applyProtection="1">
      <alignment horizontal="center" vertical="center" wrapText="1"/>
      <protection hidden="1"/>
    </xf>
    <xf numFmtId="0" fontId="21" fillId="12" borderId="4" xfId="0" applyFont="1" applyFill="1" applyBorder="1" applyAlignment="1" applyProtection="1">
      <alignment horizontal="center" vertical="center" wrapText="1"/>
      <protection hidden="1"/>
    </xf>
    <xf numFmtId="0" fontId="0" fillId="13" borderId="9" xfId="0" applyFill="1" applyBorder="1" applyAlignment="1" applyProtection="1">
      <alignment horizontal="center" vertical="center"/>
      <protection hidden="1"/>
    </xf>
    <xf numFmtId="0" fontId="0" fillId="13" borderId="4" xfId="0" applyFill="1" applyBorder="1" applyAlignment="1" applyProtection="1">
      <alignment horizontal="center" vertical="center"/>
      <protection hidden="1"/>
    </xf>
    <xf numFmtId="0" fontId="69" fillId="13" borderId="156" xfId="0" applyFont="1" applyFill="1" applyBorder="1" applyAlignment="1" applyProtection="1">
      <alignment horizontal="center" vertical="center" wrapText="1"/>
      <protection hidden="1"/>
    </xf>
    <xf numFmtId="0" fontId="69" fillId="13" borderId="35" xfId="0" applyFont="1" applyFill="1" applyBorder="1" applyAlignment="1" applyProtection="1">
      <alignment horizontal="center" vertical="center" wrapText="1"/>
      <protection hidden="1"/>
    </xf>
    <xf numFmtId="0" fontId="69" fillId="13" borderId="14" xfId="0" applyFont="1" applyFill="1" applyBorder="1" applyAlignment="1" applyProtection="1">
      <alignment horizontal="center" vertical="center" wrapText="1"/>
      <protection hidden="1"/>
    </xf>
    <xf numFmtId="167" fontId="61" fillId="11" borderId="55" xfId="0" applyNumberFormat="1" applyFont="1" applyFill="1" applyBorder="1" applyAlignment="1" applyProtection="1">
      <alignment horizontal="center" vertical="center" wrapText="1"/>
      <protection hidden="1"/>
    </xf>
    <xf numFmtId="167" fontId="61" fillId="11" borderId="43" xfId="0" applyNumberFormat="1" applyFont="1" applyFill="1" applyBorder="1" applyAlignment="1" applyProtection="1">
      <alignment horizontal="center" vertical="center" wrapText="1"/>
      <protection hidden="1"/>
    </xf>
    <xf numFmtId="167" fontId="58" fillId="13" borderId="55" xfId="0" applyNumberFormat="1" applyFont="1" applyFill="1" applyBorder="1" applyAlignment="1" applyProtection="1">
      <alignment horizontal="center" vertical="center" wrapText="1"/>
      <protection hidden="1"/>
    </xf>
    <xf numFmtId="167" fontId="58" fillId="13" borderId="43" xfId="0" applyNumberFormat="1" applyFont="1" applyFill="1" applyBorder="1" applyAlignment="1" applyProtection="1">
      <alignment horizontal="center" vertical="center" wrapText="1"/>
      <protection hidden="1"/>
    </xf>
    <xf numFmtId="167" fontId="60" fillId="11" borderId="55" xfId="0" applyNumberFormat="1" applyFont="1" applyFill="1" applyBorder="1" applyAlignment="1" applyProtection="1">
      <alignment horizontal="center" vertical="center" wrapText="1"/>
      <protection hidden="1"/>
    </xf>
    <xf numFmtId="167" fontId="60" fillId="11" borderId="43" xfId="0" applyNumberFormat="1" applyFont="1" applyFill="1" applyBorder="1" applyAlignment="1" applyProtection="1">
      <alignment horizontal="center" vertical="center" wrapText="1"/>
      <protection hidden="1"/>
    </xf>
    <xf numFmtId="0" fontId="21" fillId="13" borderId="3" xfId="0" applyFont="1" applyFill="1" applyBorder="1" applyAlignment="1" applyProtection="1">
      <alignment horizontal="center" vertical="center" wrapText="1"/>
      <protection hidden="1"/>
    </xf>
    <xf numFmtId="0" fontId="21" fillId="13" borderId="29" xfId="0" applyFont="1" applyFill="1" applyBorder="1" applyAlignment="1" applyProtection="1">
      <alignment horizontal="center" vertical="center" wrapText="1"/>
      <protection hidden="1"/>
    </xf>
    <xf numFmtId="0" fontId="21" fillId="13" borderId="164" xfId="0" applyFont="1" applyFill="1" applyBorder="1" applyAlignment="1" applyProtection="1">
      <alignment horizontal="center" vertical="center" wrapText="1"/>
      <protection hidden="1"/>
    </xf>
    <xf numFmtId="0" fontId="215" fillId="11" borderId="40" xfId="0" applyFont="1" applyFill="1" applyBorder="1" applyAlignment="1" applyProtection="1">
      <alignment horizontal="center" vertical="center" wrapText="1"/>
      <protection hidden="1"/>
    </xf>
    <xf numFmtId="0" fontId="215" fillId="11" borderId="41" xfId="0" applyFont="1" applyFill="1" applyBorder="1" applyAlignment="1" applyProtection="1">
      <alignment horizontal="center" vertical="center" wrapText="1"/>
      <protection hidden="1"/>
    </xf>
    <xf numFmtId="0" fontId="215" fillId="11" borderId="88" xfId="0" applyFont="1" applyFill="1" applyBorder="1" applyAlignment="1" applyProtection="1">
      <alignment horizontal="center" vertical="center" wrapText="1"/>
      <protection hidden="1"/>
    </xf>
    <xf numFmtId="0" fontId="215" fillId="11" borderId="13" xfId="0" applyFont="1" applyFill="1" applyBorder="1" applyAlignment="1" applyProtection="1">
      <alignment horizontal="center" vertical="center" wrapText="1"/>
      <protection hidden="1"/>
    </xf>
    <xf numFmtId="0" fontId="215" fillId="11" borderId="0" xfId="0" applyFont="1" applyFill="1" applyBorder="1" applyAlignment="1" applyProtection="1">
      <alignment horizontal="center" vertical="center" wrapText="1"/>
      <protection hidden="1"/>
    </xf>
    <xf numFmtId="0" fontId="215" fillId="11" borderId="90" xfId="0" applyFont="1" applyFill="1" applyBorder="1" applyAlignment="1" applyProtection="1">
      <alignment horizontal="center" vertical="center" wrapText="1"/>
      <protection hidden="1"/>
    </xf>
    <xf numFmtId="0" fontId="215" fillId="11" borderId="48" xfId="0" applyFont="1" applyFill="1" applyBorder="1" applyAlignment="1" applyProtection="1">
      <alignment horizontal="center" vertical="center" wrapText="1"/>
      <protection hidden="1"/>
    </xf>
    <xf numFmtId="0" fontId="215" fillId="11" borderId="15" xfId="0" applyFont="1" applyFill="1" applyBorder="1" applyAlignment="1" applyProtection="1">
      <alignment horizontal="center" vertical="center" wrapText="1"/>
      <protection hidden="1"/>
    </xf>
    <xf numFmtId="0" fontId="215" fillId="11" borderId="23" xfId="0" applyFont="1" applyFill="1" applyBorder="1" applyAlignment="1" applyProtection="1">
      <alignment horizontal="center" vertical="center" wrapText="1"/>
      <protection hidden="1"/>
    </xf>
    <xf numFmtId="0" fontId="58" fillId="8" borderId="184" xfId="0" applyFont="1" applyFill="1" applyBorder="1" applyAlignment="1" applyProtection="1">
      <alignment horizontal="center" vertical="center" wrapText="1"/>
      <protection hidden="1"/>
    </xf>
    <xf numFmtId="0" fontId="58" fillId="8" borderId="100" xfId="0" applyFont="1" applyFill="1" applyBorder="1" applyAlignment="1" applyProtection="1">
      <alignment horizontal="center" vertical="center" wrapText="1"/>
      <protection hidden="1"/>
    </xf>
    <xf numFmtId="0" fontId="58" fillId="8" borderId="134" xfId="0" applyFont="1" applyFill="1" applyBorder="1" applyAlignment="1" applyProtection="1">
      <alignment horizontal="center" vertical="center" wrapText="1"/>
      <protection hidden="1"/>
    </xf>
    <xf numFmtId="0" fontId="87" fillId="8" borderId="13" xfId="0" applyFont="1" applyFill="1" applyBorder="1" applyAlignment="1" applyProtection="1">
      <alignment horizontal="center" vertical="center" wrapText="1"/>
      <protection hidden="1"/>
    </xf>
    <xf numFmtId="0" fontId="87" fillId="8" borderId="0" xfId="0" applyFont="1" applyFill="1" applyBorder="1" applyAlignment="1" applyProtection="1">
      <alignment horizontal="center" vertical="center" wrapText="1"/>
      <protection hidden="1"/>
    </xf>
    <xf numFmtId="0" fontId="87" fillId="8" borderId="48" xfId="0" applyFont="1" applyFill="1" applyBorder="1" applyAlignment="1" applyProtection="1">
      <alignment horizontal="center" vertical="center" wrapText="1"/>
      <protection hidden="1"/>
    </xf>
    <xf numFmtId="0" fontId="87" fillId="8" borderId="15" xfId="0" applyFont="1" applyFill="1" applyBorder="1" applyAlignment="1" applyProtection="1">
      <alignment horizontal="center" vertical="center" wrapText="1"/>
      <protection hidden="1"/>
    </xf>
    <xf numFmtId="0" fontId="69" fillId="13" borderId="7" xfId="0" applyFont="1" applyFill="1" applyBorder="1" applyAlignment="1" applyProtection="1">
      <alignment horizontal="center" vertical="center" wrapText="1"/>
      <protection hidden="1"/>
    </xf>
    <xf numFmtId="0" fontId="69" fillId="13" borderId="29" xfId="0" applyFont="1" applyFill="1" applyBorder="1" applyAlignment="1" applyProtection="1">
      <alignment horizontal="center" vertical="center" wrapText="1"/>
      <protection hidden="1"/>
    </xf>
    <xf numFmtId="0" fontId="69" fillId="13" borderId="165" xfId="0" applyFont="1" applyFill="1" applyBorder="1" applyAlignment="1" applyProtection="1">
      <alignment horizontal="center" vertical="center" wrapText="1"/>
      <protection hidden="1"/>
    </xf>
    <xf numFmtId="0" fontId="0" fillId="12" borderId="40" xfId="0" applyFill="1" applyBorder="1" applyAlignment="1" applyProtection="1">
      <alignment horizontal="center" vertical="center"/>
      <protection hidden="1"/>
    </xf>
    <xf numFmtId="0" fontId="0" fillId="12" borderId="41" xfId="0" applyFill="1" applyBorder="1" applyAlignment="1" applyProtection="1">
      <alignment horizontal="center" vertical="center"/>
      <protection hidden="1"/>
    </xf>
    <xf numFmtId="0" fontId="0" fillId="12" borderId="88" xfId="0" applyFill="1" applyBorder="1" applyAlignment="1" applyProtection="1">
      <alignment horizontal="center" vertical="center"/>
      <protection hidden="1"/>
    </xf>
    <xf numFmtId="0" fontId="0" fillId="12" borderId="48" xfId="0" applyFill="1" applyBorder="1" applyAlignment="1" applyProtection="1">
      <alignment horizontal="center" vertical="center"/>
      <protection hidden="1"/>
    </xf>
    <xf numFmtId="0" fontId="0" fillId="12" borderId="15" xfId="0" applyFill="1" applyBorder="1" applyAlignment="1" applyProtection="1">
      <alignment horizontal="center" vertical="center"/>
      <protection hidden="1"/>
    </xf>
    <xf numFmtId="0" fontId="0" fillId="12" borderId="23" xfId="0" applyFill="1" applyBorder="1" applyAlignment="1" applyProtection="1">
      <alignment horizontal="center" vertical="center"/>
      <protection hidden="1"/>
    </xf>
    <xf numFmtId="0" fontId="215" fillId="13" borderId="40" xfId="0" applyFont="1" applyFill="1" applyBorder="1" applyAlignment="1" applyProtection="1">
      <alignment horizontal="center" vertical="center" wrapText="1"/>
      <protection hidden="1"/>
    </xf>
    <xf numFmtId="0" fontId="215" fillId="13" borderId="41" xfId="0" applyFont="1" applyFill="1" applyBorder="1" applyAlignment="1" applyProtection="1">
      <alignment horizontal="center" vertical="center" wrapText="1"/>
      <protection hidden="1"/>
    </xf>
    <xf numFmtId="0" fontId="215" fillId="13" borderId="88" xfId="0" applyFont="1" applyFill="1" applyBorder="1" applyAlignment="1" applyProtection="1">
      <alignment horizontal="center" vertical="center" wrapText="1"/>
      <protection hidden="1"/>
    </xf>
    <xf numFmtId="0" fontId="215" fillId="13" borderId="13" xfId="0" applyFont="1" applyFill="1" applyBorder="1" applyAlignment="1" applyProtection="1">
      <alignment horizontal="center" vertical="center" wrapText="1"/>
      <protection hidden="1"/>
    </xf>
    <xf numFmtId="0" fontId="215" fillId="13" borderId="0" xfId="0" applyFont="1" applyFill="1" applyBorder="1" applyAlignment="1" applyProtection="1">
      <alignment horizontal="center" vertical="center" wrapText="1"/>
      <protection hidden="1"/>
    </xf>
    <xf numFmtId="0" fontId="215" fillId="13" borderId="90" xfId="0" applyFont="1" applyFill="1" applyBorder="1" applyAlignment="1" applyProtection="1">
      <alignment horizontal="center" vertical="center" wrapText="1"/>
      <protection hidden="1"/>
    </xf>
    <xf numFmtId="0" fontId="215" fillId="13" borderId="48" xfId="0" applyFont="1" applyFill="1" applyBorder="1" applyAlignment="1" applyProtection="1">
      <alignment horizontal="center" vertical="center" wrapText="1"/>
      <protection hidden="1"/>
    </xf>
    <xf numFmtId="0" fontId="215" fillId="13" borderId="15" xfId="0" applyFont="1" applyFill="1" applyBorder="1" applyAlignment="1" applyProtection="1">
      <alignment horizontal="center" vertical="center" wrapText="1"/>
      <protection hidden="1"/>
    </xf>
    <xf numFmtId="0" fontId="215" fillId="13" borderId="23" xfId="0" applyFont="1" applyFill="1" applyBorder="1" applyAlignment="1" applyProtection="1">
      <alignment horizontal="center" vertical="center" wrapText="1"/>
      <protection hidden="1"/>
    </xf>
    <xf numFmtId="0" fontId="222" fillId="12" borderId="40" xfId="0" applyFont="1" applyFill="1" applyBorder="1" applyAlignment="1" applyProtection="1">
      <alignment horizontal="center" vertical="center" wrapText="1"/>
      <protection hidden="1"/>
    </xf>
    <xf numFmtId="0" fontId="222" fillId="12" borderId="41" xfId="0" applyFont="1" applyFill="1" applyBorder="1" applyAlignment="1" applyProtection="1">
      <alignment horizontal="center" vertical="center" wrapText="1"/>
      <protection hidden="1"/>
    </xf>
    <xf numFmtId="0" fontId="222" fillId="12" borderId="88" xfId="0" applyFont="1" applyFill="1" applyBorder="1" applyAlignment="1" applyProtection="1">
      <alignment horizontal="center" vertical="center" wrapText="1"/>
      <protection hidden="1"/>
    </xf>
    <xf numFmtId="0" fontId="222" fillId="12" borderId="13" xfId="0" applyFont="1" applyFill="1" applyBorder="1" applyAlignment="1" applyProtection="1">
      <alignment horizontal="center" vertical="center" wrapText="1"/>
      <protection hidden="1"/>
    </xf>
    <xf numFmtId="0" fontId="222" fillId="12" borderId="0" xfId="0" applyFont="1" applyFill="1" applyBorder="1" applyAlignment="1" applyProtection="1">
      <alignment horizontal="center" vertical="center" wrapText="1"/>
      <protection hidden="1"/>
    </xf>
    <xf numFmtId="0" fontId="222" fillId="12" borderId="90" xfId="0" applyFont="1" applyFill="1" applyBorder="1" applyAlignment="1" applyProtection="1">
      <alignment horizontal="center" vertical="center" wrapText="1"/>
      <protection hidden="1"/>
    </xf>
    <xf numFmtId="0" fontId="222" fillId="12" borderId="48" xfId="0" applyFont="1" applyFill="1" applyBorder="1" applyAlignment="1" applyProtection="1">
      <alignment horizontal="center" vertical="center" wrapText="1"/>
      <protection hidden="1"/>
    </xf>
    <xf numFmtId="0" fontId="222" fillId="12" borderId="15" xfId="0" applyFont="1" applyFill="1" applyBorder="1" applyAlignment="1" applyProtection="1">
      <alignment horizontal="center" vertical="center" wrapText="1"/>
      <protection hidden="1"/>
    </xf>
    <xf numFmtId="0" fontId="222" fillId="12" borderId="23" xfId="0" applyFont="1" applyFill="1" applyBorder="1" applyAlignment="1" applyProtection="1">
      <alignment horizontal="center" vertical="center" wrapText="1"/>
      <protection hidden="1"/>
    </xf>
    <xf numFmtId="0" fontId="27" fillId="13" borderId="135" xfId="0" applyFont="1" applyFill="1" applyBorder="1" applyAlignment="1" applyProtection="1">
      <alignment horizontal="center" vertical="center" wrapText="1"/>
      <protection hidden="1"/>
    </xf>
    <xf numFmtId="0" fontId="27" fillId="13" borderId="79" xfId="0" applyFont="1" applyFill="1" applyBorder="1" applyAlignment="1" applyProtection="1">
      <alignment horizontal="center" vertical="center" wrapText="1"/>
      <protection hidden="1"/>
    </xf>
    <xf numFmtId="0" fontId="27" fillId="13" borderId="152" xfId="0" applyFont="1" applyFill="1" applyBorder="1" applyAlignment="1" applyProtection="1">
      <alignment horizontal="center" vertical="center" wrapText="1"/>
      <protection hidden="1"/>
    </xf>
    <xf numFmtId="0" fontId="66" fillId="12" borderId="185" xfId="0" applyFont="1" applyFill="1" applyBorder="1" applyAlignment="1" applyProtection="1">
      <alignment horizontal="center" vertical="center"/>
      <protection hidden="1"/>
    </xf>
    <xf numFmtId="0" fontId="66" fillId="12" borderId="38" xfId="0" applyFont="1" applyFill="1" applyBorder="1" applyAlignment="1" applyProtection="1">
      <alignment horizontal="center" vertical="center"/>
      <protection hidden="1"/>
    </xf>
    <xf numFmtId="0" fontId="66" fillId="12" borderId="50" xfId="0" applyFont="1" applyFill="1" applyBorder="1" applyAlignment="1" applyProtection="1">
      <alignment horizontal="center" vertical="center"/>
      <protection hidden="1"/>
    </xf>
    <xf numFmtId="0" fontId="232" fillId="13" borderId="87" xfId="0" applyFont="1" applyFill="1" applyBorder="1" applyAlignment="1" applyProtection="1">
      <alignment horizontal="center" vertical="center" wrapText="1"/>
      <protection hidden="1"/>
    </xf>
    <xf numFmtId="0" fontId="232" fillId="13" borderId="41" xfId="0" applyFont="1" applyFill="1" applyBorder="1" applyAlignment="1" applyProtection="1">
      <alignment horizontal="center" vertical="center" wrapText="1"/>
      <protection hidden="1"/>
    </xf>
    <xf numFmtId="0" fontId="232" fillId="13" borderId="88" xfId="0" applyFont="1" applyFill="1" applyBorder="1" applyAlignment="1" applyProtection="1">
      <alignment horizontal="center" vertical="center" wrapText="1"/>
      <protection hidden="1"/>
    </xf>
    <xf numFmtId="0" fontId="232" fillId="13" borderId="89" xfId="0" applyFont="1" applyFill="1" applyBorder="1" applyAlignment="1" applyProtection="1">
      <alignment horizontal="center" vertical="center" wrapText="1"/>
      <protection hidden="1"/>
    </xf>
    <xf numFmtId="0" fontId="232" fillId="13" borderId="0" xfId="0" applyFont="1" applyFill="1" applyBorder="1" applyAlignment="1" applyProtection="1">
      <alignment horizontal="center" vertical="center" wrapText="1"/>
      <protection hidden="1"/>
    </xf>
    <xf numFmtId="0" fontId="232" fillId="13" borderId="90" xfId="0" applyFont="1" applyFill="1" applyBorder="1" applyAlignment="1" applyProtection="1">
      <alignment horizontal="center" vertical="center" wrapText="1"/>
      <protection hidden="1"/>
    </xf>
    <xf numFmtId="0" fontId="232" fillId="13" borderId="112" xfId="0" applyFont="1" applyFill="1" applyBorder="1" applyAlignment="1" applyProtection="1">
      <alignment horizontal="center" vertical="center" wrapText="1"/>
      <protection hidden="1"/>
    </xf>
    <xf numFmtId="0" fontId="232" fillId="13" borderId="15" xfId="0" applyFont="1" applyFill="1" applyBorder="1" applyAlignment="1" applyProtection="1">
      <alignment horizontal="center" vertical="center" wrapText="1"/>
      <protection hidden="1"/>
    </xf>
    <xf numFmtId="0" fontId="232" fillId="13" borderId="23" xfId="0" applyFont="1" applyFill="1" applyBorder="1" applyAlignment="1" applyProtection="1">
      <alignment horizontal="center" vertical="center" wrapText="1"/>
      <protection hidden="1"/>
    </xf>
    <xf numFmtId="0" fontId="215" fillId="12" borderId="87" xfId="0" applyFont="1" applyFill="1" applyBorder="1" applyAlignment="1" applyProtection="1">
      <alignment horizontal="center" vertical="center"/>
      <protection hidden="1"/>
    </xf>
    <xf numFmtId="0" fontId="215" fillId="12" borderId="41" xfId="0" applyFont="1" applyFill="1" applyBorder="1" applyAlignment="1" applyProtection="1">
      <alignment horizontal="center" vertical="center"/>
      <protection hidden="1"/>
    </xf>
    <xf numFmtId="0" fontId="215" fillId="12" borderId="88" xfId="0" applyFont="1" applyFill="1" applyBorder="1" applyAlignment="1" applyProtection="1">
      <alignment horizontal="center" vertical="center"/>
      <protection hidden="1"/>
    </xf>
    <xf numFmtId="0" fontId="215" fillId="12" borderId="89" xfId="0" applyFont="1" applyFill="1" applyBorder="1" applyAlignment="1" applyProtection="1">
      <alignment horizontal="center" vertical="center"/>
      <protection hidden="1"/>
    </xf>
    <xf numFmtId="0" fontId="215" fillId="12" borderId="0" xfId="0" applyFont="1" applyFill="1" applyBorder="1" applyAlignment="1" applyProtection="1">
      <alignment horizontal="center" vertical="center"/>
      <protection hidden="1"/>
    </xf>
    <xf numFmtId="0" fontId="215" fillId="12" borderId="90" xfId="0" applyFont="1" applyFill="1" applyBorder="1" applyAlignment="1" applyProtection="1">
      <alignment horizontal="center" vertical="center"/>
      <protection hidden="1"/>
    </xf>
    <xf numFmtId="0" fontId="215" fillId="12" borderId="112" xfId="0" applyFont="1" applyFill="1" applyBorder="1" applyAlignment="1" applyProtection="1">
      <alignment horizontal="center" vertical="center"/>
      <protection hidden="1"/>
    </xf>
    <xf numFmtId="0" fontId="215" fillId="12" borderId="15" xfId="0" applyFont="1" applyFill="1" applyBorder="1" applyAlignment="1" applyProtection="1">
      <alignment horizontal="center" vertical="center"/>
      <protection hidden="1"/>
    </xf>
    <xf numFmtId="0" fontId="215" fillId="12" borderId="23" xfId="0" applyFont="1" applyFill="1" applyBorder="1" applyAlignment="1" applyProtection="1">
      <alignment horizontal="center" vertical="center"/>
      <protection hidden="1"/>
    </xf>
    <xf numFmtId="0" fontId="99" fillId="13" borderId="131" xfId="0" applyFont="1" applyFill="1" applyBorder="1" applyAlignment="1" applyProtection="1">
      <alignment horizontal="center" vertical="center" wrapText="1"/>
      <protection hidden="1"/>
    </xf>
    <xf numFmtId="0" fontId="99" fillId="13" borderId="132" xfId="0" applyFont="1" applyFill="1" applyBorder="1" applyAlignment="1" applyProtection="1">
      <alignment horizontal="center" vertical="center" wrapText="1"/>
      <protection hidden="1"/>
    </xf>
    <xf numFmtId="0" fontId="99" fillId="13" borderId="107" xfId="0" applyFont="1" applyFill="1" applyBorder="1" applyAlignment="1" applyProtection="1">
      <alignment horizontal="center" vertical="center" wrapText="1"/>
      <protection hidden="1"/>
    </xf>
    <xf numFmtId="0" fontId="6" fillId="13" borderId="190" xfId="0" applyFont="1" applyFill="1" applyBorder="1" applyAlignment="1" applyProtection="1">
      <alignment horizontal="center" vertical="center"/>
      <protection hidden="1"/>
    </xf>
    <xf numFmtId="0" fontId="6" fillId="13" borderId="29" xfId="0" applyFont="1" applyFill="1" applyBorder="1" applyAlignment="1" applyProtection="1">
      <alignment horizontal="center" vertical="center"/>
      <protection hidden="1"/>
    </xf>
    <xf numFmtId="0" fontId="6" fillId="13" borderId="165" xfId="0" applyFont="1" applyFill="1" applyBorder="1" applyAlignment="1" applyProtection="1">
      <alignment horizontal="center" vertical="center"/>
      <protection hidden="1"/>
    </xf>
    <xf numFmtId="0" fontId="0" fillId="13" borderId="89" xfId="0" applyFill="1" applyBorder="1" applyAlignment="1" applyProtection="1">
      <alignment horizontal="center" vertical="center"/>
      <protection hidden="1"/>
    </xf>
    <xf numFmtId="0" fontId="0" fillId="13" borderId="0" xfId="0" applyFill="1" applyBorder="1" applyAlignment="1" applyProtection="1">
      <alignment horizontal="center" vertical="center"/>
      <protection hidden="1"/>
    </xf>
    <xf numFmtId="0" fontId="0" fillId="13" borderId="90" xfId="0" applyFill="1" applyBorder="1" applyAlignment="1" applyProtection="1">
      <alignment horizontal="center" vertical="center"/>
      <protection hidden="1"/>
    </xf>
    <xf numFmtId="0" fontId="0" fillId="13" borderId="112" xfId="0" applyFill="1" applyBorder="1" applyAlignment="1" applyProtection="1">
      <alignment horizontal="center" vertical="center"/>
      <protection hidden="1"/>
    </xf>
    <xf numFmtId="0" fontId="0" fillId="13" borderId="15" xfId="0" applyFill="1" applyBorder="1" applyAlignment="1" applyProtection="1">
      <alignment horizontal="center" vertical="center"/>
      <protection hidden="1"/>
    </xf>
    <xf numFmtId="0" fontId="0" fillId="13" borderId="23" xfId="0" applyFill="1" applyBorder="1" applyAlignment="1" applyProtection="1">
      <alignment horizontal="center" vertical="center"/>
      <protection hidden="1"/>
    </xf>
    <xf numFmtId="0" fontId="6" fillId="13" borderId="87" xfId="0" applyFont="1" applyFill="1" applyBorder="1" applyAlignment="1" applyProtection="1">
      <alignment horizontal="center" vertical="center"/>
      <protection hidden="1"/>
    </xf>
    <xf numFmtId="0" fontId="6" fillId="13" borderId="41" xfId="0" applyFont="1" applyFill="1" applyBorder="1" applyAlignment="1" applyProtection="1">
      <alignment horizontal="center" vertical="center"/>
      <protection hidden="1"/>
    </xf>
    <xf numFmtId="0" fontId="6" fillId="13" borderId="88" xfId="0" applyFont="1" applyFill="1" applyBorder="1" applyAlignment="1" applyProtection="1">
      <alignment horizontal="center" vertical="center"/>
      <protection hidden="1"/>
    </xf>
    <xf numFmtId="0" fontId="6" fillId="13" borderId="89" xfId="0" applyFont="1" applyFill="1" applyBorder="1" applyAlignment="1" applyProtection="1">
      <alignment horizontal="center" vertical="center"/>
      <protection hidden="1"/>
    </xf>
    <xf numFmtId="0" fontId="6" fillId="13" borderId="0" xfId="0" applyFont="1" applyFill="1" applyBorder="1" applyAlignment="1" applyProtection="1">
      <alignment horizontal="center" vertical="center"/>
      <protection hidden="1"/>
    </xf>
    <xf numFmtId="0" fontId="6" fillId="13" borderId="90" xfId="0" applyFont="1" applyFill="1" applyBorder="1" applyAlignment="1" applyProtection="1">
      <alignment horizontal="center" vertical="center"/>
      <protection hidden="1"/>
    </xf>
    <xf numFmtId="0" fontId="6" fillId="13" borderId="112" xfId="0" applyFont="1" applyFill="1" applyBorder="1" applyAlignment="1" applyProtection="1">
      <alignment horizontal="center" vertical="center"/>
      <protection hidden="1"/>
    </xf>
    <xf numFmtId="0" fontId="6" fillId="13" borderId="15" xfId="0" applyFont="1" applyFill="1" applyBorder="1" applyAlignment="1" applyProtection="1">
      <alignment horizontal="center" vertical="center"/>
      <protection hidden="1"/>
    </xf>
    <xf numFmtId="0" fontId="6" fillId="13" borderId="23" xfId="0" applyFont="1" applyFill="1" applyBorder="1" applyAlignment="1" applyProtection="1">
      <alignment horizontal="center" vertical="center"/>
      <protection hidden="1"/>
    </xf>
    <xf numFmtId="0" fontId="0" fillId="13" borderId="40" xfId="0" applyFill="1" applyBorder="1" applyAlignment="1" applyProtection="1">
      <alignment horizontal="center" vertical="center" wrapText="1"/>
      <protection hidden="1"/>
    </xf>
    <xf numFmtId="0" fontId="0" fillId="13" borderId="41" xfId="0" applyFill="1" applyBorder="1" applyAlignment="1" applyProtection="1">
      <alignment horizontal="center" vertical="center" wrapText="1"/>
      <protection hidden="1"/>
    </xf>
    <xf numFmtId="0" fontId="0" fillId="13" borderId="88" xfId="0" applyFill="1" applyBorder="1" applyAlignment="1" applyProtection="1">
      <alignment horizontal="center" vertical="center" wrapText="1"/>
      <protection hidden="1"/>
    </xf>
    <xf numFmtId="0" fontId="0" fillId="13" borderId="48" xfId="0" applyFill="1" applyBorder="1" applyAlignment="1" applyProtection="1">
      <alignment horizontal="center" vertical="center" wrapText="1"/>
      <protection hidden="1"/>
    </xf>
    <xf numFmtId="0" fontId="0" fillId="13" borderId="15" xfId="0" applyFill="1" applyBorder="1" applyAlignment="1" applyProtection="1">
      <alignment horizontal="center" vertical="center" wrapText="1"/>
      <protection hidden="1"/>
    </xf>
    <xf numFmtId="0" fontId="0" fillId="13" borderId="23" xfId="0" applyFill="1" applyBorder="1" applyAlignment="1" applyProtection="1">
      <alignment horizontal="center" vertical="center" wrapText="1"/>
      <protection hidden="1"/>
    </xf>
    <xf numFmtId="0" fontId="0" fillId="12" borderId="13" xfId="0" applyFill="1" applyBorder="1" applyAlignment="1" applyProtection="1">
      <alignment horizontal="center" vertical="center"/>
      <protection hidden="1"/>
    </xf>
    <xf numFmtId="0" fontId="0" fillId="12" borderId="0" xfId="0" applyFill="1" applyBorder="1" applyAlignment="1" applyProtection="1">
      <alignment horizontal="center" vertical="center"/>
      <protection hidden="1"/>
    </xf>
    <xf numFmtId="0" fontId="0" fillId="12" borderId="90" xfId="0" applyFill="1" applyBorder="1" applyAlignment="1" applyProtection="1">
      <alignment horizontal="center" vertical="center"/>
      <protection hidden="1"/>
    </xf>
    <xf numFmtId="0" fontId="99" fillId="12" borderId="40" xfId="0" applyFont="1" applyFill="1" applyBorder="1" applyAlignment="1" applyProtection="1">
      <alignment horizontal="center" vertical="center" wrapText="1"/>
      <protection hidden="1"/>
    </xf>
    <xf numFmtId="0" fontId="99" fillId="12" borderId="41" xfId="0" applyFont="1" applyFill="1" applyBorder="1" applyAlignment="1" applyProtection="1">
      <alignment horizontal="center" vertical="center" wrapText="1"/>
      <protection hidden="1"/>
    </xf>
    <xf numFmtId="0" fontId="99" fillId="12" borderId="88" xfId="0" applyFont="1" applyFill="1" applyBorder="1" applyAlignment="1" applyProtection="1">
      <alignment horizontal="center" vertical="center" wrapText="1"/>
      <protection hidden="1"/>
    </xf>
    <xf numFmtId="0" fontId="99" fillId="12" borderId="13" xfId="0" applyFont="1" applyFill="1" applyBorder="1" applyAlignment="1" applyProtection="1">
      <alignment horizontal="center" vertical="center" wrapText="1"/>
      <protection hidden="1"/>
    </xf>
    <xf numFmtId="0" fontId="99" fillId="12" borderId="0" xfId="0" applyFont="1" applyFill="1" applyBorder="1" applyAlignment="1" applyProtection="1">
      <alignment horizontal="center" vertical="center" wrapText="1"/>
      <protection hidden="1"/>
    </xf>
    <xf numFmtId="0" fontId="99" fillId="12" borderId="90" xfId="0" applyFont="1" applyFill="1" applyBorder="1" applyAlignment="1" applyProtection="1">
      <alignment horizontal="center" vertical="center" wrapText="1"/>
      <protection hidden="1"/>
    </xf>
    <xf numFmtId="0" fontId="99" fillId="12" borderId="48" xfId="0" applyFont="1" applyFill="1" applyBorder="1" applyAlignment="1" applyProtection="1">
      <alignment horizontal="center" vertical="center" wrapText="1"/>
      <protection hidden="1"/>
    </xf>
    <xf numFmtId="0" fontId="99" fillId="12" borderId="15" xfId="0" applyFont="1" applyFill="1" applyBorder="1" applyAlignment="1" applyProtection="1">
      <alignment horizontal="center" vertical="center" wrapText="1"/>
      <protection hidden="1"/>
    </xf>
    <xf numFmtId="0" fontId="99" fillId="12" borderId="23" xfId="0" applyFont="1" applyFill="1" applyBorder="1" applyAlignment="1" applyProtection="1">
      <alignment horizontal="center" vertical="center" wrapText="1"/>
      <protection hidden="1"/>
    </xf>
    <xf numFmtId="0" fontId="27" fillId="12" borderId="40" xfId="0" applyFont="1" applyFill="1" applyBorder="1" applyAlignment="1" applyProtection="1">
      <alignment horizontal="center" vertical="center" wrapText="1"/>
      <protection hidden="1"/>
    </xf>
    <xf numFmtId="0" fontId="27" fillId="12" borderId="41" xfId="0" applyFont="1" applyFill="1" applyBorder="1" applyAlignment="1" applyProtection="1">
      <alignment horizontal="center" vertical="center" wrapText="1"/>
      <protection hidden="1"/>
    </xf>
    <xf numFmtId="0" fontId="27" fillId="12" borderId="88" xfId="0" applyFont="1" applyFill="1" applyBorder="1" applyAlignment="1" applyProtection="1">
      <alignment horizontal="center" vertical="center" wrapText="1"/>
      <protection hidden="1"/>
    </xf>
    <xf numFmtId="0" fontId="27" fillId="12" borderId="13" xfId="0" applyFont="1" applyFill="1" applyBorder="1" applyAlignment="1" applyProtection="1">
      <alignment horizontal="center" vertical="center" wrapText="1"/>
      <protection hidden="1"/>
    </xf>
    <xf numFmtId="0" fontId="27" fillId="12" borderId="0" xfId="0" applyFont="1" applyFill="1" applyBorder="1" applyAlignment="1" applyProtection="1">
      <alignment horizontal="center" vertical="center" wrapText="1"/>
      <protection hidden="1"/>
    </xf>
    <xf numFmtId="0" fontId="27" fillId="12" borderId="90" xfId="0" applyFont="1" applyFill="1" applyBorder="1" applyAlignment="1" applyProtection="1">
      <alignment horizontal="center" vertical="center" wrapText="1"/>
      <protection hidden="1"/>
    </xf>
    <xf numFmtId="0" fontId="27" fillId="12" borderId="48" xfId="0" applyFont="1" applyFill="1" applyBorder="1" applyAlignment="1" applyProtection="1">
      <alignment horizontal="center" vertical="center" wrapText="1"/>
      <protection hidden="1"/>
    </xf>
    <xf numFmtId="0" fontId="27" fillId="12" borderId="15" xfId="0" applyFont="1" applyFill="1" applyBorder="1" applyAlignment="1" applyProtection="1">
      <alignment horizontal="center" vertical="center" wrapText="1"/>
      <protection hidden="1"/>
    </xf>
    <xf numFmtId="0" fontId="27" fillId="12" borderId="23" xfId="0" applyFont="1" applyFill="1" applyBorder="1" applyAlignment="1" applyProtection="1">
      <alignment horizontal="center" vertical="center" wrapText="1"/>
      <protection hidden="1"/>
    </xf>
    <xf numFmtId="0" fontId="21" fillId="13" borderId="9" xfId="0" applyFont="1" applyFill="1" applyBorder="1" applyAlignment="1" applyProtection="1">
      <alignment horizontal="center" vertical="center" wrapText="1"/>
      <protection hidden="1"/>
    </xf>
    <xf numFmtId="0" fontId="21" fillId="13" borderId="4" xfId="0" applyFont="1" applyFill="1" applyBorder="1" applyAlignment="1" applyProtection="1">
      <alignment horizontal="center" vertical="center" wrapText="1"/>
      <protection hidden="1"/>
    </xf>
    <xf numFmtId="0" fontId="241" fillId="12" borderId="40" xfId="0" applyFont="1" applyFill="1" applyBorder="1" applyAlignment="1" applyProtection="1">
      <alignment horizontal="center" vertical="center" wrapText="1"/>
      <protection hidden="1"/>
    </xf>
    <xf numFmtId="0" fontId="241" fillId="12" borderId="41" xfId="0" applyFont="1" applyFill="1" applyBorder="1" applyAlignment="1" applyProtection="1">
      <alignment horizontal="center" vertical="center" wrapText="1"/>
      <protection hidden="1"/>
    </xf>
    <xf numFmtId="0" fontId="241" fillId="12" borderId="88" xfId="0" applyFont="1" applyFill="1" applyBorder="1" applyAlignment="1" applyProtection="1">
      <alignment horizontal="center" vertical="center" wrapText="1"/>
      <protection hidden="1"/>
    </xf>
    <xf numFmtId="0" fontId="241" fillId="12" borderId="13" xfId="0" applyFont="1" applyFill="1" applyBorder="1" applyAlignment="1" applyProtection="1">
      <alignment horizontal="center" vertical="center" wrapText="1"/>
      <protection hidden="1"/>
    </xf>
    <xf numFmtId="0" fontId="241" fillId="12" borderId="0" xfId="0" applyFont="1" applyFill="1" applyBorder="1" applyAlignment="1" applyProtection="1">
      <alignment horizontal="center" vertical="center" wrapText="1"/>
      <protection hidden="1"/>
    </xf>
    <xf numFmtId="0" fontId="241" fillId="12" borderId="90" xfId="0" applyFont="1" applyFill="1" applyBorder="1" applyAlignment="1" applyProtection="1">
      <alignment horizontal="center" vertical="center" wrapText="1"/>
      <protection hidden="1"/>
    </xf>
    <xf numFmtId="0" fontId="241" fillId="12" borderId="48" xfId="0" applyFont="1" applyFill="1" applyBorder="1" applyAlignment="1" applyProtection="1">
      <alignment horizontal="center" vertical="center" wrapText="1"/>
      <protection hidden="1"/>
    </xf>
    <xf numFmtId="0" fontId="241" fillId="12" borderId="15" xfId="0" applyFont="1" applyFill="1" applyBorder="1" applyAlignment="1" applyProtection="1">
      <alignment horizontal="center" vertical="center" wrapText="1"/>
      <protection hidden="1"/>
    </xf>
    <xf numFmtId="0" fontId="241" fillId="12" borderId="23" xfId="0" applyFont="1" applyFill="1" applyBorder="1" applyAlignment="1" applyProtection="1">
      <alignment horizontal="center" vertical="center" wrapText="1"/>
      <protection hidden="1"/>
    </xf>
    <xf numFmtId="14" fontId="243" fillId="12" borderId="40" xfId="0" applyNumberFormat="1" applyFont="1" applyFill="1" applyBorder="1" applyAlignment="1" applyProtection="1">
      <alignment horizontal="center" vertical="center" wrapText="1"/>
      <protection hidden="1"/>
    </xf>
    <xf numFmtId="14" fontId="243" fillId="12" borderId="41" xfId="0" applyNumberFormat="1" applyFont="1" applyFill="1" applyBorder="1" applyAlignment="1" applyProtection="1">
      <alignment horizontal="center" vertical="center" wrapText="1"/>
      <protection hidden="1"/>
    </xf>
    <xf numFmtId="14" fontId="243" fillId="12" borderId="88" xfId="0" applyNumberFormat="1" applyFont="1" applyFill="1" applyBorder="1" applyAlignment="1" applyProtection="1">
      <alignment horizontal="center" vertical="center" wrapText="1"/>
      <protection hidden="1"/>
    </xf>
    <xf numFmtId="14" fontId="243" fillId="12" borderId="13" xfId="0" applyNumberFormat="1" applyFont="1" applyFill="1" applyBorder="1" applyAlignment="1" applyProtection="1">
      <alignment horizontal="center" vertical="center" wrapText="1"/>
      <protection hidden="1"/>
    </xf>
    <xf numFmtId="14" fontId="243" fillId="12" borderId="0" xfId="0" applyNumberFormat="1" applyFont="1" applyFill="1" applyBorder="1" applyAlignment="1" applyProtection="1">
      <alignment horizontal="center" vertical="center" wrapText="1"/>
      <protection hidden="1"/>
    </xf>
    <xf numFmtId="14" fontId="243" fillId="12" borderId="90" xfId="0" applyNumberFormat="1" applyFont="1" applyFill="1" applyBorder="1" applyAlignment="1" applyProtection="1">
      <alignment horizontal="center" vertical="center" wrapText="1"/>
      <protection hidden="1"/>
    </xf>
    <xf numFmtId="14" fontId="243" fillId="12" borderId="48" xfId="0" applyNumberFormat="1" applyFont="1" applyFill="1" applyBorder="1" applyAlignment="1" applyProtection="1">
      <alignment horizontal="center" vertical="center" wrapText="1"/>
      <protection hidden="1"/>
    </xf>
    <xf numFmtId="14" fontId="243" fillId="12" borderId="15" xfId="0" applyNumberFormat="1" applyFont="1" applyFill="1" applyBorder="1" applyAlignment="1" applyProtection="1">
      <alignment horizontal="center" vertical="center" wrapText="1"/>
      <protection hidden="1"/>
    </xf>
    <xf numFmtId="14" fontId="243" fillId="12" borderId="23" xfId="0" applyNumberFormat="1" applyFont="1" applyFill="1" applyBorder="1" applyAlignment="1" applyProtection="1">
      <alignment horizontal="center" vertical="center" wrapText="1"/>
      <protection hidden="1"/>
    </xf>
    <xf numFmtId="0" fontId="48" fillId="13" borderId="40" xfId="0" applyFont="1" applyFill="1" applyBorder="1" applyAlignment="1" applyProtection="1">
      <alignment horizontal="center" vertical="center" wrapText="1"/>
      <protection hidden="1"/>
    </xf>
    <xf numFmtId="0" fontId="48" fillId="13" borderId="41" xfId="0" applyFont="1" applyFill="1" applyBorder="1" applyAlignment="1" applyProtection="1">
      <alignment horizontal="center" vertical="center" wrapText="1"/>
      <protection hidden="1"/>
    </xf>
    <xf numFmtId="0" fontId="48" fillId="13" borderId="88" xfId="0" applyFont="1" applyFill="1" applyBorder="1" applyAlignment="1" applyProtection="1">
      <alignment horizontal="center" vertical="center" wrapText="1"/>
      <protection hidden="1"/>
    </xf>
    <xf numFmtId="0" fontId="48" fillId="13" borderId="13" xfId="0" applyFont="1" applyFill="1" applyBorder="1" applyAlignment="1" applyProtection="1">
      <alignment horizontal="center" vertical="center" wrapText="1"/>
      <protection hidden="1"/>
    </xf>
    <xf numFmtId="0" fontId="48" fillId="13" borderId="0" xfId="0" applyFont="1" applyFill="1" applyBorder="1" applyAlignment="1" applyProtection="1">
      <alignment horizontal="center" vertical="center" wrapText="1"/>
      <protection hidden="1"/>
    </xf>
    <xf numFmtId="0" fontId="48" fillId="13" borderId="90" xfId="0" applyFont="1" applyFill="1" applyBorder="1" applyAlignment="1" applyProtection="1">
      <alignment horizontal="center" vertical="center" wrapText="1"/>
      <protection hidden="1"/>
    </xf>
    <xf numFmtId="0" fontId="48" fillId="13" borderId="48" xfId="0" applyFont="1" applyFill="1" applyBorder="1" applyAlignment="1" applyProtection="1">
      <alignment horizontal="center" vertical="center" wrapText="1"/>
      <protection hidden="1"/>
    </xf>
    <xf numFmtId="0" fontId="48" fillId="13" borderId="15" xfId="0" applyFont="1" applyFill="1" applyBorder="1" applyAlignment="1" applyProtection="1">
      <alignment horizontal="center" vertical="center" wrapText="1"/>
      <protection hidden="1"/>
    </xf>
    <xf numFmtId="0" fontId="48" fillId="13" borderId="23" xfId="0" applyFont="1" applyFill="1" applyBorder="1" applyAlignment="1" applyProtection="1">
      <alignment horizontal="center" vertical="center" wrapText="1"/>
      <protection hidden="1"/>
    </xf>
    <xf numFmtId="0" fontId="87" fillId="8" borderId="90" xfId="0" applyFont="1" applyFill="1" applyBorder="1" applyAlignment="1" applyProtection="1">
      <alignment horizontal="center" vertical="center" wrapText="1"/>
      <protection hidden="1"/>
    </xf>
    <xf numFmtId="0" fontId="87" fillId="8" borderId="23" xfId="0" applyFont="1" applyFill="1" applyBorder="1" applyAlignment="1" applyProtection="1">
      <alignment horizontal="center" vertical="center" wrapText="1"/>
      <protection hidden="1"/>
    </xf>
    <xf numFmtId="0" fontId="3" fillId="8" borderId="87" xfId="0" applyFont="1" applyFill="1" applyBorder="1" applyAlignment="1" applyProtection="1">
      <alignment horizontal="center" vertical="center" wrapText="1"/>
      <protection hidden="1"/>
    </xf>
    <xf numFmtId="0" fontId="3" fillId="8" borderId="88" xfId="0" applyFont="1" applyFill="1" applyBorder="1" applyAlignment="1" applyProtection="1">
      <alignment horizontal="center" vertical="center" wrapText="1"/>
      <protection hidden="1"/>
    </xf>
    <xf numFmtId="0" fontId="187" fillId="8" borderId="131" xfId="0" applyFont="1" applyFill="1" applyBorder="1" applyAlignment="1" applyProtection="1">
      <alignment horizontal="center" vertical="center" wrapText="1"/>
      <protection hidden="1"/>
    </xf>
    <xf numFmtId="0" fontId="187" fillId="8" borderId="132" xfId="0" applyFont="1" applyFill="1" applyBorder="1" applyAlignment="1" applyProtection="1">
      <alignment horizontal="center" vertical="center" wrapText="1"/>
      <protection hidden="1"/>
    </xf>
    <xf numFmtId="0" fontId="187" fillId="8" borderId="107" xfId="0" applyFont="1" applyFill="1" applyBorder="1" applyAlignment="1" applyProtection="1">
      <alignment horizontal="center" vertical="center" wrapText="1"/>
      <protection hidden="1"/>
    </xf>
    <xf numFmtId="0" fontId="59" fillId="13" borderId="121" xfId="0" applyFont="1" applyFill="1" applyBorder="1" applyAlignment="1" applyProtection="1">
      <alignment horizontal="center" vertical="center"/>
      <protection hidden="1"/>
    </xf>
    <xf numFmtId="0" fontId="59" fillId="13" borderId="35" xfId="0" applyFont="1" applyFill="1" applyBorder="1" applyAlignment="1" applyProtection="1">
      <alignment horizontal="center" vertical="center"/>
      <protection hidden="1"/>
    </xf>
    <xf numFmtId="0" fontId="59" fillId="13" borderId="95" xfId="0" applyFont="1" applyFill="1" applyBorder="1" applyAlignment="1" applyProtection="1">
      <alignment horizontal="center" vertical="center"/>
      <protection hidden="1"/>
    </xf>
    <xf numFmtId="0" fontId="91" fillId="12" borderId="22" xfId="0" applyFont="1" applyFill="1" applyBorder="1" applyAlignment="1" applyProtection="1">
      <alignment horizontal="center" vertical="center"/>
      <protection hidden="1"/>
    </xf>
    <xf numFmtId="0" fontId="91" fillId="12" borderId="0" xfId="0" applyFont="1" applyFill="1" applyBorder="1" applyAlignment="1" applyProtection="1">
      <alignment horizontal="center" vertical="center"/>
      <protection hidden="1"/>
    </xf>
    <xf numFmtId="0" fontId="91" fillId="12" borderId="91" xfId="0" applyFont="1" applyFill="1" applyBorder="1" applyAlignment="1" applyProtection="1">
      <alignment horizontal="center" vertical="center"/>
      <protection hidden="1"/>
    </xf>
    <xf numFmtId="0" fontId="178" fillId="13" borderId="121" xfId="0" applyFont="1" applyFill="1" applyBorder="1" applyAlignment="1" applyProtection="1">
      <alignment horizontal="center" vertical="center"/>
      <protection hidden="1"/>
    </xf>
    <xf numFmtId="0" fontId="178" fillId="13" borderId="35" xfId="0" applyFont="1" applyFill="1" applyBorder="1" applyAlignment="1" applyProtection="1">
      <alignment horizontal="center" vertical="center"/>
      <protection hidden="1"/>
    </xf>
    <xf numFmtId="0" fontId="178" fillId="13" borderId="95" xfId="0" applyFont="1" applyFill="1" applyBorder="1" applyAlignment="1" applyProtection="1">
      <alignment horizontal="center" vertical="center"/>
      <protection hidden="1"/>
    </xf>
    <xf numFmtId="0" fontId="3" fillId="8" borderId="133" xfId="0" applyFont="1" applyFill="1" applyBorder="1" applyAlignment="1" applyProtection="1">
      <alignment horizontal="center" vertical="center" wrapText="1"/>
      <protection hidden="1"/>
    </xf>
    <xf numFmtId="0" fontId="3" fillId="8" borderId="100" xfId="0" applyFont="1" applyFill="1" applyBorder="1" applyAlignment="1" applyProtection="1">
      <alignment horizontal="center" vertical="center" wrapText="1"/>
      <protection hidden="1"/>
    </xf>
    <xf numFmtId="0" fontId="3" fillId="8" borderId="134" xfId="0" applyFont="1" applyFill="1" applyBorder="1" applyAlignment="1" applyProtection="1">
      <alignment horizontal="center" vertical="center" wrapText="1"/>
      <protection hidden="1"/>
    </xf>
    <xf numFmtId="0" fontId="25" fillId="13" borderId="13" xfId="0" applyFont="1" applyFill="1" applyBorder="1" applyAlignment="1" applyProtection="1">
      <alignment horizontal="center" vertical="center" wrapText="1"/>
      <protection hidden="1"/>
    </xf>
    <xf numFmtId="0" fontId="25" fillId="13" borderId="90" xfId="0" applyFont="1" applyFill="1" applyBorder="1" applyAlignment="1" applyProtection="1">
      <alignment horizontal="center" vertical="center" wrapText="1"/>
      <protection hidden="1"/>
    </xf>
    <xf numFmtId="0" fontId="34" fillId="13" borderId="13" xfId="0" applyFont="1" applyFill="1" applyBorder="1" applyAlignment="1" applyProtection="1">
      <alignment horizontal="center" vertical="center" wrapText="1"/>
      <protection hidden="1"/>
    </xf>
    <xf numFmtId="0" fontId="34" fillId="13" borderId="0" xfId="0" applyFont="1" applyFill="1" applyBorder="1" applyAlignment="1" applyProtection="1">
      <alignment horizontal="center" vertical="center" wrapText="1"/>
      <protection hidden="1"/>
    </xf>
    <xf numFmtId="0" fontId="34" fillId="13" borderId="48" xfId="0" applyFont="1" applyFill="1" applyBorder="1" applyAlignment="1" applyProtection="1">
      <alignment horizontal="center" vertical="center" wrapText="1"/>
      <protection hidden="1"/>
    </xf>
    <xf numFmtId="0" fontId="34" fillId="13" borderId="15" xfId="0" applyFont="1" applyFill="1" applyBorder="1" applyAlignment="1" applyProtection="1">
      <alignment horizontal="center" vertical="center" wrapText="1"/>
      <protection hidden="1"/>
    </xf>
    <xf numFmtId="0" fontId="66" fillId="13" borderId="159" xfId="0" applyFont="1" applyFill="1" applyBorder="1" applyAlignment="1" applyProtection="1">
      <alignment horizontal="center" vertical="center"/>
      <protection hidden="1"/>
    </xf>
    <xf numFmtId="0" fontId="66" fillId="13" borderId="124" xfId="0" applyFont="1" applyFill="1" applyBorder="1" applyAlignment="1" applyProtection="1">
      <alignment horizontal="center" vertical="center"/>
      <protection hidden="1"/>
    </xf>
    <xf numFmtId="0" fontId="66" fillId="13" borderId="65" xfId="0" applyFont="1" applyFill="1" applyBorder="1" applyAlignment="1" applyProtection="1">
      <alignment horizontal="center" vertical="center"/>
      <protection hidden="1"/>
    </xf>
    <xf numFmtId="0" fontId="48" fillId="12" borderId="40" xfId="0" applyFont="1" applyFill="1" applyBorder="1" applyAlignment="1" applyProtection="1">
      <alignment horizontal="center" vertical="center" wrapText="1"/>
      <protection hidden="1"/>
    </xf>
    <xf numFmtId="0" fontId="48" fillId="12" borderId="41" xfId="0" applyFont="1" applyFill="1" applyBorder="1" applyAlignment="1" applyProtection="1">
      <alignment horizontal="center" vertical="center" wrapText="1"/>
      <protection hidden="1"/>
    </xf>
    <xf numFmtId="0" fontId="48" fillId="12" borderId="88" xfId="0" applyFont="1" applyFill="1" applyBorder="1" applyAlignment="1" applyProtection="1">
      <alignment horizontal="center" vertical="center" wrapText="1"/>
      <protection hidden="1"/>
    </xf>
    <xf numFmtId="0" fontId="48" fillId="12" borderId="13" xfId="0" applyFont="1" applyFill="1" applyBorder="1" applyAlignment="1" applyProtection="1">
      <alignment horizontal="center" vertical="center" wrapText="1"/>
      <protection hidden="1"/>
    </xf>
    <xf numFmtId="0" fontId="48" fillId="12" borderId="0" xfId="0" applyFont="1" applyFill="1" applyBorder="1" applyAlignment="1" applyProtection="1">
      <alignment horizontal="center" vertical="center" wrapText="1"/>
      <protection hidden="1"/>
    </xf>
    <xf numFmtId="0" fontId="48" fillId="12" borderId="90" xfId="0" applyFont="1" applyFill="1" applyBorder="1" applyAlignment="1" applyProtection="1">
      <alignment horizontal="center" vertical="center" wrapText="1"/>
      <protection hidden="1"/>
    </xf>
    <xf numFmtId="0" fontId="48" fillId="12" borderId="48" xfId="0" applyFont="1" applyFill="1" applyBorder="1" applyAlignment="1" applyProtection="1">
      <alignment horizontal="center" vertical="center" wrapText="1"/>
      <protection hidden="1"/>
    </xf>
    <xf numFmtId="0" fontId="48" fillId="12" borderId="15" xfId="0" applyFont="1" applyFill="1" applyBorder="1" applyAlignment="1" applyProtection="1">
      <alignment horizontal="center" vertical="center" wrapText="1"/>
      <protection hidden="1"/>
    </xf>
    <xf numFmtId="0" fontId="48" fillId="12" borderId="23" xfId="0" applyFont="1" applyFill="1" applyBorder="1" applyAlignment="1" applyProtection="1">
      <alignment horizontal="center" vertical="center" wrapText="1"/>
      <protection hidden="1"/>
    </xf>
    <xf numFmtId="167" fontId="59" fillId="13" borderId="55" xfId="0" applyNumberFormat="1" applyFont="1" applyFill="1" applyBorder="1" applyAlignment="1" applyProtection="1">
      <alignment horizontal="center" vertical="center" wrapText="1"/>
      <protection hidden="1"/>
    </xf>
    <xf numFmtId="167" fontId="59" fillId="13" borderId="43" xfId="0" applyNumberFormat="1" applyFont="1" applyFill="1" applyBorder="1" applyAlignment="1" applyProtection="1">
      <alignment horizontal="center" vertical="center" wrapText="1"/>
      <protection hidden="1"/>
    </xf>
    <xf numFmtId="0" fontId="206" fillId="13" borderId="41" xfId="0" applyFont="1" applyFill="1" applyBorder="1" applyAlignment="1" applyProtection="1">
      <alignment horizontal="center" vertical="center" wrapText="1"/>
      <protection hidden="1"/>
    </xf>
    <xf numFmtId="0" fontId="206" fillId="13" borderId="88" xfId="0" applyFont="1" applyFill="1" applyBorder="1" applyAlignment="1" applyProtection="1">
      <alignment horizontal="center" vertical="center" wrapText="1"/>
      <protection hidden="1"/>
    </xf>
    <xf numFmtId="0" fontId="206" fillId="13" borderId="0" xfId="0" applyFont="1" applyFill="1" applyBorder="1" applyAlignment="1" applyProtection="1">
      <alignment horizontal="center" vertical="center" wrapText="1"/>
      <protection hidden="1"/>
    </xf>
    <xf numFmtId="0" fontId="206" fillId="13" borderId="90" xfId="0" applyFont="1" applyFill="1" applyBorder="1" applyAlignment="1" applyProtection="1">
      <alignment horizontal="center" vertical="center" wrapText="1"/>
      <protection hidden="1"/>
    </xf>
    <xf numFmtId="0" fontId="61" fillId="12" borderId="124" xfId="0" applyFont="1" applyFill="1" applyBorder="1" applyAlignment="1" applyProtection="1">
      <alignment horizontal="center" vertical="center"/>
      <protection hidden="1"/>
    </xf>
    <xf numFmtId="0" fontId="61" fillId="12" borderId="35" xfId="0" applyFont="1" applyFill="1" applyBorder="1" applyAlignment="1" applyProtection="1">
      <alignment horizontal="center" vertical="center"/>
      <protection hidden="1"/>
    </xf>
    <xf numFmtId="0" fontId="61" fillId="12" borderId="92" xfId="0" applyFont="1" applyFill="1" applyBorder="1" applyAlignment="1" applyProtection="1">
      <alignment horizontal="center" vertical="center"/>
      <protection hidden="1"/>
    </xf>
    <xf numFmtId="0" fontId="69" fillId="12" borderId="156" xfId="0" applyFont="1" applyFill="1" applyBorder="1" applyAlignment="1" applyProtection="1">
      <alignment horizontal="center" vertical="center" wrapText="1"/>
      <protection hidden="1"/>
    </xf>
    <xf numFmtId="0" fontId="69" fillId="12" borderId="35" xfId="0" applyFont="1" applyFill="1" applyBorder="1" applyAlignment="1" applyProtection="1">
      <alignment horizontal="center" vertical="center" wrapText="1"/>
      <protection hidden="1"/>
    </xf>
    <xf numFmtId="0" fontId="69" fillId="12" borderId="14" xfId="0" applyFont="1" applyFill="1" applyBorder="1" applyAlignment="1" applyProtection="1">
      <alignment horizontal="center" vertical="center" wrapText="1"/>
      <protection hidden="1"/>
    </xf>
    <xf numFmtId="0" fontId="69" fillId="12" borderId="158" xfId="0" applyFont="1" applyFill="1" applyBorder="1" applyAlignment="1" applyProtection="1">
      <alignment horizontal="center" vertical="center" wrapText="1"/>
      <protection hidden="1"/>
    </xf>
    <xf numFmtId="0" fontId="69" fillId="12" borderId="95" xfId="0" applyFont="1" applyFill="1" applyBorder="1" applyAlignment="1" applyProtection="1">
      <alignment horizontal="center" vertical="center" wrapText="1"/>
      <protection hidden="1"/>
    </xf>
    <xf numFmtId="0" fontId="69" fillId="12" borderId="104" xfId="0" applyFont="1" applyFill="1" applyBorder="1" applyAlignment="1" applyProtection="1">
      <alignment horizontal="center" vertical="center" wrapText="1"/>
      <protection hidden="1"/>
    </xf>
    <xf numFmtId="0" fontId="69" fillId="12" borderId="112" xfId="0" applyFont="1" applyFill="1" applyBorder="1" applyAlignment="1" applyProtection="1">
      <alignment horizontal="center" vertical="center" wrapText="1"/>
      <protection hidden="1"/>
    </xf>
    <xf numFmtId="0" fontId="69" fillId="12" borderId="15" xfId="0" applyFont="1" applyFill="1" applyBorder="1" applyAlignment="1" applyProtection="1">
      <alignment horizontal="center" vertical="center" wrapText="1"/>
      <protection hidden="1"/>
    </xf>
    <xf numFmtId="0" fontId="69" fillId="12" borderId="23" xfId="0" applyFont="1" applyFill="1" applyBorder="1" applyAlignment="1" applyProtection="1">
      <alignment horizontal="center" vertical="center" wrapText="1"/>
      <protection hidden="1"/>
    </xf>
    <xf numFmtId="0" fontId="33" fillId="12" borderId="40" xfId="0" applyFont="1" applyFill="1" applyBorder="1" applyAlignment="1" applyProtection="1">
      <alignment horizontal="center" vertical="center"/>
      <protection hidden="1"/>
    </xf>
    <xf numFmtId="0" fontId="33" fillId="12" borderId="135" xfId="0" applyFont="1" applyFill="1" applyBorder="1" applyAlignment="1" applyProtection="1">
      <alignment horizontal="center" vertical="center"/>
      <protection hidden="1"/>
    </xf>
    <xf numFmtId="0" fontId="33" fillId="12" borderId="48" xfId="0" applyFont="1" applyFill="1" applyBorder="1" applyAlignment="1" applyProtection="1">
      <alignment horizontal="center" vertical="center"/>
      <protection hidden="1"/>
    </xf>
    <xf numFmtId="0" fontId="33" fillId="12" borderId="152" xfId="0" applyFont="1" applyFill="1" applyBorder="1" applyAlignment="1" applyProtection="1">
      <alignment horizontal="center" vertical="center"/>
      <protection hidden="1"/>
    </xf>
    <xf numFmtId="0" fontId="0" fillId="13" borderId="41" xfId="0" applyFill="1" applyBorder="1" applyAlignment="1" applyProtection="1">
      <alignment horizontal="center" vertical="center"/>
      <protection hidden="1"/>
    </xf>
    <xf numFmtId="0" fontId="0" fillId="13" borderId="88" xfId="0" applyFill="1" applyBorder="1" applyAlignment="1" applyProtection="1">
      <alignment horizontal="center" vertical="center"/>
      <protection hidden="1"/>
    </xf>
    <xf numFmtId="0" fontId="33" fillId="13" borderId="18" xfId="0" applyFont="1" applyFill="1" applyBorder="1" applyAlignment="1" applyProtection="1">
      <alignment horizontal="center" vertical="center" wrapText="1"/>
      <protection hidden="1"/>
    </xf>
    <xf numFmtId="0" fontId="33" fillId="13" borderId="124" xfId="0" applyFont="1" applyFill="1" applyBorder="1" applyAlignment="1" applyProtection="1">
      <alignment horizontal="center" vertical="center" wrapText="1"/>
      <protection hidden="1"/>
    </xf>
    <xf numFmtId="0" fontId="33" fillId="13" borderId="65" xfId="0" applyFont="1" applyFill="1" applyBorder="1" applyAlignment="1" applyProtection="1">
      <alignment horizontal="center" vertical="center" wrapText="1"/>
      <protection hidden="1"/>
    </xf>
    <xf numFmtId="0" fontId="101" fillId="13" borderId="11" xfId="0" applyFont="1" applyFill="1" applyBorder="1" applyAlignment="1" applyProtection="1">
      <alignment horizontal="center" vertical="center"/>
      <protection hidden="1"/>
    </xf>
    <xf numFmtId="0" fontId="101" fillId="13" borderId="35" xfId="0" applyFont="1" applyFill="1" applyBorder="1" applyAlignment="1" applyProtection="1">
      <alignment horizontal="center" vertical="center"/>
      <protection hidden="1"/>
    </xf>
    <xf numFmtId="0" fontId="101" fillId="13" borderId="14" xfId="0" applyFont="1" applyFill="1" applyBorder="1" applyAlignment="1" applyProtection="1">
      <alignment horizontal="center" vertical="center"/>
      <protection hidden="1"/>
    </xf>
    <xf numFmtId="0" fontId="101" fillId="13" borderId="37" xfId="0" applyFont="1" applyFill="1" applyBorder="1" applyAlignment="1" applyProtection="1">
      <alignment horizontal="center" vertical="center"/>
      <protection hidden="1"/>
    </xf>
    <xf numFmtId="0" fontId="101" fillId="13" borderId="38" xfId="0" applyFont="1" applyFill="1" applyBorder="1" applyAlignment="1" applyProtection="1">
      <alignment horizontal="center" vertical="center"/>
      <protection hidden="1"/>
    </xf>
    <xf numFmtId="0" fontId="101" fillId="13" borderId="50" xfId="0" applyFont="1" applyFill="1" applyBorder="1" applyAlignment="1" applyProtection="1">
      <alignment horizontal="center" vertical="center"/>
      <protection hidden="1"/>
    </xf>
    <xf numFmtId="0" fontId="0" fillId="13" borderId="37" xfId="0" applyFont="1" applyFill="1" applyBorder="1" applyAlignment="1" applyProtection="1">
      <alignment horizontal="center" vertical="center"/>
      <protection hidden="1"/>
    </xf>
    <xf numFmtId="0" fontId="0" fillId="13" borderId="50" xfId="0" applyFont="1" applyFill="1" applyBorder="1" applyAlignment="1" applyProtection="1">
      <alignment horizontal="center" vertical="center"/>
      <protection hidden="1"/>
    </xf>
    <xf numFmtId="0" fontId="0" fillId="13" borderId="11" xfId="0" applyFont="1" applyFill="1" applyBorder="1" applyAlignment="1" applyProtection="1">
      <alignment horizontal="center" vertical="center"/>
      <protection hidden="1"/>
    </xf>
    <xf numFmtId="0" fontId="0" fillId="13" borderId="14" xfId="0" applyFont="1" applyFill="1" applyBorder="1" applyAlignment="1" applyProtection="1">
      <alignment horizontal="center" vertical="center"/>
      <protection hidden="1"/>
    </xf>
    <xf numFmtId="176" fontId="162" fillId="13" borderId="11" xfId="0" applyNumberFormat="1" applyFont="1" applyFill="1" applyBorder="1" applyAlignment="1" applyProtection="1">
      <alignment horizontal="center" vertical="center"/>
      <protection hidden="1"/>
    </xf>
    <xf numFmtId="176" fontId="162" fillId="13" borderId="61" xfId="0" applyNumberFormat="1" applyFont="1" applyFill="1" applyBorder="1" applyAlignment="1" applyProtection="1">
      <alignment horizontal="center" vertical="center"/>
      <protection hidden="1"/>
    </xf>
    <xf numFmtId="0" fontId="162" fillId="13" borderId="74" xfId="0" applyFont="1" applyFill="1" applyBorder="1" applyAlignment="1" applyProtection="1">
      <alignment horizontal="center" vertical="center" wrapText="1"/>
      <protection hidden="1"/>
    </xf>
    <xf numFmtId="0" fontId="162" fillId="13" borderId="14" xfId="0" applyFont="1" applyFill="1" applyBorder="1" applyAlignment="1" applyProtection="1">
      <alignment horizontal="center" vertical="center" wrapText="1"/>
      <protection hidden="1"/>
    </xf>
    <xf numFmtId="0" fontId="33" fillId="13" borderId="40" xfId="0" applyFont="1" applyFill="1" applyBorder="1" applyAlignment="1" applyProtection="1">
      <alignment horizontal="center" vertical="center" wrapText="1"/>
      <protection hidden="1"/>
    </xf>
    <xf numFmtId="0" fontId="33" fillId="13" borderId="41" xfId="0" applyFont="1" applyFill="1" applyBorder="1" applyAlignment="1" applyProtection="1">
      <alignment horizontal="center" vertical="center" wrapText="1"/>
      <protection hidden="1"/>
    </xf>
    <xf numFmtId="0" fontId="33" fillId="13" borderId="88" xfId="0" applyFont="1" applyFill="1" applyBorder="1" applyAlignment="1" applyProtection="1">
      <alignment horizontal="center" vertical="center" wrapText="1"/>
      <protection hidden="1"/>
    </xf>
    <xf numFmtId="0" fontId="33" fillId="13" borderId="48" xfId="0" applyFont="1" applyFill="1" applyBorder="1" applyAlignment="1" applyProtection="1">
      <alignment horizontal="center" vertical="center" wrapText="1"/>
      <protection hidden="1"/>
    </xf>
    <xf numFmtId="0" fontId="33" fillId="13" borderId="15" xfId="0" applyFont="1" applyFill="1" applyBorder="1" applyAlignment="1" applyProtection="1">
      <alignment horizontal="center" vertical="center" wrapText="1"/>
      <protection hidden="1"/>
    </xf>
    <xf numFmtId="0" fontId="33" fillId="13" borderId="23" xfId="0" applyFont="1" applyFill="1" applyBorder="1" applyAlignment="1" applyProtection="1">
      <alignment horizontal="center" vertical="center" wrapText="1"/>
      <protection hidden="1"/>
    </xf>
    <xf numFmtId="0" fontId="69" fillId="8" borderId="30" xfId="0" applyFont="1" applyFill="1" applyBorder="1" applyAlignment="1" applyProtection="1">
      <alignment horizontal="center" vertical="center" wrapText="1"/>
      <protection hidden="1"/>
    </xf>
    <xf numFmtId="0" fontId="69" fillId="8" borderId="31" xfId="0" applyFont="1" applyFill="1" applyBorder="1" applyAlignment="1" applyProtection="1">
      <alignment horizontal="center" vertical="center" wrapText="1"/>
      <protection hidden="1"/>
    </xf>
    <xf numFmtId="0" fontId="69" fillId="8" borderId="32" xfId="0" applyFont="1" applyFill="1" applyBorder="1" applyAlignment="1" applyProtection="1">
      <alignment horizontal="center" vertical="center" wrapText="1"/>
      <protection hidden="1"/>
    </xf>
    <xf numFmtId="0" fontId="53" fillId="15" borderId="116" xfId="0" applyFont="1" applyFill="1" applyBorder="1" applyAlignment="1" applyProtection="1">
      <alignment horizontal="center" vertical="center" wrapText="1"/>
      <protection hidden="1"/>
    </xf>
    <xf numFmtId="0" fontId="53" fillId="15" borderId="83" xfId="0" applyFont="1" applyFill="1" applyBorder="1" applyAlignment="1" applyProtection="1">
      <alignment horizontal="center" vertical="center" wrapText="1"/>
      <protection hidden="1"/>
    </xf>
    <xf numFmtId="14" fontId="164" fillId="13" borderId="110" xfId="0" applyNumberFormat="1" applyFont="1" applyFill="1" applyBorder="1" applyAlignment="1" applyProtection="1">
      <alignment horizontal="center" vertical="center" wrapText="1"/>
      <protection hidden="1"/>
    </xf>
    <xf numFmtId="14" fontId="164" fillId="13" borderId="111" xfId="0" applyNumberFormat="1" applyFont="1" applyFill="1" applyBorder="1" applyAlignment="1" applyProtection="1">
      <alignment horizontal="center" vertical="center" wrapText="1"/>
      <protection hidden="1"/>
    </xf>
    <xf numFmtId="0" fontId="164" fillId="13" borderId="11" xfId="0" applyFont="1" applyFill="1" applyBorder="1" applyAlignment="1" applyProtection="1">
      <alignment horizontal="center" vertical="center" wrapText="1"/>
      <protection hidden="1"/>
    </xf>
    <xf numFmtId="0" fontId="164" fillId="13" borderId="35" xfId="0" applyFont="1" applyFill="1" applyBorder="1" applyAlignment="1" applyProtection="1">
      <alignment horizontal="center" vertical="center" wrapText="1"/>
      <protection hidden="1"/>
    </xf>
    <xf numFmtId="0" fontId="164" fillId="13" borderId="61" xfId="0" applyFont="1" applyFill="1" applyBorder="1" applyAlignment="1" applyProtection="1">
      <alignment horizontal="center" vertical="center" wrapText="1"/>
      <protection hidden="1"/>
    </xf>
    <xf numFmtId="0" fontId="27" fillId="12" borderId="131" xfId="0" applyFont="1" applyFill="1" applyBorder="1" applyAlignment="1" applyProtection="1">
      <alignment horizontal="center" vertical="center" wrapText="1"/>
      <protection hidden="1"/>
    </xf>
    <xf numFmtId="0" fontId="27" fillId="12" borderId="132" xfId="0" applyFont="1" applyFill="1" applyBorder="1" applyAlignment="1" applyProtection="1">
      <alignment horizontal="center" vertical="center" wrapText="1"/>
      <protection hidden="1"/>
    </xf>
    <xf numFmtId="0" fontId="27" fillId="12" borderId="107" xfId="0" applyFont="1" applyFill="1" applyBorder="1" applyAlignment="1" applyProtection="1">
      <alignment horizontal="center" vertical="center" wrapText="1"/>
      <protection hidden="1"/>
    </xf>
    <xf numFmtId="172" fontId="41" fillId="12" borderId="109" xfId="0" applyNumberFormat="1" applyFont="1" applyFill="1" applyBorder="1" applyAlignment="1" applyProtection="1">
      <alignment horizontal="center" vertical="center"/>
      <protection hidden="1"/>
    </xf>
    <xf numFmtId="172" fontId="41" fillId="12" borderId="88" xfId="0" applyNumberFormat="1" applyFont="1" applyFill="1" applyBorder="1" applyAlignment="1" applyProtection="1">
      <alignment horizontal="center" vertical="center"/>
      <protection hidden="1"/>
    </xf>
    <xf numFmtId="172" fontId="41" fillId="12" borderId="75" xfId="0" applyNumberFormat="1" applyFont="1" applyFill="1" applyBorder="1" applyAlignment="1" applyProtection="1">
      <alignment horizontal="center" vertical="center"/>
      <protection hidden="1"/>
    </xf>
    <xf numFmtId="172" fontId="41" fillId="12" borderId="90" xfId="0" applyNumberFormat="1" applyFont="1" applyFill="1" applyBorder="1" applyAlignment="1" applyProtection="1">
      <alignment horizontal="center" vertical="center"/>
      <protection hidden="1"/>
    </xf>
    <xf numFmtId="171" fontId="169" fillId="13" borderId="103" xfId="0" applyNumberFormat="1" applyFont="1" applyFill="1" applyBorder="1" applyAlignment="1" applyProtection="1">
      <alignment horizontal="center" vertical="center"/>
      <protection hidden="1"/>
    </xf>
    <xf numFmtId="171" fontId="169" fillId="13" borderId="104" xfId="0" applyNumberFormat="1" applyFont="1" applyFill="1" applyBorder="1" applyAlignment="1" applyProtection="1">
      <alignment horizontal="center" vertical="center"/>
      <protection hidden="1"/>
    </xf>
    <xf numFmtId="171" fontId="169" fillId="13" borderId="75" xfId="0" applyNumberFormat="1" applyFont="1" applyFill="1" applyBorder="1" applyAlignment="1" applyProtection="1">
      <alignment horizontal="center" vertical="center"/>
      <protection hidden="1"/>
    </xf>
    <xf numFmtId="171" fontId="169" fillId="13" borderId="90" xfId="0" applyNumberFormat="1" applyFont="1" applyFill="1" applyBorder="1" applyAlignment="1" applyProtection="1">
      <alignment horizontal="center" vertical="center"/>
      <protection hidden="1"/>
    </xf>
    <xf numFmtId="171" fontId="169" fillId="13" borderId="117" xfId="0" applyNumberFormat="1" applyFont="1" applyFill="1" applyBorder="1" applyAlignment="1" applyProtection="1">
      <alignment horizontal="center" vertical="center"/>
      <protection hidden="1"/>
    </xf>
    <xf numFmtId="171" fontId="169" fillId="13" borderId="23" xfId="0" applyNumberFormat="1" applyFont="1" applyFill="1" applyBorder="1" applyAlignment="1" applyProtection="1">
      <alignment horizontal="center" vertical="center"/>
      <protection hidden="1"/>
    </xf>
    <xf numFmtId="3" fontId="258" fillId="21" borderId="131" xfId="0" applyNumberFormat="1" applyFont="1" applyFill="1" applyBorder="1" applyAlignment="1" applyProtection="1">
      <alignment horizontal="center" vertical="center" wrapText="1"/>
      <protection locked="0"/>
    </xf>
    <xf numFmtId="0" fontId="258" fillId="21" borderId="132" xfId="0" applyFont="1" applyFill="1" applyBorder="1" applyAlignment="1" applyProtection="1">
      <alignment horizontal="center" vertical="center" wrapText="1"/>
      <protection locked="0"/>
    </xf>
    <xf numFmtId="0" fontId="258" fillId="21" borderId="107" xfId="0" applyFont="1" applyFill="1" applyBorder="1" applyAlignment="1" applyProtection="1">
      <alignment horizontal="center" vertical="center" wrapText="1"/>
      <protection locked="0"/>
    </xf>
    <xf numFmtId="0" fontId="200" fillId="8" borderId="131" xfId="0" applyFont="1" applyFill="1" applyBorder="1" applyAlignment="1" applyProtection="1">
      <alignment horizontal="center" vertical="center" wrapText="1"/>
      <protection hidden="1"/>
    </xf>
    <xf numFmtId="0" fontId="200" fillId="8" borderId="132" xfId="0" applyFont="1" applyFill="1" applyBorder="1" applyAlignment="1" applyProtection="1">
      <alignment horizontal="center" vertical="center" wrapText="1"/>
      <protection hidden="1"/>
    </xf>
    <xf numFmtId="0" fontId="74" fillId="8" borderId="40" xfId="0" applyFont="1" applyFill="1" applyBorder="1" applyAlignment="1" applyProtection="1">
      <alignment horizontal="center" vertical="center" wrapText="1"/>
      <protection hidden="1"/>
    </xf>
    <xf numFmtId="0" fontId="74" fillId="8" borderId="13" xfId="0" applyFont="1" applyFill="1" applyBorder="1" applyAlignment="1" applyProtection="1">
      <alignment horizontal="center" vertical="center" wrapText="1"/>
      <protection hidden="1"/>
    </xf>
    <xf numFmtId="0" fontId="74" fillId="8" borderId="24" xfId="0" applyFont="1" applyFill="1" applyBorder="1" applyAlignment="1" applyProtection="1">
      <alignment horizontal="center" vertical="center" wrapText="1"/>
      <protection hidden="1"/>
    </xf>
    <xf numFmtId="0" fontId="201" fillId="17" borderId="40" xfId="0" applyFont="1" applyFill="1" applyBorder="1" applyAlignment="1" applyProtection="1">
      <alignment horizontal="center" vertical="center" wrapText="1"/>
      <protection hidden="1"/>
    </xf>
    <xf numFmtId="0" fontId="201" fillId="17" borderId="41" xfId="0" applyFont="1" applyFill="1" applyBorder="1" applyAlignment="1" applyProtection="1">
      <alignment horizontal="center" vertical="center" wrapText="1"/>
      <protection hidden="1"/>
    </xf>
    <xf numFmtId="0" fontId="201" fillId="17" borderId="88" xfId="0" applyFont="1" applyFill="1" applyBorder="1" applyAlignment="1" applyProtection="1">
      <alignment horizontal="center" vertical="center" wrapText="1"/>
      <protection hidden="1"/>
    </xf>
    <xf numFmtId="0" fontId="201" fillId="17" borderId="13" xfId="0" applyFont="1" applyFill="1" applyBorder="1" applyAlignment="1" applyProtection="1">
      <alignment horizontal="center" vertical="center" wrapText="1"/>
      <protection hidden="1"/>
    </xf>
    <xf numFmtId="0" fontId="201" fillId="17" borderId="0" xfId="0" applyFont="1" applyFill="1" applyBorder="1" applyAlignment="1" applyProtection="1">
      <alignment horizontal="center" vertical="center" wrapText="1"/>
      <protection hidden="1"/>
    </xf>
    <xf numFmtId="0" fontId="201" fillId="17" borderId="90" xfId="0" applyFont="1" applyFill="1" applyBorder="1" applyAlignment="1" applyProtection="1">
      <alignment horizontal="center" vertical="center" wrapText="1"/>
      <protection hidden="1"/>
    </xf>
    <xf numFmtId="0" fontId="201" fillId="17" borderId="48" xfId="0" applyFont="1" applyFill="1" applyBorder="1" applyAlignment="1" applyProtection="1">
      <alignment horizontal="center" vertical="center" wrapText="1"/>
      <protection hidden="1"/>
    </xf>
    <xf numFmtId="0" fontId="201" fillId="17" borderId="15" xfId="0" applyFont="1" applyFill="1" applyBorder="1" applyAlignment="1" applyProtection="1">
      <alignment horizontal="center" vertical="center" wrapText="1"/>
      <protection hidden="1"/>
    </xf>
    <xf numFmtId="0" fontId="201" fillId="17" borderId="23" xfId="0" applyFont="1" applyFill="1" applyBorder="1" applyAlignment="1" applyProtection="1">
      <alignment horizontal="center" vertical="center" wrapText="1"/>
      <protection hidden="1"/>
    </xf>
    <xf numFmtId="0" fontId="0" fillId="13" borderId="13" xfId="0" applyFill="1" applyBorder="1" applyAlignment="1" applyProtection="1">
      <alignment horizontal="center" vertical="center"/>
      <protection hidden="1"/>
    </xf>
    <xf numFmtId="0" fontId="0" fillId="13" borderId="48" xfId="0" applyFill="1" applyBorder="1" applyAlignment="1" applyProtection="1">
      <alignment horizontal="center" vertical="center"/>
      <protection hidden="1"/>
    </xf>
    <xf numFmtId="0" fontId="247" fillId="11" borderId="110" xfId="0" applyFont="1" applyFill="1" applyBorder="1" applyAlignment="1" applyProtection="1">
      <alignment horizontal="center" vertical="center" wrapText="1"/>
      <protection hidden="1"/>
    </xf>
    <xf numFmtId="0" fontId="247" fillId="11" borderId="50" xfId="0" applyFont="1" applyFill="1" applyBorder="1" applyAlignment="1" applyProtection="1">
      <alignment horizontal="center" vertical="center" wrapText="1"/>
      <protection hidden="1"/>
    </xf>
    <xf numFmtId="176" fontId="73" fillId="11" borderId="66" xfId="0" applyNumberFormat="1" applyFont="1" applyFill="1" applyBorder="1" applyAlignment="1" applyProtection="1">
      <alignment horizontal="center" vertical="center"/>
      <protection hidden="1"/>
    </xf>
    <xf numFmtId="176" fontId="73" fillId="11" borderId="151" xfId="0" applyNumberFormat="1" applyFont="1" applyFill="1" applyBorder="1" applyAlignment="1" applyProtection="1">
      <alignment horizontal="center" vertical="center"/>
      <protection hidden="1"/>
    </xf>
    <xf numFmtId="0" fontId="73" fillId="11" borderId="85" xfId="0" applyFont="1" applyFill="1" applyBorder="1" applyAlignment="1" applyProtection="1">
      <alignment horizontal="center" vertical="center" wrapText="1"/>
      <protection hidden="1"/>
    </xf>
    <xf numFmtId="0" fontId="73" fillId="11" borderId="84" xfId="0" applyFont="1" applyFill="1" applyBorder="1" applyAlignment="1" applyProtection="1">
      <alignment horizontal="center" vertical="center" wrapText="1"/>
      <protection hidden="1"/>
    </xf>
    <xf numFmtId="0" fontId="161" fillId="13" borderId="40" xfId="0" applyFont="1" applyFill="1" applyBorder="1" applyAlignment="1" applyProtection="1">
      <alignment horizontal="center" vertical="center" wrapText="1"/>
      <protection hidden="1"/>
    </xf>
    <xf numFmtId="0" fontId="161" fillId="13" borderId="41" xfId="0" applyFont="1" applyFill="1" applyBorder="1" applyAlignment="1" applyProtection="1">
      <alignment horizontal="center" vertical="center" wrapText="1"/>
      <protection hidden="1"/>
    </xf>
    <xf numFmtId="0" fontId="161" fillId="13" borderId="88" xfId="0" applyFont="1" applyFill="1" applyBorder="1" applyAlignment="1" applyProtection="1">
      <alignment horizontal="center" vertical="center" wrapText="1"/>
      <protection hidden="1"/>
    </xf>
    <xf numFmtId="0" fontId="161" fillId="13" borderId="13" xfId="0" applyFont="1" applyFill="1" applyBorder="1" applyAlignment="1" applyProtection="1">
      <alignment horizontal="center" vertical="center" wrapText="1"/>
      <protection hidden="1"/>
    </xf>
    <xf numFmtId="0" fontId="161" fillId="13" borderId="0" xfId="0" applyFont="1" applyFill="1" applyBorder="1" applyAlignment="1" applyProtection="1">
      <alignment horizontal="center" vertical="center" wrapText="1"/>
      <protection hidden="1"/>
    </xf>
    <xf numFmtId="0" fontId="161" fillId="13" borderId="90" xfId="0" applyFont="1" applyFill="1" applyBorder="1" applyAlignment="1" applyProtection="1">
      <alignment horizontal="center" vertical="center" wrapText="1"/>
      <protection hidden="1"/>
    </xf>
    <xf numFmtId="0" fontId="161" fillId="13" borderId="48" xfId="0" applyFont="1" applyFill="1" applyBorder="1" applyAlignment="1" applyProtection="1">
      <alignment horizontal="center" vertical="center" wrapText="1"/>
      <protection hidden="1"/>
    </xf>
    <xf numFmtId="0" fontId="161" fillId="13" borderId="15" xfId="0" applyFont="1" applyFill="1" applyBorder="1" applyAlignment="1" applyProtection="1">
      <alignment horizontal="center" vertical="center" wrapText="1"/>
      <protection hidden="1"/>
    </xf>
    <xf numFmtId="0" fontId="161" fillId="13" borderId="23" xfId="0" applyFont="1" applyFill="1" applyBorder="1" applyAlignment="1" applyProtection="1">
      <alignment horizontal="center" vertical="center" wrapText="1"/>
      <protection hidden="1"/>
    </xf>
    <xf numFmtId="0" fontId="175" fillId="12" borderId="40" xfId="0" applyFont="1" applyFill="1" applyBorder="1" applyAlignment="1" applyProtection="1">
      <alignment horizontal="center" vertical="center" wrapText="1"/>
      <protection hidden="1"/>
    </xf>
    <xf numFmtId="0" fontId="175" fillId="12" borderId="41" xfId="0" applyFont="1" applyFill="1" applyBorder="1" applyAlignment="1" applyProtection="1">
      <alignment horizontal="center" vertical="center" wrapText="1"/>
      <protection hidden="1"/>
    </xf>
    <xf numFmtId="0" fontId="175" fillId="12" borderId="88" xfId="0" applyFont="1" applyFill="1" applyBorder="1" applyAlignment="1" applyProtection="1">
      <alignment horizontal="center" vertical="center" wrapText="1"/>
      <protection hidden="1"/>
    </xf>
    <xf numFmtId="0" fontId="175" fillId="12" borderId="13" xfId="0" applyFont="1" applyFill="1" applyBorder="1" applyAlignment="1" applyProtection="1">
      <alignment horizontal="center" vertical="center" wrapText="1"/>
      <protection hidden="1"/>
    </xf>
    <xf numFmtId="0" fontId="175" fillId="12" borderId="0" xfId="0" applyFont="1" applyFill="1" applyBorder="1" applyAlignment="1" applyProtection="1">
      <alignment horizontal="center" vertical="center" wrapText="1"/>
      <protection hidden="1"/>
    </xf>
    <xf numFmtId="0" fontId="175" fillId="12" borderId="90" xfId="0" applyFont="1" applyFill="1" applyBorder="1" applyAlignment="1" applyProtection="1">
      <alignment horizontal="center" vertical="center" wrapText="1"/>
      <protection hidden="1"/>
    </xf>
    <xf numFmtId="0" fontId="175" fillId="12" borderId="48" xfId="0" applyFont="1" applyFill="1" applyBorder="1" applyAlignment="1" applyProtection="1">
      <alignment horizontal="center" vertical="center" wrapText="1"/>
      <protection hidden="1"/>
    </xf>
    <xf numFmtId="0" fontId="175" fillId="12" borderId="15" xfId="0" applyFont="1" applyFill="1" applyBorder="1" applyAlignment="1" applyProtection="1">
      <alignment horizontal="center" vertical="center" wrapText="1"/>
      <protection hidden="1"/>
    </xf>
    <xf numFmtId="0" fontId="175" fillId="12" borderId="23" xfId="0" applyFont="1" applyFill="1" applyBorder="1" applyAlignment="1" applyProtection="1">
      <alignment horizontal="center" vertical="center" wrapText="1"/>
      <protection hidden="1"/>
    </xf>
    <xf numFmtId="0" fontId="71" fillId="12" borderId="87" xfId="0" applyFont="1" applyFill="1" applyBorder="1" applyAlignment="1" applyProtection="1">
      <alignment horizontal="center" vertical="center" wrapText="1"/>
      <protection hidden="1"/>
    </xf>
    <xf numFmtId="0" fontId="71" fillId="12" borderId="41" xfId="0" applyFont="1" applyFill="1" applyBorder="1" applyAlignment="1" applyProtection="1">
      <alignment horizontal="center" vertical="center" wrapText="1"/>
      <protection hidden="1"/>
    </xf>
    <xf numFmtId="0" fontId="71" fillId="12" borderId="88" xfId="0" applyFont="1" applyFill="1" applyBorder="1" applyAlignment="1" applyProtection="1">
      <alignment horizontal="center" vertical="center" wrapText="1"/>
      <protection hidden="1"/>
    </xf>
    <xf numFmtId="0" fontId="71" fillId="12" borderId="89" xfId="0" applyFont="1" applyFill="1" applyBorder="1" applyAlignment="1" applyProtection="1">
      <alignment horizontal="center" vertical="center" wrapText="1"/>
      <protection hidden="1"/>
    </xf>
    <xf numFmtId="0" fontId="71" fillId="12" borderId="0" xfId="0" applyFont="1" applyFill="1" applyBorder="1" applyAlignment="1" applyProtection="1">
      <alignment horizontal="center" vertical="center" wrapText="1"/>
      <protection hidden="1"/>
    </xf>
    <xf numFmtId="0" fontId="71" fillId="12" borderId="90" xfId="0" applyFont="1" applyFill="1" applyBorder="1" applyAlignment="1" applyProtection="1">
      <alignment horizontal="center" vertical="center" wrapText="1"/>
      <protection hidden="1"/>
    </xf>
    <xf numFmtId="0" fontId="71" fillId="12" borderId="112" xfId="0" applyFont="1" applyFill="1" applyBorder="1" applyAlignment="1" applyProtection="1">
      <alignment horizontal="center" vertical="center" wrapText="1"/>
      <protection hidden="1"/>
    </xf>
    <xf numFmtId="0" fontId="71" fillId="12" borderId="15" xfId="0" applyFont="1" applyFill="1" applyBorder="1" applyAlignment="1" applyProtection="1">
      <alignment horizontal="center" vertical="center" wrapText="1"/>
      <protection hidden="1"/>
    </xf>
    <xf numFmtId="0" fontId="71" fillId="12" borderId="23" xfId="0" applyFont="1" applyFill="1" applyBorder="1" applyAlignment="1" applyProtection="1">
      <alignment horizontal="center" vertical="center" wrapText="1"/>
      <protection hidden="1"/>
    </xf>
    <xf numFmtId="0" fontId="207" fillId="13" borderId="40" xfId="0" applyFont="1" applyFill="1" applyBorder="1" applyAlignment="1" applyProtection="1">
      <alignment horizontal="center" vertical="center" wrapText="1"/>
      <protection hidden="1"/>
    </xf>
    <xf numFmtId="0" fontId="207" fillId="13" borderId="41" xfId="0" applyFont="1" applyFill="1" applyBorder="1" applyAlignment="1" applyProtection="1">
      <alignment horizontal="center" vertical="center" wrapText="1"/>
      <protection hidden="1"/>
    </xf>
    <xf numFmtId="0" fontId="207" fillId="13" borderId="88" xfId="0" applyFont="1" applyFill="1" applyBorder="1" applyAlignment="1" applyProtection="1">
      <alignment horizontal="center" vertical="center" wrapText="1"/>
      <protection hidden="1"/>
    </xf>
    <xf numFmtId="0" fontId="207" fillId="13" borderId="13" xfId="0" applyFont="1" applyFill="1" applyBorder="1" applyAlignment="1" applyProtection="1">
      <alignment horizontal="center" vertical="center" wrapText="1"/>
      <protection hidden="1"/>
    </xf>
    <xf numFmtId="0" fontId="207" fillId="13" borderId="0" xfId="0" applyFont="1" applyFill="1" applyBorder="1" applyAlignment="1" applyProtection="1">
      <alignment horizontal="center" vertical="center" wrapText="1"/>
      <protection hidden="1"/>
    </xf>
    <xf numFmtId="0" fontId="207" fillId="13" borderId="90" xfId="0" applyFont="1" applyFill="1" applyBorder="1" applyAlignment="1" applyProtection="1">
      <alignment horizontal="center" vertical="center" wrapText="1"/>
      <protection hidden="1"/>
    </xf>
    <xf numFmtId="0" fontId="207" fillId="13" borderId="48" xfId="0" applyFont="1" applyFill="1" applyBorder="1" applyAlignment="1" applyProtection="1">
      <alignment horizontal="center" vertical="center" wrapText="1"/>
      <protection hidden="1"/>
    </xf>
    <xf numFmtId="0" fontId="207" fillId="13" borderId="15" xfId="0" applyFont="1" applyFill="1" applyBorder="1" applyAlignment="1" applyProtection="1">
      <alignment horizontal="center" vertical="center" wrapText="1"/>
      <protection hidden="1"/>
    </xf>
    <xf numFmtId="0" fontId="207" fillId="13" borderId="23" xfId="0" applyFont="1" applyFill="1" applyBorder="1" applyAlignment="1" applyProtection="1">
      <alignment horizontal="center" vertical="center" wrapText="1"/>
      <protection hidden="1"/>
    </xf>
    <xf numFmtId="0" fontId="27" fillId="12" borderId="40" xfId="0" applyFont="1" applyFill="1" applyBorder="1" applyAlignment="1" applyProtection="1">
      <alignment horizontal="center" vertical="center"/>
      <protection hidden="1"/>
    </xf>
    <xf numFmtId="0" fontId="27" fillId="12" borderId="41" xfId="0" applyFont="1" applyFill="1" applyBorder="1" applyAlignment="1" applyProtection="1">
      <alignment horizontal="center" vertical="center"/>
      <protection hidden="1"/>
    </xf>
    <xf numFmtId="0" fontId="27" fillId="12" borderId="88" xfId="0" applyFont="1" applyFill="1" applyBorder="1" applyAlignment="1" applyProtection="1">
      <alignment horizontal="center" vertical="center"/>
      <protection hidden="1"/>
    </xf>
    <xf numFmtId="0" fontId="27" fillId="12" borderId="13" xfId="0" applyFont="1" applyFill="1" applyBorder="1" applyAlignment="1" applyProtection="1">
      <alignment horizontal="center" vertical="center"/>
      <protection hidden="1"/>
    </xf>
    <xf numFmtId="0" fontId="27" fillId="12" borderId="0" xfId="0" applyFont="1" applyFill="1" applyBorder="1" applyAlignment="1" applyProtection="1">
      <alignment horizontal="center" vertical="center"/>
      <protection hidden="1"/>
    </xf>
    <xf numFmtId="0" fontId="27" fillId="12" borderId="90" xfId="0" applyFont="1" applyFill="1" applyBorder="1" applyAlignment="1" applyProtection="1">
      <alignment horizontal="center" vertical="center"/>
      <protection hidden="1"/>
    </xf>
    <xf numFmtId="0" fontId="27" fillId="12" borderId="48" xfId="0" applyFont="1" applyFill="1" applyBorder="1" applyAlignment="1" applyProtection="1">
      <alignment horizontal="center" vertical="center"/>
      <protection hidden="1"/>
    </xf>
    <xf numFmtId="0" fontId="27" fillId="12" borderId="15" xfId="0" applyFont="1" applyFill="1" applyBorder="1" applyAlignment="1" applyProtection="1">
      <alignment horizontal="center" vertical="center"/>
      <protection hidden="1"/>
    </xf>
    <xf numFmtId="0" fontId="27" fillId="12" borderId="23" xfId="0" applyFont="1" applyFill="1" applyBorder="1" applyAlignment="1" applyProtection="1">
      <alignment horizontal="center" vertical="center"/>
      <protection hidden="1"/>
    </xf>
    <xf numFmtId="0" fontId="0" fillId="13" borderId="40" xfId="0" applyFill="1" applyBorder="1" applyAlignment="1" applyProtection="1">
      <alignment horizontal="center" vertical="center"/>
      <protection hidden="1"/>
    </xf>
    <xf numFmtId="0" fontId="48" fillId="12" borderId="0" xfId="0" applyFont="1" applyFill="1" applyAlignment="1" applyProtection="1">
      <alignment horizontal="center" vertical="center" wrapText="1"/>
      <protection hidden="1"/>
    </xf>
    <xf numFmtId="0" fontId="20" fillId="13" borderId="87" xfId="0" applyFont="1" applyFill="1" applyBorder="1" applyAlignment="1" applyProtection="1">
      <alignment horizontal="center" vertical="center" wrapText="1"/>
      <protection hidden="1"/>
    </xf>
    <xf numFmtId="0" fontId="20" fillId="13" borderId="41" xfId="0" applyFont="1" applyFill="1" applyBorder="1" applyAlignment="1" applyProtection="1">
      <alignment horizontal="center" vertical="center" wrapText="1"/>
      <protection hidden="1"/>
    </xf>
    <xf numFmtId="0" fontId="20" fillId="13" borderId="88" xfId="0" applyFont="1" applyFill="1" applyBorder="1" applyAlignment="1" applyProtection="1">
      <alignment horizontal="center" vertical="center" wrapText="1"/>
      <protection hidden="1"/>
    </xf>
    <xf numFmtId="0" fontId="20" fillId="13" borderId="112" xfId="0" applyFont="1" applyFill="1" applyBorder="1" applyAlignment="1" applyProtection="1">
      <alignment horizontal="center" vertical="center" wrapText="1"/>
      <protection hidden="1"/>
    </xf>
    <xf numFmtId="0" fontId="20" fillId="13" borderId="15" xfId="0" applyFont="1" applyFill="1" applyBorder="1" applyAlignment="1" applyProtection="1">
      <alignment horizontal="center" vertical="center" wrapText="1"/>
      <protection hidden="1"/>
    </xf>
    <xf numFmtId="0" fontId="20" fillId="13" borderId="23" xfId="0" applyFont="1" applyFill="1" applyBorder="1" applyAlignment="1" applyProtection="1">
      <alignment horizontal="center" vertical="center" wrapText="1"/>
      <protection hidden="1"/>
    </xf>
    <xf numFmtId="0" fontId="54" fillId="15" borderId="74" xfId="0" applyFont="1" applyFill="1" applyBorder="1" applyAlignment="1" applyProtection="1">
      <alignment horizontal="center" vertical="center"/>
      <protection hidden="1"/>
    </xf>
    <xf numFmtId="0" fontId="54" fillId="15" borderId="35" xfId="0" applyFont="1" applyFill="1" applyBorder="1" applyAlignment="1" applyProtection="1">
      <alignment horizontal="center" vertical="center"/>
      <protection hidden="1"/>
    </xf>
    <xf numFmtId="0" fontId="54" fillId="15" borderId="14" xfId="0" applyFont="1" applyFill="1" applyBorder="1" applyAlignment="1" applyProtection="1">
      <alignment horizontal="center" vertical="center"/>
      <protection hidden="1"/>
    </xf>
    <xf numFmtId="0" fontId="247" fillId="11" borderId="37" xfId="0" applyFont="1" applyFill="1" applyBorder="1" applyAlignment="1" applyProtection="1">
      <alignment horizontal="center" vertical="center"/>
      <protection hidden="1"/>
    </xf>
    <xf numFmtId="0" fontId="247" fillId="11" borderId="111" xfId="0" applyFont="1" applyFill="1" applyBorder="1" applyAlignment="1" applyProtection="1">
      <alignment horizontal="center" vertical="center"/>
      <protection hidden="1"/>
    </xf>
    <xf numFmtId="0" fontId="33" fillId="11" borderId="37" xfId="5" applyFont="1" applyFill="1" applyBorder="1" applyAlignment="1" applyProtection="1">
      <alignment horizontal="center" vertical="center" wrapText="1"/>
      <protection hidden="1"/>
    </xf>
    <xf numFmtId="0" fontId="33" fillId="11" borderId="38" xfId="5" applyFont="1" applyFill="1" applyBorder="1" applyAlignment="1" applyProtection="1">
      <alignment horizontal="center" vertical="center" wrapText="1"/>
      <protection hidden="1"/>
    </xf>
    <xf numFmtId="0" fontId="33" fillId="11" borderId="50" xfId="5" applyFont="1" applyFill="1" applyBorder="1" applyAlignment="1" applyProtection="1">
      <alignment horizontal="center" vertical="center" wrapText="1"/>
      <protection hidden="1"/>
    </xf>
    <xf numFmtId="0" fontId="53" fillId="15" borderId="109" xfId="0" applyFont="1" applyFill="1" applyBorder="1" applyAlignment="1" applyProtection="1">
      <alignment horizontal="center" vertical="center"/>
      <protection hidden="1"/>
    </xf>
    <xf numFmtId="0" fontId="53" fillId="15" borderId="41" xfId="0" applyFont="1" applyFill="1" applyBorder="1" applyAlignment="1" applyProtection="1">
      <alignment horizontal="center" vertical="center"/>
      <protection hidden="1"/>
    </xf>
    <xf numFmtId="0" fontId="53" fillId="15" borderId="88" xfId="0" applyFont="1" applyFill="1" applyBorder="1" applyAlignment="1" applyProtection="1">
      <alignment horizontal="center" vertical="center"/>
      <protection hidden="1"/>
    </xf>
    <xf numFmtId="0" fontId="69" fillId="13" borderId="74" xfId="0" applyFont="1" applyFill="1" applyBorder="1" applyAlignment="1" applyProtection="1">
      <alignment horizontal="center" vertical="center" wrapText="1"/>
      <protection hidden="1"/>
    </xf>
    <xf numFmtId="0" fontId="21" fillId="13" borderId="113" xfId="0" applyFont="1" applyFill="1" applyBorder="1" applyAlignment="1" applyProtection="1">
      <alignment horizontal="center" vertical="center" wrapText="1"/>
      <protection hidden="1"/>
    </xf>
    <xf numFmtId="0" fontId="21" fillId="13" borderId="22" xfId="0" applyFont="1" applyFill="1" applyBorder="1" applyAlignment="1" applyProtection="1">
      <alignment horizontal="center" vertical="center" wrapText="1"/>
      <protection hidden="1"/>
    </xf>
    <xf numFmtId="0" fontId="21" fillId="13" borderId="28" xfId="0" applyFont="1" applyFill="1" applyBorder="1" applyAlignment="1" applyProtection="1">
      <alignment horizontal="center" vertical="center" wrapText="1"/>
      <protection hidden="1"/>
    </xf>
    <xf numFmtId="0" fontId="0" fillId="12" borderId="87" xfId="0" applyFill="1" applyBorder="1" applyAlignment="1" applyProtection="1">
      <alignment horizontal="center" vertical="center"/>
      <protection hidden="1"/>
    </xf>
    <xf numFmtId="0" fontId="0" fillId="12" borderId="89" xfId="0" applyFill="1" applyBorder="1" applyAlignment="1" applyProtection="1">
      <alignment horizontal="center" vertical="center"/>
      <protection hidden="1"/>
    </xf>
    <xf numFmtId="0" fontId="0" fillId="12" borderId="112" xfId="0" applyFill="1" applyBorder="1" applyAlignment="1" applyProtection="1">
      <alignment horizontal="center" vertical="center"/>
      <protection hidden="1"/>
    </xf>
    <xf numFmtId="0" fontId="202" fillId="11" borderId="113" xfId="0" applyFont="1" applyFill="1" applyBorder="1" applyAlignment="1" applyProtection="1">
      <alignment horizontal="center" vertical="center" wrapText="1"/>
      <protection hidden="1"/>
    </xf>
    <xf numFmtId="0" fontId="202" fillId="11" borderId="22" xfId="0" applyFont="1" applyFill="1" applyBorder="1" applyAlignment="1" applyProtection="1">
      <alignment horizontal="center" vertical="center" wrapText="1"/>
      <protection hidden="1"/>
    </xf>
    <xf numFmtId="0" fontId="202" fillId="11" borderId="34" xfId="0" applyFont="1" applyFill="1" applyBorder="1" applyAlignment="1" applyProtection="1">
      <alignment horizontal="center" vertical="center" wrapText="1"/>
      <protection hidden="1"/>
    </xf>
    <xf numFmtId="0" fontId="202" fillId="11" borderId="89" xfId="0" applyFont="1" applyFill="1" applyBorder="1" applyAlignment="1" applyProtection="1">
      <alignment horizontal="center" vertical="center" wrapText="1"/>
      <protection hidden="1"/>
    </xf>
    <xf numFmtId="0" fontId="202" fillId="11" borderId="0" xfId="0" applyFont="1" applyFill="1" applyBorder="1" applyAlignment="1" applyProtection="1">
      <alignment horizontal="center" vertical="center" wrapText="1"/>
      <protection hidden="1"/>
    </xf>
    <xf numFmtId="0" fontId="202" fillId="11" borderId="79" xfId="0" applyFont="1" applyFill="1" applyBorder="1" applyAlignment="1" applyProtection="1">
      <alignment horizontal="center" vertical="center" wrapText="1"/>
      <protection hidden="1"/>
    </xf>
    <xf numFmtId="0" fontId="266" fillId="15" borderId="184" xfId="0" applyFont="1" applyFill="1" applyBorder="1" applyAlignment="1" applyProtection="1">
      <alignment horizontal="center" vertical="center" wrapText="1"/>
      <protection hidden="1"/>
    </xf>
    <xf numFmtId="0" fontId="266" fillId="15" borderId="100" xfId="0" applyFont="1" applyFill="1" applyBorder="1" applyAlignment="1" applyProtection="1">
      <alignment horizontal="center" vertical="center" wrapText="1"/>
      <protection hidden="1"/>
    </xf>
    <xf numFmtId="0" fontId="266" fillId="15" borderId="134" xfId="0" applyFont="1" applyFill="1" applyBorder="1" applyAlignment="1" applyProtection="1">
      <alignment horizontal="center" vertical="center" wrapText="1"/>
      <protection hidden="1"/>
    </xf>
    <xf numFmtId="0" fontId="187" fillId="8" borderId="13" xfId="0" applyFont="1" applyFill="1" applyBorder="1" applyAlignment="1" applyProtection="1">
      <alignment horizontal="center" vertical="center" wrapText="1"/>
      <protection hidden="1"/>
    </xf>
    <xf numFmtId="0" fontId="187" fillId="8" borderId="0" xfId="0" applyFont="1" applyFill="1" applyBorder="1" applyAlignment="1" applyProtection="1">
      <alignment horizontal="center" vertical="center" wrapText="1"/>
      <protection hidden="1"/>
    </xf>
    <xf numFmtId="0" fontId="187" fillId="8" borderId="90" xfId="0" applyFont="1" applyFill="1" applyBorder="1" applyAlignment="1" applyProtection="1">
      <alignment horizontal="center" vertical="center" wrapText="1"/>
      <protection hidden="1"/>
    </xf>
    <xf numFmtId="0" fontId="187" fillId="8" borderId="48" xfId="0" applyFont="1" applyFill="1" applyBorder="1" applyAlignment="1" applyProtection="1">
      <alignment horizontal="center" vertical="center" wrapText="1"/>
      <protection hidden="1"/>
    </xf>
    <xf numFmtId="0" fontId="187" fillId="8" borderId="15" xfId="0" applyFont="1" applyFill="1" applyBorder="1" applyAlignment="1" applyProtection="1">
      <alignment horizontal="center" vertical="center" wrapText="1"/>
      <protection hidden="1"/>
    </xf>
    <xf numFmtId="0" fontId="187" fillId="8" borderId="23" xfId="0" applyFont="1" applyFill="1" applyBorder="1" applyAlignment="1" applyProtection="1">
      <alignment horizontal="center" vertical="center" wrapText="1"/>
      <protection hidden="1"/>
    </xf>
    <xf numFmtId="0" fontId="46" fillId="11" borderId="40" xfId="0" applyFont="1" applyFill="1" applyBorder="1" applyAlignment="1" applyProtection="1">
      <alignment horizontal="center" vertical="center" wrapText="1"/>
      <protection hidden="1"/>
    </xf>
    <xf numFmtId="0" fontId="46" fillId="11" borderId="41" xfId="0" applyFont="1" applyFill="1" applyBorder="1" applyAlignment="1" applyProtection="1">
      <alignment horizontal="center" vertical="center" wrapText="1"/>
      <protection hidden="1"/>
    </xf>
    <xf numFmtId="0" fontId="46" fillId="11" borderId="88" xfId="0" applyFont="1" applyFill="1" applyBorder="1" applyAlignment="1" applyProtection="1">
      <alignment horizontal="center" vertical="center" wrapText="1"/>
      <protection hidden="1"/>
    </xf>
    <xf numFmtId="0" fontId="46" fillId="11" borderId="13" xfId="0" applyFont="1" applyFill="1" applyBorder="1" applyAlignment="1" applyProtection="1">
      <alignment horizontal="center" vertical="center" wrapText="1"/>
      <protection hidden="1"/>
    </xf>
    <xf numFmtId="0" fontId="46" fillId="11" borderId="0" xfId="0" applyFont="1" applyFill="1" applyBorder="1" applyAlignment="1" applyProtection="1">
      <alignment horizontal="center" vertical="center" wrapText="1"/>
      <protection hidden="1"/>
    </xf>
    <xf numFmtId="0" fontId="46" fillId="11" borderId="90" xfId="0" applyFont="1" applyFill="1" applyBorder="1" applyAlignment="1" applyProtection="1">
      <alignment horizontal="center" vertical="center" wrapText="1"/>
      <protection hidden="1"/>
    </xf>
    <xf numFmtId="0" fontId="46" fillId="11" borderId="48" xfId="0" applyFont="1" applyFill="1" applyBorder="1" applyAlignment="1" applyProtection="1">
      <alignment horizontal="center" vertical="center" wrapText="1"/>
      <protection hidden="1"/>
    </xf>
    <xf numFmtId="0" fontId="46" fillId="11" borderId="15" xfId="0" applyFont="1" applyFill="1" applyBorder="1" applyAlignment="1" applyProtection="1">
      <alignment horizontal="center" vertical="center" wrapText="1"/>
      <protection hidden="1"/>
    </xf>
    <xf numFmtId="0" fontId="46" fillId="11" borderId="23" xfId="0" applyFont="1" applyFill="1" applyBorder="1" applyAlignment="1" applyProtection="1">
      <alignment horizontal="center" vertical="center" wrapText="1"/>
      <protection hidden="1"/>
    </xf>
    <xf numFmtId="0" fontId="69" fillId="8" borderId="24" xfId="0" applyFont="1" applyFill="1" applyBorder="1" applyAlignment="1" applyProtection="1">
      <alignment horizontal="center" vertical="center" wrapText="1"/>
      <protection hidden="1"/>
    </xf>
    <xf numFmtId="0" fontId="69" fillId="8" borderId="91" xfId="0" applyFont="1" applyFill="1" applyBorder="1" applyAlignment="1" applyProtection="1">
      <alignment horizontal="center" vertical="center" wrapText="1"/>
      <protection hidden="1"/>
    </xf>
    <xf numFmtId="0" fontId="69" fillId="8" borderId="108" xfId="0" applyFont="1" applyFill="1" applyBorder="1" applyAlignment="1" applyProtection="1">
      <alignment horizontal="center" vertical="center" wrapText="1"/>
      <protection hidden="1"/>
    </xf>
    <xf numFmtId="0" fontId="252" fillId="8" borderId="195" xfId="0" applyFont="1" applyFill="1" applyBorder="1" applyAlignment="1" applyProtection="1">
      <alignment horizontal="center" vertical="center" wrapText="1"/>
      <protection hidden="1"/>
    </xf>
    <xf numFmtId="0" fontId="252" fillId="8" borderId="141" xfId="0" applyFont="1" applyFill="1" applyBorder="1" applyAlignment="1" applyProtection="1">
      <alignment horizontal="center" vertical="center" wrapText="1"/>
      <protection hidden="1"/>
    </xf>
    <xf numFmtId="0" fontId="252" fillId="8" borderId="142" xfId="0" applyFont="1" applyFill="1" applyBorder="1" applyAlignment="1" applyProtection="1">
      <alignment horizontal="center" vertical="center" wrapText="1"/>
      <protection hidden="1"/>
    </xf>
    <xf numFmtId="0" fontId="21" fillId="13" borderId="156" xfId="0" applyFont="1" applyFill="1" applyBorder="1" applyAlignment="1" applyProtection="1">
      <alignment horizontal="center" vertical="center" wrapText="1"/>
      <protection hidden="1"/>
    </xf>
    <xf numFmtId="0" fontId="21" fillId="13" borderId="35" xfId="0" applyFont="1" applyFill="1" applyBorder="1" applyAlignment="1" applyProtection="1">
      <alignment horizontal="center" vertical="center" wrapText="1"/>
      <protection hidden="1"/>
    </xf>
    <xf numFmtId="0" fontId="21" fillId="13" borderId="14" xfId="0" applyFont="1" applyFill="1" applyBorder="1" applyAlignment="1" applyProtection="1">
      <alignment horizontal="center" vertical="center" wrapText="1"/>
      <protection hidden="1"/>
    </xf>
    <xf numFmtId="0" fontId="21" fillId="11" borderId="156" xfId="0" applyFont="1" applyFill="1" applyBorder="1" applyAlignment="1" applyProtection="1">
      <alignment horizontal="center" vertical="center" wrapText="1"/>
      <protection hidden="1"/>
    </xf>
    <xf numFmtId="0" fontId="21" fillId="11" borderId="35" xfId="0" applyFont="1" applyFill="1" applyBorder="1" applyAlignment="1" applyProtection="1">
      <alignment horizontal="center" vertical="center" wrapText="1"/>
      <protection hidden="1"/>
    </xf>
    <xf numFmtId="0" fontId="21" fillId="11" borderId="14" xfId="0" applyFont="1" applyFill="1" applyBorder="1" applyAlignment="1" applyProtection="1">
      <alignment horizontal="center" vertical="center" wrapText="1"/>
      <protection hidden="1"/>
    </xf>
    <xf numFmtId="0" fontId="21" fillId="11" borderId="185" xfId="0" applyFont="1" applyFill="1" applyBorder="1" applyAlignment="1" applyProtection="1">
      <alignment horizontal="center" vertical="center" wrapText="1"/>
      <protection hidden="1"/>
    </xf>
    <xf numFmtId="0" fontId="21" fillId="11" borderId="38" xfId="0" applyFont="1" applyFill="1" applyBorder="1" applyAlignment="1" applyProtection="1">
      <alignment horizontal="center" vertical="center" wrapText="1"/>
      <protection hidden="1"/>
    </xf>
    <xf numFmtId="0" fontId="21" fillId="11" borderId="50" xfId="0" applyFont="1" applyFill="1" applyBorder="1" applyAlignment="1" applyProtection="1">
      <alignment horizontal="center" vertical="center" wrapText="1"/>
      <protection hidden="1"/>
    </xf>
    <xf numFmtId="0" fontId="58" fillId="8" borderId="157" xfId="0" applyFont="1" applyFill="1" applyBorder="1" applyAlignment="1" applyProtection="1">
      <alignment horizontal="center" vertical="center" wrapText="1"/>
      <protection hidden="1"/>
    </xf>
    <xf numFmtId="0" fontId="58" fillId="8" borderId="86" xfId="0" applyFont="1" applyFill="1" applyBorder="1" applyAlignment="1" applyProtection="1">
      <alignment horizontal="center" vertical="center" wrapText="1"/>
      <protection hidden="1"/>
    </xf>
    <xf numFmtId="0" fontId="58" fillId="8" borderId="84" xfId="0" applyFont="1" applyFill="1" applyBorder="1" applyAlignment="1" applyProtection="1">
      <alignment horizontal="center" vertical="center" wrapText="1"/>
      <protection hidden="1"/>
    </xf>
    <xf numFmtId="0" fontId="69" fillId="11" borderId="8" xfId="0" applyFont="1" applyFill="1" applyBorder="1" applyAlignment="1" applyProtection="1">
      <alignment horizontal="center" vertical="center" wrapText="1"/>
      <protection hidden="1"/>
    </xf>
    <xf numFmtId="0" fontId="69" fillId="11" borderId="168" xfId="0" applyFont="1" applyFill="1" applyBorder="1" applyAlignment="1" applyProtection="1">
      <alignment horizontal="center" vertical="center" wrapText="1"/>
      <protection hidden="1"/>
    </xf>
    <xf numFmtId="0" fontId="57" fillId="8" borderId="184" xfId="0" applyFont="1" applyFill="1" applyBorder="1" applyAlignment="1" applyProtection="1">
      <alignment horizontal="center" vertical="center" wrapText="1"/>
      <protection hidden="1"/>
    </xf>
    <xf numFmtId="0" fontId="57" fillId="8" borderId="100" xfId="0" applyFont="1" applyFill="1" applyBorder="1" applyAlignment="1" applyProtection="1">
      <alignment horizontal="center" vertical="center" wrapText="1"/>
      <protection hidden="1"/>
    </xf>
    <xf numFmtId="0" fontId="57" fillId="8" borderId="193" xfId="0" applyFont="1" applyFill="1" applyBorder="1" applyAlignment="1" applyProtection="1">
      <alignment horizontal="center" vertical="center" wrapText="1"/>
      <protection hidden="1"/>
    </xf>
    <xf numFmtId="0" fontId="251" fillId="12" borderId="87" xfId="0" applyFont="1" applyFill="1" applyBorder="1" applyAlignment="1" applyProtection="1">
      <alignment horizontal="center" vertical="center" wrapText="1"/>
      <protection hidden="1"/>
    </xf>
    <xf numFmtId="0" fontId="251" fillId="12" borderId="88" xfId="0" applyFont="1" applyFill="1" applyBorder="1" applyAlignment="1" applyProtection="1">
      <alignment horizontal="center" vertical="center" wrapText="1"/>
      <protection hidden="1"/>
    </xf>
    <xf numFmtId="0" fontId="251" fillId="12" borderId="89" xfId="0" applyFont="1" applyFill="1" applyBorder="1" applyAlignment="1" applyProtection="1">
      <alignment horizontal="center" vertical="center" wrapText="1"/>
      <protection hidden="1"/>
    </xf>
    <xf numFmtId="0" fontId="251" fillId="12" borderId="90" xfId="0" applyFont="1" applyFill="1" applyBorder="1" applyAlignment="1" applyProtection="1">
      <alignment horizontal="center" vertical="center" wrapText="1"/>
      <protection hidden="1"/>
    </xf>
    <xf numFmtId="0" fontId="251" fillId="12" borderId="186" xfId="0" applyFont="1" applyFill="1" applyBorder="1" applyAlignment="1" applyProtection="1">
      <alignment horizontal="center" vertical="center" wrapText="1"/>
      <protection hidden="1"/>
    </xf>
    <xf numFmtId="0" fontId="251" fillId="12" borderId="21" xfId="0" applyFont="1" applyFill="1" applyBorder="1" applyAlignment="1" applyProtection="1">
      <alignment horizontal="center" vertical="center" wrapText="1"/>
      <protection hidden="1"/>
    </xf>
    <xf numFmtId="0" fontId="69" fillId="13" borderId="110" xfId="0" applyFont="1" applyFill="1" applyBorder="1" applyAlignment="1" applyProtection="1">
      <alignment horizontal="center" vertical="center" wrapText="1"/>
      <protection hidden="1"/>
    </xf>
    <xf numFmtId="0" fontId="69" fillId="13" borderId="50" xfId="0" applyFont="1" applyFill="1" applyBorder="1" applyAlignment="1" applyProtection="1">
      <alignment horizontal="center" vertical="center" wrapText="1"/>
      <protection hidden="1"/>
    </xf>
    <xf numFmtId="0" fontId="12" fillId="11" borderId="80" xfId="0" applyFont="1" applyFill="1" applyBorder="1" applyAlignment="1" applyProtection="1">
      <alignment horizontal="center" vertical="center" wrapText="1"/>
      <protection hidden="1"/>
    </xf>
    <xf numFmtId="0" fontId="12" fillId="11" borderId="70" xfId="0" applyFont="1" applyFill="1" applyBorder="1" applyAlignment="1" applyProtection="1">
      <alignment horizontal="center" vertical="center" wrapText="1"/>
      <protection hidden="1"/>
    </xf>
    <xf numFmtId="0" fontId="267" fillId="8" borderId="146" xfId="0" applyNumberFormat="1" applyFont="1" applyFill="1" applyBorder="1" applyAlignment="1" applyProtection="1">
      <alignment horizontal="center" vertical="center" wrapText="1"/>
      <protection hidden="1"/>
    </xf>
    <xf numFmtId="0" fontId="267" fillId="8" borderId="147" xfId="0" applyNumberFormat="1" applyFont="1" applyFill="1" applyBorder="1" applyAlignment="1" applyProtection="1">
      <alignment horizontal="center" vertical="center" wrapText="1"/>
      <protection hidden="1"/>
    </xf>
    <xf numFmtId="0" fontId="267" fillId="8" borderId="148" xfId="0" applyNumberFormat="1" applyFont="1" applyFill="1" applyBorder="1" applyAlignment="1" applyProtection="1">
      <alignment horizontal="center" vertical="center" wrapText="1"/>
      <protection hidden="1"/>
    </xf>
    <xf numFmtId="0" fontId="267" fillId="8" borderId="13" xfId="0" applyNumberFormat="1" applyFont="1" applyFill="1" applyBorder="1" applyAlignment="1" applyProtection="1">
      <alignment horizontal="center" vertical="center" wrapText="1"/>
      <protection hidden="1"/>
    </xf>
    <xf numFmtId="0" fontId="267" fillId="8" borderId="0" xfId="0" applyNumberFormat="1" applyFont="1" applyFill="1" applyBorder="1" applyAlignment="1" applyProtection="1">
      <alignment horizontal="center" vertical="center" wrapText="1"/>
      <protection hidden="1"/>
    </xf>
    <xf numFmtId="0" fontId="267" fillId="8" borderId="90" xfId="0" applyNumberFormat="1" applyFont="1" applyFill="1" applyBorder="1" applyAlignment="1" applyProtection="1">
      <alignment horizontal="center" vertical="center" wrapText="1"/>
      <protection hidden="1"/>
    </xf>
    <xf numFmtId="0" fontId="267" fillId="8" borderId="48" xfId="0" applyNumberFormat="1" applyFont="1" applyFill="1" applyBorder="1" applyAlignment="1" applyProtection="1">
      <alignment horizontal="center" vertical="center" wrapText="1"/>
      <protection hidden="1"/>
    </xf>
    <xf numFmtId="0" fontId="267" fillId="8" borderId="15" xfId="0" applyNumberFormat="1" applyFont="1" applyFill="1" applyBorder="1" applyAlignment="1" applyProtection="1">
      <alignment horizontal="center" vertical="center" wrapText="1"/>
      <protection hidden="1"/>
    </xf>
    <xf numFmtId="0" fontId="267" fillId="8" borderId="23" xfId="0" applyNumberFormat="1" applyFont="1" applyFill="1" applyBorder="1" applyAlignment="1" applyProtection="1">
      <alignment horizontal="center" vertical="center" wrapText="1"/>
      <protection hidden="1"/>
    </xf>
    <xf numFmtId="0" fontId="3" fillId="8" borderId="34" xfId="0" applyFont="1" applyFill="1" applyBorder="1" applyAlignment="1" applyProtection="1">
      <alignment horizontal="center" vertical="center" wrapText="1"/>
      <protection hidden="1"/>
    </xf>
    <xf numFmtId="0" fontId="3" fillId="8" borderId="79" xfId="0" applyFont="1" applyFill="1" applyBorder="1" applyAlignment="1" applyProtection="1">
      <alignment horizontal="center" vertical="center" wrapText="1"/>
      <protection hidden="1"/>
    </xf>
    <xf numFmtId="0" fontId="3" fillId="8" borderId="137" xfId="0" applyFont="1" applyFill="1" applyBorder="1" applyAlignment="1" applyProtection="1">
      <alignment horizontal="center" vertical="center" wrapText="1"/>
      <protection hidden="1"/>
    </xf>
    <xf numFmtId="0" fontId="35" fillId="13" borderId="156" xfId="0" applyNumberFormat="1" applyFont="1" applyFill="1" applyBorder="1" applyAlignment="1" applyProtection="1">
      <alignment horizontal="center" vertical="center" wrapText="1"/>
      <protection hidden="1"/>
    </xf>
    <xf numFmtId="0" fontId="35" fillId="13" borderId="14" xfId="0" applyNumberFormat="1" applyFont="1" applyFill="1" applyBorder="1" applyAlignment="1" applyProtection="1">
      <alignment horizontal="center" vertical="center" wrapText="1"/>
      <protection hidden="1"/>
    </xf>
    <xf numFmtId="0" fontId="35" fillId="13" borderId="185" xfId="0" applyNumberFormat="1" applyFont="1" applyFill="1" applyBorder="1" applyAlignment="1" applyProtection="1">
      <alignment horizontal="center" vertical="center" wrapText="1"/>
      <protection hidden="1"/>
    </xf>
    <xf numFmtId="0" fontId="35" fillId="13" borderId="50" xfId="0" applyNumberFormat="1" applyFont="1" applyFill="1" applyBorder="1" applyAlignment="1" applyProtection="1">
      <alignment horizontal="center" vertical="center" wrapText="1"/>
      <protection hidden="1"/>
    </xf>
    <xf numFmtId="0" fontId="58" fillId="8" borderId="190" xfId="0" applyFont="1" applyFill="1" applyBorder="1" applyAlignment="1" applyProtection="1">
      <alignment horizontal="center" vertical="center" wrapText="1"/>
      <protection hidden="1"/>
    </xf>
    <xf numFmtId="0" fontId="58" fillId="8" borderId="29" xfId="0" applyFont="1" applyFill="1" applyBorder="1" applyAlignment="1" applyProtection="1">
      <alignment horizontal="center" vertical="center" wrapText="1"/>
      <protection hidden="1"/>
    </xf>
    <xf numFmtId="0" fontId="58" fillId="8" borderId="165" xfId="0" applyFont="1" applyFill="1" applyBorder="1" applyAlignment="1" applyProtection="1">
      <alignment horizontal="center" vertical="center" wrapText="1"/>
      <protection hidden="1"/>
    </xf>
    <xf numFmtId="0" fontId="21" fillId="13" borderId="165" xfId="0" applyFont="1" applyFill="1" applyBorder="1" applyAlignment="1" applyProtection="1">
      <alignment horizontal="center" vertical="center" wrapText="1"/>
      <protection hidden="1"/>
    </xf>
    <xf numFmtId="0" fontId="56" fillId="12" borderId="7" xfId="0" applyFont="1" applyFill="1" applyBorder="1" applyAlignment="1" applyProtection="1">
      <alignment horizontal="center" vertical="center" wrapText="1"/>
      <protection hidden="1"/>
    </xf>
    <xf numFmtId="0" fontId="56" fillId="12" borderId="29" xfId="0" applyFont="1" applyFill="1" applyBorder="1" applyAlignment="1" applyProtection="1">
      <alignment horizontal="center" vertical="center" wrapText="1"/>
      <protection hidden="1"/>
    </xf>
    <xf numFmtId="0" fontId="56" fillId="12" borderId="164" xfId="0" applyFont="1" applyFill="1" applyBorder="1" applyAlignment="1" applyProtection="1">
      <alignment horizontal="center" vertical="center" wrapText="1"/>
      <protection hidden="1"/>
    </xf>
    <xf numFmtId="0" fontId="21" fillId="12" borderId="3" xfId="0" applyFont="1" applyFill="1" applyBorder="1" applyAlignment="1" applyProtection="1">
      <alignment horizontal="center" vertical="center" wrapText="1"/>
      <protection hidden="1"/>
    </xf>
    <xf numFmtId="0" fontId="21" fillId="12" borderId="164" xfId="0" applyFont="1" applyFill="1" applyBorder="1" applyAlignment="1" applyProtection="1">
      <alignment horizontal="center" vertical="center" wrapText="1"/>
      <protection hidden="1"/>
    </xf>
    <xf numFmtId="0" fontId="56" fillId="13" borderId="3" xfId="0" applyFont="1" applyFill="1" applyBorder="1" applyAlignment="1" applyProtection="1">
      <alignment horizontal="center" vertical="center" wrapText="1"/>
      <protection hidden="1"/>
    </xf>
    <xf numFmtId="0" fontId="56" fillId="13" borderId="164" xfId="0" applyFont="1" applyFill="1" applyBorder="1" applyAlignment="1" applyProtection="1">
      <alignment horizontal="center" vertical="center" wrapText="1"/>
      <protection hidden="1"/>
    </xf>
    <xf numFmtId="0" fontId="24" fillId="12" borderId="79" xfId="0" applyFont="1" applyFill="1" applyBorder="1" applyAlignment="1" applyProtection="1">
      <alignment horizontal="center" vertical="center" wrapText="1"/>
      <protection hidden="1"/>
    </xf>
    <xf numFmtId="0" fontId="24" fillId="12" borderId="152" xfId="0" applyFont="1" applyFill="1" applyBorder="1" applyAlignment="1" applyProtection="1">
      <alignment horizontal="center" vertical="center" wrapText="1"/>
      <protection hidden="1"/>
    </xf>
    <xf numFmtId="0" fontId="56" fillId="13" borderId="29" xfId="0" applyFont="1" applyFill="1" applyBorder="1" applyAlignment="1" applyProtection="1">
      <alignment horizontal="center" vertical="center" wrapText="1"/>
      <protection hidden="1"/>
    </xf>
    <xf numFmtId="0" fontId="69" fillId="13" borderId="109" xfId="0" applyFont="1" applyFill="1" applyBorder="1" applyAlignment="1" applyProtection="1">
      <alignment horizontal="center" vertical="center" wrapText="1"/>
      <protection hidden="1"/>
    </xf>
    <xf numFmtId="0" fontId="69" fillId="13" borderId="41" xfId="0" applyFont="1" applyFill="1" applyBorder="1" applyAlignment="1" applyProtection="1">
      <alignment horizontal="center" vertical="center" wrapText="1"/>
      <protection hidden="1"/>
    </xf>
    <xf numFmtId="0" fontId="224" fillId="8" borderId="40" xfId="0" applyNumberFormat="1" applyFont="1" applyFill="1" applyBorder="1" applyAlignment="1" applyProtection="1">
      <alignment horizontal="center" vertical="center" wrapText="1"/>
      <protection hidden="1"/>
    </xf>
    <xf numFmtId="0" fontId="224" fillId="8" borderId="41" xfId="0" applyNumberFormat="1" applyFont="1" applyFill="1" applyBorder="1" applyAlignment="1" applyProtection="1">
      <alignment horizontal="center" vertical="center" wrapText="1"/>
      <protection hidden="1"/>
    </xf>
    <xf numFmtId="0" fontId="224" fillId="8" borderId="88" xfId="0" applyNumberFormat="1" applyFont="1" applyFill="1" applyBorder="1" applyAlignment="1" applyProtection="1">
      <alignment horizontal="center" vertical="center" wrapText="1"/>
      <protection hidden="1"/>
    </xf>
    <xf numFmtId="0" fontId="224" fillId="8" borderId="13" xfId="0" applyNumberFormat="1" applyFont="1" applyFill="1" applyBorder="1" applyAlignment="1" applyProtection="1">
      <alignment horizontal="center" vertical="center" wrapText="1"/>
      <protection hidden="1"/>
    </xf>
    <xf numFmtId="0" fontId="224" fillId="8" borderId="0" xfId="0" applyNumberFormat="1" applyFont="1" applyFill="1" applyBorder="1" applyAlignment="1" applyProtection="1">
      <alignment horizontal="center" vertical="center" wrapText="1"/>
      <protection hidden="1"/>
    </xf>
    <xf numFmtId="0" fontId="224" fillId="8" borderId="90" xfId="0" applyNumberFormat="1" applyFont="1" applyFill="1" applyBorder="1" applyAlignment="1" applyProtection="1">
      <alignment horizontal="center" vertical="center" wrapText="1"/>
      <protection hidden="1"/>
    </xf>
    <xf numFmtId="0" fontId="272" fillId="8" borderId="13" xfId="0" applyNumberFormat="1" applyFont="1" applyFill="1" applyBorder="1" applyAlignment="1" applyProtection="1">
      <alignment horizontal="center" vertical="center" wrapText="1"/>
      <protection hidden="1"/>
    </xf>
    <xf numFmtId="0" fontId="272" fillId="8" borderId="0" xfId="0" applyNumberFormat="1" applyFont="1" applyFill="1" applyBorder="1" applyAlignment="1" applyProtection="1">
      <alignment horizontal="center" vertical="center" wrapText="1"/>
      <protection hidden="1"/>
    </xf>
    <xf numFmtId="0" fontId="272" fillId="8" borderId="90" xfId="0" applyNumberFormat="1" applyFont="1" applyFill="1" applyBorder="1" applyAlignment="1" applyProtection="1">
      <alignment horizontal="center" vertical="center" wrapText="1"/>
      <protection hidden="1"/>
    </xf>
    <xf numFmtId="0" fontId="272" fillId="8" borderId="48" xfId="0" applyNumberFormat="1" applyFont="1" applyFill="1" applyBorder="1" applyAlignment="1" applyProtection="1">
      <alignment horizontal="center" vertical="center" wrapText="1"/>
      <protection hidden="1"/>
    </xf>
    <xf numFmtId="0" fontId="272" fillId="8" borderId="15" xfId="0" applyNumberFormat="1" applyFont="1" applyFill="1" applyBorder="1" applyAlignment="1" applyProtection="1">
      <alignment horizontal="center" vertical="center" wrapText="1"/>
      <protection hidden="1"/>
    </xf>
    <xf numFmtId="0" fontId="272" fillId="8" borderId="23" xfId="0" applyNumberFormat="1" applyFont="1" applyFill="1" applyBorder="1" applyAlignment="1" applyProtection="1">
      <alignment horizontal="center" vertical="center" wrapText="1"/>
      <protection hidden="1"/>
    </xf>
    <xf numFmtId="0" fontId="188" fillId="12" borderId="143" xfId="0" applyNumberFormat="1" applyFont="1" applyFill="1" applyBorder="1" applyAlignment="1" applyProtection="1">
      <alignment horizontal="center" vertical="center" textRotation="255"/>
      <protection hidden="1"/>
    </xf>
    <xf numFmtId="0" fontId="188" fillId="12" borderId="144" xfId="0" applyNumberFormat="1" applyFont="1" applyFill="1" applyBorder="1" applyAlignment="1" applyProtection="1">
      <alignment horizontal="center" vertical="center" textRotation="255"/>
      <protection hidden="1"/>
    </xf>
    <xf numFmtId="0" fontId="188" fillId="12" borderId="145" xfId="0" applyNumberFormat="1" applyFont="1" applyFill="1" applyBorder="1" applyAlignment="1" applyProtection="1">
      <alignment horizontal="center" vertical="center" textRotation="255"/>
      <protection hidden="1"/>
    </xf>
    <xf numFmtId="0" fontId="40" fillId="13" borderId="157" xfId="0" applyNumberFormat="1" applyFont="1" applyFill="1" applyBorder="1" applyAlignment="1" applyProtection="1">
      <alignment horizontal="center" vertical="center"/>
      <protection hidden="1"/>
    </xf>
    <xf numFmtId="0" fontId="40" fillId="13" borderId="153" xfId="0" applyNumberFormat="1" applyFont="1" applyFill="1" applyBorder="1" applyAlignment="1" applyProtection="1">
      <alignment horizontal="center" vertical="center"/>
      <protection hidden="1"/>
    </xf>
    <xf numFmtId="0" fontId="40" fillId="12" borderId="156" xfId="0" applyNumberFormat="1" applyFont="1" applyFill="1" applyBorder="1" applyAlignment="1" applyProtection="1">
      <alignment horizontal="center" vertical="center"/>
      <protection hidden="1"/>
    </xf>
    <xf numFmtId="0" fontId="40" fillId="12" borderId="126" xfId="0" applyNumberFormat="1" applyFont="1" applyFill="1" applyBorder="1" applyAlignment="1" applyProtection="1">
      <alignment horizontal="center" vertical="center"/>
      <protection hidden="1"/>
    </xf>
    <xf numFmtId="0" fontId="40" fillId="13" borderId="156" xfId="0" applyNumberFormat="1" applyFont="1" applyFill="1" applyBorder="1" applyAlignment="1" applyProtection="1">
      <alignment horizontal="center" vertical="center"/>
      <protection hidden="1"/>
    </xf>
    <xf numFmtId="0" fontId="40" fillId="13" borderId="126" xfId="0" applyNumberFormat="1" applyFont="1" applyFill="1" applyBorder="1" applyAlignment="1" applyProtection="1">
      <alignment horizontal="center" vertical="center"/>
      <protection hidden="1"/>
    </xf>
    <xf numFmtId="0" fontId="21" fillId="11" borderId="113" xfId="0" applyFont="1" applyFill="1" applyBorder="1" applyAlignment="1" applyProtection="1">
      <alignment horizontal="center" vertical="center"/>
      <protection hidden="1"/>
    </xf>
    <xf numFmtId="0" fontId="21" fillId="11" borderId="22" xfId="0" applyFont="1" applyFill="1" applyBorder="1" applyAlignment="1" applyProtection="1">
      <alignment horizontal="center" vertical="center"/>
      <protection hidden="1"/>
    </xf>
    <xf numFmtId="0" fontId="21" fillId="11" borderId="28" xfId="0" applyFont="1" applyFill="1" applyBorder="1" applyAlignment="1" applyProtection="1">
      <alignment horizontal="center" vertical="center"/>
      <protection hidden="1"/>
    </xf>
    <xf numFmtId="0" fontId="21" fillId="13" borderId="112" xfId="0" applyFont="1" applyFill="1" applyBorder="1" applyAlignment="1" applyProtection="1">
      <alignment horizontal="center" vertical="center"/>
      <protection hidden="1"/>
    </xf>
    <xf numFmtId="0" fontId="21" fillId="13" borderId="15" xfId="0" applyFont="1" applyFill="1" applyBorder="1" applyAlignment="1" applyProtection="1">
      <alignment horizontal="center" vertical="center"/>
      <protection hidden="1"/>
    </xf>
    <xf numFmtId="0" fontId="21" fillId="13" borderId="23" xfId="0" applyFont="1" applyFill="1" applyBorder="1" applyAlignment="1" applyProtection="1">
      <alignment horizontal="center" vertical="center"/>
      <protection hidden="1"/>
    </xf>
    <xf numFmtId="0" fontId="21" fillId="12" borderId="186" xfId="0" applyFont="1" applyFill="1" applyBorder="1" applyAlignment="1" applyProtection="1">
      <alignment horizontal="center" vertical="center" wrapText="1"/>
      <protection hidden="1"/>
    </xf>
    <xf numFmtId="0" fontId="21" fillId="12" borderId="121" xfId="0" applyFont="1" applyFill="1" applyBorder="1" applyAlignment="1" applyProtection="1">
      <alignment horizontal="center" vertical="center" wrapText="1"/>
      <protection hidden="1"/>
    </xf>
    <xf numFmtId="0" fontId="21" fillId="12" borderId="21" xfId="0" applyFont="1" applyFill="1" applyBorder="1" applyAlignment="1" applyProtection="1">
      <alignment horizontal="center" vertical="center" wrapText="1"/>
      <protection hidden="1"/>
    </xf>
    <xf numFmtId="0" fontId="24" fillId="11" borderId="113" xfId="0" applyFont="1" applyFill="1" applyBorder="1" applyAlignment="1" applyProtection="1">
      <alignment horizontal="center" vertical="center"/>
      <protection hidden="1"/>
    </xf>
    <xf numFmtId="0" fontId="24" fillId="11" borderId="22" xfId="0" applyFont="1" applyFill="1" applyBorder="1" applyAlignment="1" applyProtection="1">
      <alignment horizontal="center" vertical="center"/>
      <protection hidden="1"/>
    </xf>
    <xf numFmtId="0" fontId="24" fillId="11" borderId="34" xfId="0" applyFont="1" applyFill="1" applyBorder="1" applyAlignment="1" applyProtection="1">
      <alignment horizontal="center" vertical="center"/>
      <protection hidden="1"/>
    </xf>
    <xf numFmtId="0" fontId="69" fillId="12" borderId="89" xfId="0" applyFont="1" applyFill="1" applyBorder="1" applyAlignment="1" applyProtection="1">
      <alignment horizontal="center" vertical="center" wrapText="1"/>
      <protection hidden="1"/>
    </xf>
    <xf numFmtId="0" fontId="69" fillId="12" borderId="0" xfId="0" applyFont="1" applyFill="1" applyBorder="1" applyAlignment="1" applyProtection="1">
      <alignment horizontal="center" vertical="center" wrapText="1"/>
      <protection hidden="1"/>
    </xf>
    <xf numFmtId="0" fontId="69" fillId="12" borderId="90" xfId="0" applyFont="1" applyFill="1" applyBorder="1" applyAlignment="1" applyProtection="1">
      <alignment horizontal="center" vertical="center" wrapText="1"/>
      <protection hidden="1"/>
    </xf>
    <xf numFmtId="0" fontId="21" fillId="13" borderId="156" xfId="0" applyFont="1" applyFill="1" applyBorder="1" applyAlignment="1" applyProtection="1">
      <alignment horizontal="center" vertical="center"/>
      <protection hidden="1"/>
    </xf>
    <xf numFmtId="0" fontId="21" fillId="13" borderId="35" xfId="0" applyFont="1" applyFill="1" applyBorder="1" applyAlignment="1" applyProtection="1">
      <alignment horizontal="center" vertical="center"/>
      <protection hidden="1"/>
    </xf>
    <xf numFmtId="0" fontId="21" fillId="13" borderId="14" xfId="0" applyFont="1" applyFill="1" applyBorder="1" applyAlignment="1" applyProtection="1">
      <alignment horizontal="center" vertical="center"/>
      <protection hidden="1"/>
    </xf>
    <xf numFmtId="0" fontId="21" fillId="12" borderId="156" xfId="0" applyFont="1" applyFill="1" applyBorder="1" applyAlignment="1" applyProtection="1">
      <alignment horizontal="center" vertical="center" wrapText="1"/>
      <protection hidden="1"/>
    </xf>
    <xf numFmtId="0" fontId="21" fillId="12" borderId="35" xfId="0" applyFont="1" applyFill="1" applyBorder="1" applyAlignment="1" applyProtection="1">
      <alignment horizontal="center" vertical="center" wrapText="1"/>
      <protection hidden="1"/>
    </xf>
    <xf numFmtId="0" fontId="21" fillId="12" borderId="14" xfId="0" applyFont="1" applyFill="1" applyBorder="1" applyAlignment="1" applyProtection="1">
      <alignment horizontal="center" vertical="center" wrapText="1"/>
      <protection hidden="1"/>
    </xf>
    <xf numFmtId="0" fontId="24" fillId="11" borderId="7" xfId="0" applyFont="1" applyFill="1" applyBorder="1" applyAlignment="1" applyProtection="1">
      <alignment horizontal="center" vertical="center"/>
      <protection hidden="1"/>
    </xf>
    <xf numFmtId="0" fontId="24" fillId="11" borderId="29" xfId="0" applyFont="1" applyFill="1" applyBorder="1" applyAlignment="1" applyProtection="1">
      <alignment horizontal="center" vertical="center"/>
      <protection hidden="1"/>
    </xf>
    <xf numFmtId="0" fontId="24" fillId="11" borderId="138" xfId="0" applyFont="1" applyFill="1" applyBorder="1" applyAlignment="1" applyProtection="1">
      <alignment horizontal="center" vertical="center"/>
      <protection hidden="1"/>
    </xf>
    <xf numFmtId="170" fontId="249" fillId="12" borderId="73" xfId="0" applyNumberFormat="1" applyFont="1" applyFill="1" applyBorder="1" applyAlignment="1" applyProtection="1">
      <alignment horizontal="center" vertical="center"/>
      <protection hidden="1"/>
    </xf>
    <xf numFmtId="170" fontId="249" fillId="12" borderId="122" xfId="0" applyNumberFormat="1" applyFont="1" applyFill="1" applyBorder="1" applyAlignment="1" applyProtection="1">
      <alignment horizontal="center" vertical="center"/>
      <protection hidden="1"/>
    </xf>
    <xf numFmtId="1" fontId="209" fillId="8" borderId="37" xfId="0" applyNumberFormat="1" applyFont="1" applyFill="1" applyBorder="1" applyAlignment="1" applyProtection="1">
      <alignment horizontal="center" vertical="center" wrapText="1"/>
      <protection hidden="1"/>
    </xf>
    <xf numFmtId="0" fontId="209" fillId="8" borderId="38" xfId="0" applyFont="1" applyFill="1" applyBorder="1" applyAlignment="1" applyProtection="1">
      <alignment horizontal="center" vertical="center" wrapText="1"/>
      <protection hidden="1"/>
    </xf>
    <xf numFmtId="0" fontId="209" fillId="8" borderId="50" xfId="0" applyFont="1" applyFill="1" applyBorder="1" applyAlignment="1" applyProtection="1">
      <alignment horizontal="center" vertical="center" wrapText="1"/>
      <protection hidden="1"/>
    </xf>
    <xf numFmtId="0" fontId="130" fillId="13" borderId="75" xfId="0" applyNumberFormat="1" applyFont="1" applyFill="1" applyBorder="1" applyAlignment="1" applyProtection="1">
      <alignment horizontal="center" vertical="center"/>
      <protection hidden="1"/>
    </xf>
    <xf numFmtId="0" fontId="130" fillId="13" borderId="130" xfId="0" applyNumberFormat="1" applyFont="1" applyFill="1" applyBorder="1" applyAlignment="1" applyProtection="1">
      <alignment horizontal="center" vertical="center"/>
      <protection hidden="1"/>
    </xf>
    <xf numFmtId="0" fontId="15" fillId="13" borderId="39" xfId="0" applyFont="1" applyFill="1" applyBorder="1" applyAlignment="1" applyProtection="1">
      <alignment horizontal="center" vertical="center" wrapText="1"/>
      <protection hidden="1"/>
    </xf>
    <xf numFmtId="0" fontId="15" fillId="13" borderId="51" xfId="0" applyFont="1" applyFill="1" applyBorder="1" applyAlignment="1" applyProtection="1">
      <alignment horizontal="center" vertical="center" wrapText="1"/>
      <protection hidden="1"/>
    </xf>
    <xf numFmtId="0" fontId="15" fillId="13" borderId="36" xfId="0" applyFont="1" applyFill="1" applyBorder="1" applyAlignment="1" applyProtection="1">
      <alignment horizontal="center" vertical="center" wrapText="1"/>
      <protection hidden="1"/>
    </xf>
    <xf numFmtId="0" fontId="15" fillId="13" borderId="20" xfId="0" applyFont="1" applyFill="1" applyBorder="1" applyAlignment="1" applyProtection="1">
      <alignment horizontal="center" vertical="center" wrapText="1"/>
      <protection hidden="1"/>
    </xf>
    <xf numFmtId="0" fontId="15" fillId="13" borderId="64" xfId="0" applyFont="1" applyFill="1" applyBorder="1" applyAlignment="1" applyProtection="1">
      <alignment horizontal="center" vertical="center" wrapText="1"/>
      <protection hidden="1"/>
    </xf>
    <xf numFmtId="0" fontId="15" fillId="13" borderId="58" xfId="0" applyFont="1" applyFill="1" applyBorder="1" applyAlignment="1" applyProtection="1">
      <alignment horizontal="center" vertical="center" wrapText="1"/>
      <protection hidden="1"/>
    </xf>
    <xf numFmtId="0" fontId="3" fillId="13" borderId="184" xfId="0" applyFont="1" applyFill="1" applyBorder="1" applyAlignment="1" applyProtection="1">
      <alignment horizontal="center" vertical="center" wrapText="1"/>
      <protection hidden="1"/>
    </xf>
    <xf numFmtId="0" fontId="3" fillId="13" borderId="134" xfId="0" applyFont="1" applyFill="1" applyBorder="1" applyAlignment="1" applyProtection="1">
      <alignment horizontal="center" vertical="center" wrapText="1"/>
      <protection hidden="1"/>
    </xf>
    <xf numFmtId="0" fontId="15" fillId="13" borderId="78" xfId="0" applyFont="1" applyFill="1" applyBorder="1" applyAlignment="1" applyProtection="1">
      <alignment horizontal="center" vertical="center" wrapText="1"/>
      <protection hidden="1"/>
    </xf>
    <xf numFmtId="0" fontId="15" fillId="13" borderId="19" xfId="0" applyFont="1" applyFill="1" applyBorder="1" applyAlignment="1" applyProtection="1">
      <alignment horizontal="center" vertical="center" wrapText="1"/>
      <protection hidden="1"/>
    </xf>
    <xf numFmtId="167" fontId="267" fillId="13" borderId="172" xfId="0" applyNumberFormat="1" applyFont="1" applyFill="1" applyBorder="1" applyAlignment="1" applyProtection="1">
      <alignment horizontal="center" vertical="center" wrapText="1"/>
      <protection hidden="1"/>
    </xf>
    <xf numFmtId="0" fontId="267" fillId="13" borderId="171" xfId="0" applyFont="1" applyFill="1" applyBorder="1" applyAlignment="1" applyProtection="1">
      <alignment horizontal="center" vertical="center" wrapText="1"/>
      <protection hidden="1"/>
    </xf>
    <xf numFmtId="0" fontId="267" fillId="13" borderId="182" xfId="0" applyFont="1" applyFill="1" applyBorder="1" applyAlignment="1" applyProtection="1">
      <alignment horizontal="center" vertical="center" wrapText="1"/>
      <protection hidden="1"/>
    </xf>
    <xf numFmtId="0" fontId="30" fillId="12" borderId="40" xfId="0" applyFont="1" applyFill="1" applyBorder="1" applyAlignment="1" applyProtection="1">
      <alignment horizontal="center" vertical="center"/>
      <protection hidden="1"/>
    </xf>
    <xf numFmtId="0" fontId="30" fillId="12" borderId="41" xfId="0" applyFont="1" applyFill="1" applyBorder="1" applyAlignment="1" applyProtection="1">
      <alignment horizontal="center" vertical="center"/>
      <protection hidden="1"/>
    </xf>
    <xf numFmtId="0" fontId="30" fillId="12" borderId="88" xfId="0" applyFont="1" applyFill="1" applyBorder="1" applyAlignment="1" applyProtection="1">
      <alignment horizontal="center" vertical="center"/>
      <protection hidden="1"/>
    </xf>
    <xf numFmtId="0" fontId="30" fillId="12" borderId="13" xfId="0" applyFont="1" applyFill="1" applyBorder="1" applyAlignment="1" applyProtection="1">
      <alignment horizontal="center" vertical="center"/>
      <protection hidden="1"/>
    </xf>
    <xf numFmtId="0" fontId="30" fillId="12" borderId="0" xfId="0" applyFont="1" applyFill="1" applyBorder="1" applyAlignment="1" applyProtection="1">
      <alignment horizontal="center" vertical="center"/>
      <protection hidden="1"/>
    </xf>
    <xf numFmtId="0" fontId="30" fillId="12" borderId="90" xfId="0" applyFont="1" applyFill="1" applyBorder="1" applyAlignment="1" applyProtection="1">
      <alignment horizontal="center" vertical="center"/>
      <protection hidden="1"/>
    </xf>
    <xf numFmtId="0" fontId="6" fillId="13" borderId="158" xfId="0" applyNumberFormat="1" applyFont="1" applyFill="1" applyBorder="1" applyAlignment="1" applyProtection="1">
      <alignment horizontal="center" vertical="center" wrapText="1"/>
      <protection hidden="1"/>
    </xf>
    <xf numFmtId="0" fontId="6" fillId="13" borderId="104" xfId="0" applyNumberFormat="1" applyFont="1" applyFill="1" applyBorder="1" applyAlignment="1" applyProtection="1">
      <alignment horizontal="center" vertical="center" wrapText="1"/>
      <protection hidden="1"/>
    </xf>
    <xf numFmtId="0" fontId="6" fillId="12" borderId="156" xfId="0" applyNumberFormat="1" applyFont="1" applyFill="1" applyBorder="1" applyAlignment="1" applyProtection="1">
      <alignment horizontal="center" vertical="center" wrapText="1"/>
      <protection hidden="1"/>
    </xf>
    <xf numFmtId="0" fontId="6" fillId="12" borderId="14" xfId="0" applyNumberFormat="1" applyFont="1" applyFill="1" applyBorder="1" applyAlignment="1" applyProtection="1">
      <alignment horizontal="center" vertical="center" wrapText="1"/>
      <protection hidden="1"/>
    </xf>
    <xf numFmtId="0" fontId="6" fillId="12" borderId="186" xfId="0" applyNumberFormat="1" applyFont="1" applyFill="1" applyBorder="1" applyAlignment="1" applyProtection="1">
      <alignment horizontal="center" vertical="center" wrapText="1"/>
      <protection hidden="1"/>
    </xf>
    <xf numFmtId="0" fontId="6" fillId="12" borderId="21" xfId="0" applyNumberFormat="1" applyFont="1" applyFill="1" applyBorder="1" applyAlignment="1" applyProtection="1">
      <alignment horizontal="center" vertical="center" wrapText="1"/>
      <protection hidden="1"/>
    </xf>
    <xf numFmtId="0" fontId="200" fillId="15" borderId="113" xfId="0" applyNumberFormat="1" applyFont="1" applyFill="1" applyBorder="1" applyAlignment="1" applyProtection="1">
      <alignment horizontal="center" vertical="center" wrapText="1"/>
      <protection hidden="1"/>
    </xf>
    <xf numFmtId="0" fontId="200" fillId="15" borderId="28" xfId="0" applyNumberFormat="1" applyFont="1" applyFill="1" applyBorder="1" applyAlignment="1" applyProtection="1">
      <alignment horizontal="center" vertical="center" wrapText="1"/>
      <protection hidden="1"/>
    </xf>
    <xf numFmtId="0" fontId="200" fillId="15" borderId="112" xfId="0" applyNumberFormat="1" applyFont="1" applyFill="1" applyBorder="1" applyAlignment="1" applyProtection="1">
      <alignment horizontal="center" vertical="center" wrapText="1"/>
      <protection hidden="1"/>
    </xf>
    <xf numFmtId="0" fontId="200" fillId="15" borderId="23" xfId="0" applyNumberFormat="1" applyFont="1" applyFill="1" applyBorder="1" applyAlignment="1" applyProtection="1">
      <alignment horizontal="center" vertical="center" wrapText="1"/>
      <protection hidden="1"/>
    </xf>
    <xf numFmtId="0" fontId="6" fillId="13" borderId="156" xfId="0" applyNumberFormat="1" applyFont="1" applyFill="1" applyBorder="1" applyAlignment="1" applyProtection="1">
      <alignment horizontal="center" vertical="center" wrapText="1"/>
      <protection hidden="1"/>
    </xf>
    <xf numFmtId="0" fontId="6" fillId="13" borderId="14" xfId="0" applyNumberFormat="1" applyFont="1" applyFill="1" applyBorder="1" applyAlignment="1" applyProtection="1">
      <alignment horizontal="center" vertical="center" wrapText="1"/>
      <protection hidden="1"/>
    </xf>
    <xf numFmtId="0" fontId="6" fillId="11" borderId="190" xfId="0" applyFont="1" applyFill="1" applyBorder="1" applyAlignment="1" applyProtection="1">
      <alignment horizontal="center" vertical="center" wrapText="1"/>
      <protection hidden="1"/>
    </xf>
    <xf numFmtId="0" fontId="6" fillId="11" borderId="29" xfId="0" applyFont="1" applyFill="1" applyBorder="1" applyAlignment="1" applyProtection="1">
      <alignment horizontal="center" vertical="center" wrapText="1"/>
      <protection hidden="1"/>
    </xf>
    <xf numFmtId="0" fontId="6" fillId="11" borderId="138" xfId="0" applyFont="1" applyFill="1" applyBorder="1" applyAlignment="1" applyProtection="1">
      <alignment horizontal="center" vertical="center" wrapText="1"/>
      <protection hidden="1"/>
    </xf>
    <xf numFmtId="170" fontId="129" fillId="12" borderId="73" xfId="0" applyNumberFormat="1" applyFont="1" applyFill="1" applyBorder="1" applyAlignment="1" applyProtection="1">
      <alignment horizontal="center" vertical="center"/>
      <protection hidden="1"/>
    </xf>
    <xf numFmtId="170" fontId="129" fillId="12" borderId="122" xfId="0" applyNumberFormat="1" applyFont="1" applyFill="1" applyBorder="1" applyAlignment="1" applyProtection="1">
      <alignment horizontal="center" vertical="center"/>
      <protection hidden="1"/>
    </xf>
    <xf numFmtId="0" fontId="164" fillId="13" borderId="37" xfId="0" applyFont="1" applyFill="1" applyBorder="1" applyAlignment="1" applyProtection="1">
      <alignment horizontal="center" vertical="center" wrapText="1"/>
      <protection hidden="1"/>
    </xf>
    <xf numFmtId="0" fontId="164" fillId="13" borderId="38" xfId="0" applyFont="1" applyFill="1" applyBorder="1" applyAlignment="1" applyProtection="1">
      <alignment horizontal="center" vertical="center" wrapText="1"/>
      <protection hidden="1"/>
    </xf>
    <xf numFmtId="0" fontId="164" fillId="13" borderId="111" xfId="0" applyFont="1" applyFill="1" applyBorder="1" applyAlignment="1" applyProtection="1">
      <alignment horizontal="center" vertical="center" wrapText="1"/>
      <protection hidden="1"/>
    </xf>
    <xf numFmtId="14" fontId="164" fillId="13" borderId="74" xfId="0" applyNumberFormat="1" applyFont="1" applyFill="1" applyBorder="1" applyAlignment="1" applyProtection="1">
      <alignment horizontal="center" vertical="center" wrapText="1"/>
      <protection hidden="1"/>
    </xf>
    <xf numFmtId="14" fontId="164" fillId="13" borderId="61" xfId="0" applyNumberFormat="1" applyFont="1" applyFill="1" applyBorder="1" applyAlignment="1" applyProtection="1">
      <alignment horizontal="center" vertical="center" wrapText="1"/>
      <protection hidden="1"/>
    </xf>
    <xf numFmtId="0" fontId="29" fillId="8" borderId="181" xfId="0" applyFont="1" applyFill="1" applyBorder="1" applyAlignment="1" applyProtection="1">
      <alignment horizontal="center" vertical="center" wrapText="1"/>
      <protection hidden="1"/>
    </xf>
    <xf numFmtId="0" fontId="37" fillId="8" borderId="171" xfId="0" applyFont="1" applyFill="1" applyBorder="1" applyProtection="1">
      <alignment vertical="center"/>
      <protection hidden="1"/>
    </xf>
    <xf numFmtId="0" fontId="37" fillId="8" borderId="182" xfId="0" applyFont="1" applyFill="1" applyBorder="1" applyProtection="1">
      <alignment vertical="center"/>
      <protection hidden="1"/>
    </xf>
    <xf numFmtId="167" fontId="172" fillId="12" borderId="110" xfId="0" applyNumberFormat="1" applyFont="1" applyFill="1" applyBorder="1" applyAlignment="1" applyProtection="1">
      <alignment horizontal="center" vertical="center" wrapText="1"/>
      <protection hidden="1"/>
    </xf>
    <xf numFmtId="167" fontId="172" fillId="12" borderId="194" xfId="0" applyNumberFormat="1" applyFont="1" applyFill="1" applyBorder="1" applyAlignment="1" applyProtection="1">
      <alignment horizontal="center" vertical="center" wrapText="1"/>
      <protection hidden="1"/>
    </xf>
    <xf numFmtId="167" fontId="172" fillId="12" borderId="122" xfId="0" applyNumberFormat="1" applyFont="1" applyFill="1" applyBorder="1" applyAlignment="1" applyProtection="1">
      <alignment horizontal="center" vertical="center" wrapText="1"/>
      <protection hidden="1"/>
    </xf>
    <xf numFmtId="167" fontId="172" fillId="12" borderId="128" xfId="0" applyNumberFormat="1" applyFont="1" applyFill="1" applyBorder="1" applyAlignment="1" applyProtection="1">
      <alignment horizontal="center" vertical="center" wrapText="1"/>
      <protection hidden="1"/>
    </xf>
    <xf numFmtId="0" fontId="172" fillId="13" borderId="119" xfId="0" applyFont="1" applyFill="1" applyBorder="1" applyAlignment="1" applyProtection="1">
      <alignment horizontal="center" vertical="center" wrapText="1"/>
      <protection hidden="1"/>
    </xf>
    <xf numFmtId="0" fontId="172" fillId="13" borderId="125" xfId="0" applyFont="1" applyFill="1" applyBorder="1" applyAlignment="1" applyProtection="1">
      <alignment horizontal="center" vertical="center" wrapText="1"/>
      <protection hidden="1"/>
    </xf>
    <xf numFmtId="0" fontId="172" fillId="12" borderId="74" xfId="0" applyFont="1" applyFill="1" applyBorder="1" applyAlignment="1" applyProtection="1">
      <alignment horizontal="center" vertical="center" wrapText="1"/>
      <protection hidden="1"/>
    </xf>
    <xf numFmtId="0" fontId="172" fillId="12" borderId="126" xfId="0" applyFont="1" applyFill="1" applyBorder="1" applyAlignment="1" applyProtection="1">
      <alignment horizontal="center" vertical="center" wrapText="1"/>
      <protection hidden="1"/>
    </xf>
    <xf numFmtId="0" fontId="172" fillId="13" borderId="74" xfId="0" applyFont="1" applyFill="1" applyBorder="1" applyAlignment="1" applyProtection="1">
      <alignment horizontal="center" vertical="center" wrapText="1"/>
      <protection hidden="1"/>
    </xf>
    <xf numFmtId="0" fontId="172" fillId="13" borderId="126" xfId="0" applyFont="1" applyFill="1" applyBorder="1" applyAlignment="1" applyProtection="1">
      <alignment horizontal="center" vertical="center" wrapText="1"/>
      <protection hidden="1"/>
    </xf>
    <xf numFmtId="0" fontId="172" fillId="13" borderId="76" xfId="0" applyFont="1" applyFill="1" applyBorder="1" applyAlignment="1" applyProtection="1">
      <alignment horizontal="center" vertical="center" wrapText="1"/>
      <protection hidden="1"/>
    </xf>
    <xf numFmtId="0" fontId="172" fillId="13" borderId="127" xfId="0" applyFont="1" applyFill="1" applyBorder="1" applyAlignment="1" applyProtection="1">
      <alignment horizontal="center" vertical="center" wrapText="1"/>
      <protection hidden="1"/>
    </xf>
    <xf numFmtId="167" fontId="172" fillId="12" borderId="74" xfId="0" applyNumberFormat="1" applyFont="1" applyFill="1" applyBorder="1" applyAlignment="1" applyProtection="1">
      <alignment horizontal="center" vertical="center" wrapText="1"/>
      <protection hidden="1"/>
    </xf>
    <xf numFmtId="167" fontId="172" fillId="12" borderId="126" xfId="0" applyNumberFormat="1" applyFont="1" applyFill="1" applyBorder="1" applyAlignment="1" applyProtection="1">
      <alignment horizontal="center" vertical="center" wrapText="1"/>
      <protection hidden="1"/>
    </xf>
    <xf numFmtId="167" fontId="172" fillId="13" borderId="74" xfId="0" applyNumberFormat="1" applyFont="1" applyFill="1" applyBorder="1" applyAlignment="1" applyProtection="1">
      <alignment horizontal="center" vertical="center" wrapText="1"/>
      <protection hidden="1"/>
    </xf>
    <xf numFmtId="167" fontId="172" fillId="13" borderId="126" xfId="0" applyNumberFormat="1" applyFont="1" applyFill="1" applyBorder="1" applyAlignment="1" applyProtection="1">
      <alignment horizontal="center" vertical="center" wrapText="1"/>
      <protection hidden="1"/>
    </xf>
    <xf numFmtId="1" fontId="47" fillId="8" borderId="37" xfId="0" applyNumberFormat="1" applyFont="1" applyFill="1" applyBorder="1" applyAlignment="1" applyProtection="1">
      <alignment horizontal="center" vertical="center" wrapText="1"/>
      <protection hidden="1"/>
    </xf>
    <xf numFmtId="0" fontId="47" fillId="8" borderId="38" xfId="0" applyNumberFormat="1" applyFont="1" applyFill="1" applyBorder="1" applyAlignment="1" applyProtection="1">
      <alignment horizontal="center" vertical="center" wrapText="1"/>
      <protection hidden="1"/>
    </xf>
    <xf numFmtId="0" fontId="47" fillId="8" borderId="50" xfId="0" applyNumberFormat="1" applyFont="1" applyFill="1" applyBorder="1" applyAlignment="1" applyProtection="1">
      <alignment horizontal="center" vertical="center" wrapText="1"/>
      <protection hidden="1"/>
    </xf>
    <xf numFmtId="170" fontId="127" fillId="12" borderId="73" xfId="0" applyNumberFormat="1" applyFont="1" applyFill="1" applyBorder="1" applyAlignment="1" applyProtection="1">
      <alignment horizontal="center" vertical="center"/>
      <protection hidden="1"/>
    </xf>
    <xf numFmtId="170" fontId="127" fillId="12" borderId="122" xfId="0" applyNumberFormat="1" applyFont="1" applyFill="1" applyBorder="1" applyAlignment="1" applyProtection="1">
      <alignment horizontal="center" vertical="center"/>
      <protection hidden="1"/>
    </xf>
    <xf numFmtId="0" fontId="6" fillId="13" borderId="13" xfId="0" applyFont="1" applyFill="1" applyBorder="1" applyAlignment="1" applyProtection="1">
      <alignment horizontal="center" vertical="center" wrapText="1"/>
      <protection hidden="1"/>
    </xf>
    <xf numFmtId="0" fontId="6" fillId="13" borderId="90" xfId="0" applyFont="1" applyFill="1" applyBorder="1" applyAlignment="1" applyProtection="1">
      <alignment horizontal="center" vertical="center" wrapText="1"/>
      <protection hidden="1"/>
    </xf>
    <xf numFmtId="175" fontId="78" fillId="13" borderId="36" xfId="0" applyNumberFormat="1" applyFont="1" applyFill="1" applyBorder="1" applyAlignment="1" applyProtection="1">
      <alignment horizontal="center" vertical="center"/>
      <protection hidden="1"/>
    </xf>
    <xf numFmtId="175" fontId="78" fillId="13" borderId="54" xfId="0" applyNumberFormat="1" applyFont="1" applyFill="1" applyBorder="1" applyAlignment="1" applyProtection="1">
      <alignment horizontal="center" vertical="center"/>
      <protection hidden="1"/>
    </xf>
    <xf numFmtId="0" fontId="249" fillId="13" borderId="75" xfId="0" applyNumberFormat="1" applyFont="1" applyFill="1" applyBorder="1" applyAlignment="1" applyProtection="1">
      <alignment horizontal="center" vertical="center"/>
      <protection hidden="1"/>
    </xf>
    <xf numFmtId="0" fontId="249" fillId="13" borderId="130" xfId="0" applyNumberFormat="1" applyFont="1" applyFill="1" applyBorder="1" applyAlignment="1" applyProtection="1">
      <alignment horizontal="center" vertical="center"/>
      <protection hidden="1"/>
    </xf>
    <xf numFmtId="0" fontId="198" fillId="8" borderId="133" xfId="0" applyFont="1" applyFill="1" applyBorder="1" applyAlignment="1" applyProtection="1">
      <alignment horizontal="center" vertical="center" wrapText="1"/>
      <protection hidden="1"/>
    </xf>
    <xf numFmtId="0" fontId="198" fillId="8" borderId="100" xfId="0" applyFont="1" applyFill="1" applyBorder="1" applyAlignment="1" applyProtection="1">
      <alignment horizontal="center" vertical="center" wrapText="1"/>
      <protection hidden="1"/>
    </xf>
    <xf numFmtId="0" fontId="198" fillId="8" borderId="134" xfId="0" applyFont="1" applyFill="1" applyBorder="1" applyAlignment="1" applyProtection="1">
      <alignment horizontal="center" vertical="center" wrapText="1"/>
      <protection hidden="1"/>
    </xf>
    <xf numFmtId="0" fontId="6" fillId="13" borderId="40" xfId="0" applyFont="1" applyFill="1" applyBorder="1" applyAlignment="1" applyProtection="1">
      <alignment horizontal="center" vertical="center" wrapText="1"/>
      <protection hidden="1"/>
    </xf>
    <xf numFmtId="0" fontId="6" fillId="13" borderId="88" xfId="0" applyFont="1" applyFill="1" applyBorder="1" applyAlignment="1" applyProtection="1">
      <alignment horizontal="center" vertical="center" wrapText="1"/>
      <protection hidden="1"/>
    </xf>
    <xf numFmtId="172" fontId="42" fillId="12" borderId="96" xfId="0" applyNumberFormat="1" applyFont="1" applyFill="1" applyBorder="1" applyAlignment="1" applyProtection="1">
      <alignment horizontal="center" vertical="center"/>
      <protection hidden="1"/>
    </xf>
    <xf numFmtId="172" fontId="42" fillId="12" borderId="154" xfId="0" applyNumberFormat="1" applyFont="1" applyFill="1" applyBorder="1" applyAlignment="1" applyProtection="1">
      <alignment horizontal="center" vertical="center"/>
      <protection hidden="1"/>
    </xf>
    <xf numFmtId="172" fontId="42" fillId="12" borderId="123" xfId="0" applyNumberFormat="1" applyFont="1" applyFill="1" applyBorder="1" applyAlignment="1" applyProtection="1">
      <alignment horizontal="center" vertical="center"/>
      <protection hidden="1"/>
    </xf>
    <xf numFmtId="0" fontId="21" fillId="13" borderId="13" xfId="0" applyFont="1" applyFill="1" applyBorder="1" applyAlignment="1" applyProtection="1">
      <alignment horizontal="center" vertical="center" wrapText="1"/>
      <protection hidden="1"/>
    </xf>
    <xf numFmtId="0" fontId="21" fillId="13" borderId="90" xfId="0" applyFont="1" applyFill="1" applyBorder="1" applyAlignment="1" applyProtection="1">
      <alignment horizontal="center" vertical="center" wrapText="1"/>
      <protection hidden="1"/>
    </xf>
    <xf numFmtId="0" fontId="21" fillId="13" borderId="48" xfId="0" applyFont="1" applyFill="1" applyBorder="1" applyAlignment="1" applyProtection="1">
      <alignment horizontal="center" vertical="center" wrapText="1"/>
      <protection hidden="1"/>
    </xf>
    <xf numFmtId="0" fontId="21" fillId="13" borderId="23" xfId="0" applyFont="1" applyFill="1" applyBorder="1" applyAlignment="1" applyProtection="1">
      <alignment horizontal="center" vertical="center" wrapText="1"/>
      <protection hidden="1"/>
    </xf>
    <xf numFmtId="0" fontId="139" fillId="11" borderId="13" xfId="0" applyFont="1" applyFill="1" applyBorder="1" applyAlignment="1" applyProtection="1">
      <alignment horizontal="center" vertical="center" wrapText="1"/>
      <protection hidden="1"/>
    </xf>
    <xf numFmtId="0" fontId="139" fillId="11" borderId="0" xfId="0" applyFont="1" applyFill="1" applyBorder="1" applyAlignment="1" applyProtection="1">
      <alignment horizontal="center" vertical="center" wrapText="1"/>
      <protection hidden="1"/>
    </xf>
    <xf numFmtId="0" fontId="139" fillId="11" borderId="90" xfId="0" applyFont="1" applyFill="1" applyBorder="1" applyAlignment="1" applyProtection="1">
      <alignment horizontal="center" vertical="center" wrapText="1"/>
      <protection hidden="1"/>
    </xf>
    <xf numFmtId="0" fontId="139" fillId="11" borderId="48" xfId="0" applyFont="1" applyFill="1" applyBorder="1" applyAlignment="1" applyProtection="1">
      <alignment horizontal="center" vertical="center" wrapText="1"/>
      <protection hidden="1"/>
    </xf>
    <xf numFmtId="0" fontId="139" fillId="11" borderId="15" xfId="0" applyFont="1" applyFill="1" applyBorder="1" applyAlignment="1" applyProtection="1">
      <alignment horizontal="center" vertical="center" wrapText="1"/>
      <protection hidden="1"/>
    </xf>
    <xf numFmtId="0" fontId="139" fillId="11" borderId="23" xfId="0" applyFont="1" applyFill="1" applyBorder="1" applyAlignment="1" applyProtection="1">
      <alignment horizontal="center" vertical="center" wrapText="1"/>
      <protection hidden="1"/>
    </xf>
    <xf numFmtId="0" fontId="0" fillId="13" borderId="66" xfId="0" applyFont="1" applyFill="1" applyBorder="1" applyAlignment="1" applyProtection="1">
      <alignment horizontal="center" vertical="center"/>
      <protection hidden="1"/>
    </xf>
    <xf numFmtId="0" fontId="0" fillId="13" borderId="84" xfId="0" applyFont="1" applyFill="1" applyBorder="1" applyAlignment="1" applyProtection="1">
      <alignment horizontal="center" vertical="center"/>
      <protection hidden="1"/>
    </xf>
    <xf numFmtId="0" fontId="164" fillId="13" borderId="24" xfId="0" applyFont="1" applyFill="1" applyBorder="1" applyAlignment="1" applyProtection="1">
      <alignment horizontal="center" vertical="center" wrapText="1"/>
      <protection hidden="1"/>
    </xf>
    <xf numFmtId="0" fontId="164" fillId="13" borderId="91" xfId="0" applyFont="1" applyFill="1" applyBorder="1" applyAlignment="1" applyProtection="1">
      <alignment horizontal="center" vertical="center" wrapText="1"/>
      <protection hidden="1"/>
    </xf>
    <xf numFmtId="0" fontId="164" fillId="13" borderId="108" xfId="0" applyFont="1" applyFill="1" applyBorder="1" applyAlignment="1" applyProtection="1">
      <alignment horizontal="center" vertical="center" wrapText="1"/>
      <protection hidden="1"/>
    </xf>
    <xf numFmtId="0" fontId="6" fillId="13" borderId="10" xfId="0" applyNumberFormat="1" applyFont="1" applyFill="1" applyBorder="1" applyAlignment="1" applyProtection="1">
      <alignment horizontal="center" vertical="center" wrapText="1"/>
      <protection hidden="1"/>
    </xf>
    <xf numFmtId="0" fontId="6" fillId="13" borderId="22" xfId="0" applyNumberFormat="1" applyFont="1" applyFill="1" applyBorder="1" applyAlignment="1" applyProtection="1">
      <alignment horizontal="center" vertical="center" wrapText="1"/>
      <protection hidden="1"/>
    </xf>
    <xf numFmtId="0" fontId="6" fillId="13" borderId="28" xfId="0" applyNumberFormat="1" applyFont="1" applyFill="1" applyBorder="1" applyAlignment="1" applyProtection="1">
      <alignment horizontal="center" vertical="center" wrapText="1"/>
      <protection hidden="1"/>
    </xf>
    <xf numFmtId="0" fontId="21" fillId="13" borderId="40" xfId="0" applyFont="1" applyFill="1" applyBorder="1" applyAlignment="1" applyProtection="1">
      <alignment horizontal="center" vertical="center" wrapText="1"/>
      <protection hidden="1"/>
    </xf>
    <xf numFmtId="0" fontId="21" fillId="13" borderId="88" xfId="0" applyFont="1" applyFill="1" applyBorder="1" applyAlignment="1" applyProtection="1">
      <alignment horizontal="center" vertical="center" wrapText="1"/>
      <protection hidden="1"/>
    </xf>
    <xf numFmtId="0" fontId="202" fillId="18" borderId="136" xfId="0" applyNumberFormat="1" applyFont="1" applyFill="1" applyBorder="1" applyAlignment="1" applyProtection="1">
      <alignment horizontal="center" vertical="center"/>
      <protection hidden="1"/>
    </xf>
    <xf numFmtId="0" fontId="202" fillId="18" borderId="137" xfId="0" applyNumberFormat="1" applyFont="1" applyFill="1" applyBorder="1" applyAlignment="1" applyProtection="1">
      <alignment horizontal="center" vertical="center"/>
      <protection hidden="1"/>
    </xf>
    <xf numFmtId="0" fontId="24" fillId="13" borderId="113" xfId="0" applyNumberFormat="1" applyFont="1" applyFill="1" applyBorder="1" applyAlignment="1" applyProtection="1">
      <alignment horizontal="center" vertical="center"/>
      <protection hidden="1"/>
    </xf>
    <xf numFmtId="0" fontId="24" fillId="13" borderId="136" xfId="0" applyNumberFormat="1" applyFont="1" applyFill="1" applyBorder="1" applyAlignment="1" applyProtection="1">
      <alignment horizontal="center" vertical="center"/>
      <protection hidden="1"/>
    </xf>
    <xf numFmtId="0" fontId="24" fillId="11" borderId="7" xfId="0" applyNumberFormat="1" applyFont="1" applyFill="1" applyBorder="1" applyAlignment="1" applyProtection="1">
      <alignment horizontal="center" vertical="center"/>
      <protection hidden="1"/>
    </xf>
    <xf numFmtId="0" fontId="24" fillId="11" borderId="138" xfId="0" applyNumberFormat="1" applyFont="1" applyFill="1" applyBorder="1" applyAlignment="1" applyProtection="1">
      <alignment horizontal="center" vertical="center"/>
      <protection hidden="1"/>
    </xf>
    <xf numFmtId="0" fontId="45" fillId="13" borderId="40" xfId="0" applyFont="1" applyFill="1" applyBorder="1" applyAlignment="1" applyProtection="1">
      <alignment horizontal="center" vertical="center" wrapText="1"/>
      <protection hidden="1"/>
    </xf>
    <xf numFmtId="0" fontId="45" fillId="13" borderId="41" xfId="0" applyFont="1" applyFill="1" applyBorder="1" applyAlignment="1" applyProtection="1">
      <alignment horizontal="center" vertical="center" wrapText="1"/>
      <protection hidden="1"/>
    </xf>
    <xf numFmtId="0" fontId="45" fillId="13" borderId="88" xfId="0" applyFont="1" applyFill="1" applyBorder="1" applyAlignment="1" applyProtection="1">
      <alignment horizontal="center" vertical="center" wrapText="1"/>
      <protection hidden="1"/>
    </xf>
    <xf numFmtId="0" fontId="45" fillId="13" borderId="13" xfId="0" applyFont="1" applyFill="1" applyBorder="1" applyAlignment="1" applyProtection="1">
      <alignment horizontal="center" vertical="center" wrapText="1"/>
      <protection hidden="1"/>
    </xf>
    <xf numFmtId="0" fontId="45" fillId="13" borderId="0" xfId="0" applyFont="1" applyFill="1" applyBorder="1" applyAlignment="1" applyProtection="1">
      <alignment horizontal="center" vertical="center" wrapText="1"/>
      <protection hidden="1"/>
    </xf>
    <xf numFmtId="0" fontId="45" fillId="13" borderId="90" xfId="0" applyFont="1" applyFill="1" applyBorder="1" applyAlignment="1" applyProtection="1">
      <alignment horizontal="center" vertical="center" wrapText="1"/>
      <protection hidden="1"/>
    </xf>
    <xf numFmtId="0" fontId="45" fillId="13" borderId="48" xfId="0" applyFont="1" applyFill="1" applyBorder="1" applyAlignment="1" applyProtection="1">
      <alignment horizontal="center" vertical="center" wrapText="1"/>
      <protection hidden="1"/>
    </xf>
    <xf numFmtId="0" fontId="45" fillId="13" borderId="15" xfId="0" applyFont="1" applyFill="1" applyBorder="1" applyAlignment="1" applyProtection="1">
      <alignment horizontal="center" vertical="center" wrapText="1"/>
      <protection hidden="1"/>
    </xf>
    <xf numFmtId="0" fontId="45" fillId="13" borderId="23" xfId="0" applyFont="1" applyFill="1" applyBorder="1" applyAlignment="1" applyProtection="1">
      <alignment horizontal="center" vertical="center" wrapText="1"/>
      <protection hidden="1"/>
    </xf>
    <xf numFmtId="0" fontId="0" fillId="12" borderId="132" xfId="0" applyFill="1" applyBorder="1" applyAlignment="1" applyProtection="1">
      <alignment horizontal="center" vertical="center"/>
      <protection hidden="1"/>
    </xf>
    <xf numFmtId="0" fontId="0" fillId="12" borderId="107" xfId="0" applyFill="1" applyBorder="1" applyAlignment="1" applyProtection="1">
      <alignment horizontal="center" vertical="center"/>
      <protection hidden="1"/>
    </xf>
    <xf numFmtId="0" fontId="131" fillId="13" borderId="75" xfId="0" applyNumberFormat="1" applyFont="1" applyFill="1" applyBorder="1" applyAlignment="1" applyProtection="1">
      <alignment horizontal="center" vertical="center"/>
      <protection hidden="1"/>
    </xf>
    <xf numFmtId="0" fontId="103" fillId="13" borderId="75" xfId="0" applyNumberFormat="1" applyFont="1" applyFill="1" applyBorder="1" applyAlignment="1" applyProtection="1">
      <alignment horizontal="center" vertical="center"/>
      <protection hidden="1"/>
    </xf>
    <xf numFmtId="0" fontId="103" fillId="13" borderId="130" xfId="0" applyNumberFormat="1" applyFont="1" applyFill="1" applyBorder="1" applyAlignment="1" applyProtection="1">
      <alignment horizontal="center" vertical="center"/>
      <protection hidden="1"/>
    </xf>
    <xf numFmtId="0" fontId="83" fillId="13" borderId="10" xfId="0" applyFont="1" applyFill="1" applyBorder="1" applyAlignment="1" applyProtection="1">
      <alignment horizontal="center" vertical="center" wrapText="1"/>
      <protection hidden="1"/>
    </xf>
    <xf numFmtId="0" fontId="83" fillId="13" borderId="22" xfId="0" applyFont="1" applyFill="1" applyBorder="1" applyAlignment="1" applyProtection="1">
      <alignment horizontal="center" vertical="center" wrapText="1"/>
      <protection hidden="1"/>
    </xf>
    <xf numFmtId="0" fontId="83" fillId="13" borderId="28" xfId="0" applyFont="1" applyFill="1" applyBorder="1" applyAlignment="1" applyProtection="1">
      <alignment horizontal="center" vertical="center" wrapText="1"/>
      <protection hidden="1"/>
    </xf>
    <xf numFmtId="0" fontId="83" fillId="13" borderId="11" xfId="0" applyFont="1" applyFill="1" applyBorder="1" applyAlignment="1" applyProtection="1">
      <alignment horizontal="center" vertical="center" wrapText="1"/>
      <protection hidden="1"/>
    </xf>
    <xf numFmtId="0" fontId="83" fillId="13" borderId="35" xfId="0" applyFont="1" applyFill="1" applyBorder="1" applyAlignment="1" applyProtection="1">
      <alignment horizontal="center" vertical="center" wrapText="1"/>
      <protection hidden="1"/>
    </xf>
    <xf numFmtId="0" fontId="83" fillId="13" borderId="14" xfId="0" applyFont="1" applyFill="1" applyBorder="1" applyAlignment="1" applyProtection="1">
      <alignment horizontal="center" vertical="center" wrapText="1"/>
      <protection hidden="1"/>
    </xf>
    <xf numFmtId="167" fontId="233" fillId="13" borderId="87" xfId="0" applyNumberFormat="1" applyFont="1" applyFill="1" applyBorder="1" applyAlignment="1" applyProtection="1">
      <alignment horizontal="center" vertical="center" wrapText="1"/>
      <protection hidden="1"/>
    </xf>
    <xf numFmtId="167" fontId="233" fillId="13" borderId="41" xfId="0" applyNumberFormat="1" applyFont="1" applyFill="1" applyBorder="1" applyAlignment="1" applyProtection="1">
      <alignment horizontal="center" vertical="center" wrapText="1"/>
      <protection hidden="1"/>
    </xf>
    <xf numFmtId="167" fontId="233" fillId="13" borderId="88" xfId="0" applyNumberFormat="1" applyFont="1" applyFill="1" applyBorder="1" applyAlignment="1" applyProtection="1">
      <alignment horizontal="center" vertical="center" wrapText="1"/>
      <protection hidden="1"/>
    </xf>
    <xf numFmtId="167" fontId="233" fillId="13" borderId="89" xfId="0" applyNumberFormat="1" applyFont="1" applyFill="1" applyBorder="1" applyAlignment="1" applyProtection="1">
      <alignment horizontal="center" vertical="center" wrapText="1"/>
      <protection hidden="1"/>
    </xf>
    <xf numFmtId="167" fontId="233" fillId="13" borderId="0" xfId="0" applyNumberFormat="1" applyFont="1" applyFill="1" applyBorder="1" applyAlignment="1" applyProtection="1">
      <alignment horizontal="center" vertical="center" wrapText="1"/>
      <protection hidden="1"/>
    </xf>
    <xf numFmtId="167" fontId="233" fillId="13" borderId="90" xfId="0" applyNumberFormat="1" applyFont="1" applyFill="1" applyBorder="1" applyAlignment="1" applyProtection="1">
      <alignment horizontal="center" vertical="center" wrapText="1"/>
      <protection hidden="1"/>
    </xf>
    <xf numFmtId="167" fontId="233" fillId="13" borderId="112" xfId="0" applyNumberFormat="1" applyFont="1" applyFill="1" applyBorder="1" applyAlignment="1" applyProtection="1">
      <alignment horizontal="center" vertical="center" wrapText="1"/>
      <protection hidden="1"/>
    </xf>
    <xf numFmtId="167" fontId="233" fillId="13" borderId="15" xfId="0" applyNumberFormat="1" applyFont="1" applyFill="1" applyBorder="1" applyAlignment="1" applyProtection="1">
      <alignment horizontal="center" vertical="center" wrapText="1"/>
      <protection hidden="1"/>
    </xf>
    <xf numFmtId="167" fontId="233" fillId="13" borderId="23" xfId="0" applyNumberFormat="1" applyFont="1" applyFill="1" applyBorder="1" applyAlignment="1" applyProtection="1">
      <alignment horizontal="center" vertical="center" wrapText="1"/>
      <protection hidden="1"/>
    </xf>
    <xf numFmtId="0" fontId="236" fillId="12" borderId="87" xfId="0" applyNumberFormat="1" applyFont="1" applyFill="1" applyBorder="1" applyAlignment="1" applyProtection="1">
      <alignment horizontal="center" vertical="center" wrapText="1"/>
      <protection hidden="1"/>
    </xf>
    <xf numFmtId="0" fontId="236" fillId="12" borderId="41" xfId="0" applyNumberFormat="1" applyFont="1" applyFill="1" applyBorder="1" applyAlignment="1" applyProtection="1">
      <alignment horizontal="center" vertical="center" wrapText="1"/>
      <protection hidden="1"/>
    </xf>
    <xf numFmtId="0" fontId="236" fillId="12" borderId="88" xfId="0" applyNumberFormat="1" applyFont="1" applyFill="1" applyBorder="1" applyAlignment="1" applyProtection="1">
      <alignment horizontal="center" vertical="center" wrapText="1"/>
      <protection hidden="1"/>
    </xf>
    <xf numFmtId="0" fontId="236" fillId="12" borderId="89" xfId="0" applyNumberFormat="1" applyFont="1" applyFill="1" applyBorder="1" applyAlignment="1" applyProtection="1">
      <alignment horizontal="center" vertical="center" wrapText="1"/>
      <protection hidden="1"/>
    </xf>
    <xf numFmtId="0" fontId="236" fillId="12" borderId="0" xfId="0" applyNumberFormat="1" applyFont="1" applyFill="1" applyBorder="1" applyAlignment="1" applyProtection="1">
      <alignment horizontal="center" vertical="center" wrapText="1"/>
      <protection hidden="1"/>
    </xf>
    <xf numFmtId="0" fontId="236" fillId="12" borderId="90" xfId="0" applyNumberFormat="1" applyFont="1" applyFill="1" applyBorder="1" applyAlignment="1" applyProtection="1">
      <alignment horizontal="center" vertical="center" wrapText="1"/>
      <protection hidden="1"/>
    </xf>
    <xf numFmtId="0" fontId="236" fillId="12" borderId="112" xfId="0" applyNumberFormat="1" applyFont="1" applyFill="1" applyBorder="1" applyAlignment="1" applyProtection="1">
      <alignment horizontal="center" vertical="center" wrapText="1"/>
      <protection hidden="1"/>
    </xf>
    <xf numFmtId="0" fontId="236" fillId="12" borderId="15" xfId="0" applyNumberFormat="1" applyFont="1" applyFill="1" applyBorder="1" applyAlignment="1" applyProtection="1">
      <alignment horizontal="center" vertical="center" wrapText="1"/>
      <protection hidden="1"/>
    </xf>
    <xf numFmtId="0" fontId="236" fillId="12" borderId="23" xfId="0" applyNumberFormat="1" applyFont="1" applyFill="1" applyBorder="1" applyAlignment="1" applyProtection="1">
      <alignment horizontal="center" vertical="center" wrapText="1"/>
      <protection hidden="1"/>
    </xf>
    <xf numFmtId="0" fontId="83" fillId="13" borderId="74" xfId="0" applyFont="1" applyFill="1" applyBorder="1" applyAlignment="1" applyProtection="1">
      <alignment horizontal="center" vertical="center" wrapText="1"/>
      <protection hidden="1"/>
    </xf>
    <xf numFmtId="0" fontId="127" fillId="13" borderId="75" xfId="0" applyNumberFormat="1" applyFont="1" applyFill="1" applyBorder="1" applyAlignment="1" applyProtection="1">
      <alignment horizontal="center" vertical="center"/>
      <protection hidden="1"/>
    </xf>
    <xf numFmtId="0" fontId="127" fillId="13" borderId="130" xfId="0" applyNumberFormat="1" applyFont="1" applyFill="1" applyBorder="1" applyAlignment="1" applyProtection="1">
      <alignment horizontal="center" vertical="center"/>
      <protection hidden="1"/>
    </xf>
    <xf numFmtId="0" fontId="129" fillId="13" borderId="75" xfId="0" applyNumberFormat="1" applyFont="1" applyFill="1" applyBorder="1" applyAlignment="1" applyProtection="1">
      <alignment horizontal="center" vertical="center"/>
      <protection hidden="1"/>
    </xf>
    <xf numFmtId="0" fontId="129" fillId="13" borderId="130" xfId="0" applyNumberFormat="1" applyFont="1" applyFill="1" applyBorder="1" applyAlignment="1" applyProtection="1">
      <alignment horizontal="center" vertical="center"/>
      <protection hidden="1"/>
    </xf>
    <xf numFmtId="170" fontId="130" fillId="12" borderId="73" xfId="0" applyNumberFormat="1" applyFont="1" applyFill="1" applyBorder="1" applyAlignment="1" applyProtection="1">
      <alignment horizontal="center" vertical="center"/>
      <protection hidden="1"/>
    </xf>
    <xf numFmtId="170" fontId="130" fillId="12" borderId="122" xfId="0" applyNumberFormat="1" applyFont="1" applyFill="1" applyBorder="1" applyAlignment="1" applyProtection="1">
      <alignment horizontal="center" vertical="center"/>
      <protection hidden="1"/>
    </xf>
    <xf numFmtId="0" fontId="128" fillId="13" borderId="75" xfId="0" applyNumberFormat="1" applyFont="1" applyFill="1" applyBorder="1" applyAlignment="1" applyProtection="1">
      <alignment horizontal="center" vertical="center"/>
      <protection hidden="1"/>
    </xf>
    <xf numFmtId="0" fontId="128" fillId="13" borderId="130" xfId="0" applyNumberFormat="1" applyFont="1" applyFill="1" applyBorder="1" applyAlignment="1" applyProtection="1">
      <alignment horizontal="center" vertical="center"/>
      <protection hidden="1"/>
    </xf>
    <xf numFmtId="170" fontId="128" fillId="12" borderId="73" xfId="0" applyNumberFormat="1" applyFont="1" applyFill="1" applyBorder="1" applyAlignment="1" applyProtection="1">
      <alignment horizontal="center" vertical="center"/>
      <protection hidden="1"/>
    </xf>
    <xf numFmtId="170" fontId="128" fillId="12" borderId="122" xfId="0" applyNumberFormat="1" applyFont="1" applyFill="1" applyBorder="1" applyAlignment="1" applyProtection="1">
      <alignment horizontal="center" vertical="center"/>
      <protection hidden="1"/>
    </xf>
    <xf numFmtId="0" fontId="83" fillId="13" borderId="119" xfId="0" applyFont="1" applyFill="1" applyBorder="1" applyAlignment="1" applyProtection="1">
      <alignment horizontal="center" vertical="center" wrapText="1"/>
      <protection hidden="1"/>
    </xf>
    <xf numFmtId="0" fontId="83" fillId="13" borderId="124" xfId="0" applyFont="1" applyFill="1" applyBorder="1" applyAlignment="1" applyProtection="1">
      <alignment horizontal="center" vertical="center" wrapText="1"/>
      <protection hidden="1"/>
    </xf>
    <xf numFmtId="0" fontId="83" fillId="13" borderId="65" xfId="0" applyFont="1" applyFill="1" applyBorder="1" applyAlignment="1" applyProtection="1">
      <alignment horizontal="center" vertical="center" wrapText="1"/>
      <protection hidden="1"/>
    </xf>
    <xf numFmtId="0" fontId="24" fillId="12" borderId="101" xfId="0" applyNumberFormat="1" applyFont="1" applyFill="1" applyBorder="1" applyAlignment="1" applyProtection="1">
      <alignment horizontal="center" vertical="center" wrapText="1"/>
      <protection hidden="1"/>
    </xf>
    <xf numFmtId="0" fontId="24" fillId="12" borderId="193" xfId="0" applyNumberFormat="1" applyFont="1" applyFill="1" applyBorder="1" applyAlignment="1" applyProtection="1">
      <alignment horizontal="center" vertical="center" wrapText="1"/>
      <protection hidden="1"/>
    </xf>
    <xf numFmtId="0" fontId="21" fillId="13" borderId="132" xfId="0" applyFont="1" applyFill="1" applyBorder="1" applyAlignment="1" applyProtection="1">
      <alignment horizontal="center" vertical="center" wrapText="1"/>
      <protection hidden="1"/>
    </xf>
    <xf numFmtId="0" fontId="21" fillId="13" borderId="107" xfId="0" applyFont="1" applyFill="1" applyBorder="1" applyAlignment="1" applyProtection="1">
      <alignment horizontal="center" vertical="center" wrapText="1"/>
      <protection hidden="1"/>
    </xf>
    <xf numFmtId="0" fontId="40" fillId="12" borderId="158" xfId="0" applyNumberFormat="1" applyFont="1" applyFill="1" applyBorder="1" applyAlignment="1" applyProtection="1">
      <alignment horizontal="center" vertical="center"/>
      <protection hidden="1"/>
    </xf>
    <xf numFmtId="0" fontId="40" fillId="12" borderId="129" xfId="0" applyNumberFormat="1" applyFont="1" applyFill="1" applyBorder="1" applyAlignment="1" applyProtection="1">
      <alignment horizontal="center" vertical="center"/>
      <protection hidden="1"/>
    </xf>
    <xf numFmtId="0" fontId="72" fillId="12" borderId="160" xfId="0" applyNumberFormat="1" applyFont="1" applyFill="1" applyBorder="1" applyAlignment="1" applyProtection="1">
      <alignment horizontal="center" vertical="center"/>
      <protection hidden="1"/>
    </xf>
    <xf numFmtId="0" fontId="72" fillId="12" borderId="161" xfId="0" applyNumberFormat="1" applyFont="1" applyFill="1" applyBorder="1" applyAlignment="1" applyProtection="1">
      <alignment horizontal="center" vertical="center"/>
      <protection hidden="1"/>
    </xf>
    <xf numFmtId="0" fontId="189" fillId="13" borderId="87" xfId="0" applyNumberFormat="1" applyFont="1" applyFill="1" applyBorder="1" applyAlignment="1" applyProtection="1">
      <alignment horizontal="center" vertical="center" textRotation="255"/>
      <protection hidden="1"/>
    </xf>
    <xf numFmtId="0" fontId="189" fillId="13" borderId="89" xfId="0" applyNumberFormat="1" applyFont="1" applyFill="1" applyBorder="1" applyAlignment="1" applyProtection="1">
      <alignment horizontal="center" vertical="center" textRotation="255"/>
      <protection hidden="1"/>
    </xf>
    <xf numFmtId="0" fontId="189" fillId="13" borderId="149" xfId="0" applyNumberFormat="1" applyFont="1" applyFill="1" applyBorder="1" applyAlignment="1" applyProtection="1">
      <alignment horizontal="center" vertical="center" textRotation="255"/>
      <protection hidden="1"/>
    </xf>
    <xf numFmtId="0" fontId="20" fillId="12" borderId="40" xfId="0" applyFont="1" applyFill="1" applyBorder="1" applyAlignment="1" applyProtection="1">
      <alignment horizontal="center" vertical="center" wrapText="1"/>
      <protection hidden="1"/>
    </xf>
    <xf numFmtId="0" fontId="20" fillId="12" borderId="41" xfId="0" applyFont="1" applyFill="1" applyBorder="1" applyAlignment="1" applyProtection="1">
      <alignment horizontal="center" vertical="center" wrapText="1"/>
      <protection hidden="1"/>
    </xf>
    <xf numFmtId="0" fontId="20" fillId="12" borderId="88" xfId="0" applyFont="1" applyFill="1" applyBorder="1" applyAlignment="1" applyProtection="1">
      <alignment horizontal="center" vertical="center" wrapText="1"/>
      <protection hidden="1"/>
    </xf>
    <xf numFmtId="0" fontId="20" fillId="12" borderId="13" xfId="0" applyFont="1" applyFill="1" applyBorder="1" applyAlignment="1" applyProtection="1">
      <alignment horizontal="center" vertical="center" wrapText="1"/>
      <protection hidden="1"/>
    </xf>
    <xf numFmtId="0" fontId="20" fillId="12" borderId="0" xfId="0" applyFont="1" applyFill="1" applyBorder="1" applyAlignment="1" applyProtection="1">
      <alignment horizontal="center" vertical="center" wrapText="1"/>
      <protection hidden="1"/>
    </xf>
    <xf numFmtId="0" fontId="20" fillId="12" borderId="90" xfId="0" applyFont="1" applyFill="1" applyBorder="1" applyAlignment="1" applyProtection="1">
      <alignment horizontal="center" vertical="center" wrapText="1"/>
      <protection hidden="1"/>
    </xf>
    <xf numFmtId="0" fontId="20" fillId="12" borderId="48" xfId="0" applyFont="1" applyFill="1" applyBorder="1" applyAlignment="1" applyProtection="1">
      <alignment horizontal="center" vertical="center" wrapText="1"/>
      <protection hidden="1"/>
    </xf>
    <xf numFmtId="0" fontId="20" fillId="12" borderId="15" xfId="0" applyFont="1" applyFill="1" applyBorder="1" applyAlignment="1" applyProtection="1">
      <alignment horizontal="center" vertical="center" wrapText="1"/>
      <protection hidden="1"/>
    </xf>
    <xf numFmtId="0" fontId="20" fillId="12" borderId="23" xfId="0" applyFont="1" applyFill="1" applyBorder="1" applyAlignment="1" applyProtection="1">
      <alignment horizontal="center" vertical="center" wrapText="1"/>
      <protection hidden="1"/>
    </xf>
    <xf numFmtId="0" fontId="53" fillId="8" borderId="13" xfId="0" applyNumberFormat="1" applyFont="1" applyFill="1" applyBorder="1" applyAlignment="1" applyProtection="1">
      <alignment horizontal="center" vertical="center" wrapText="1"/>
      <protection hidden="1"/>
    </xf>
    <xf numFmtId="0" fontId="53" fillId="8" borderId="0" xfId="0" applyNumberFormat="1" applyFont="1" applyFill="1" applyBorder="1" applyAlignment="1" applyProtection="1">
      <alignment horizontal="center" vertical="center" wrapText="1"/>
      <protection hidden="1"/>
    </xf>
    <xf numFmtId="0" fontId="53" fillId="8" borderId="90" xfId="0" applyNumberFormat="1" applyFont="1" applyFill="1" applyBorder="1" applyAlignment="1" applyProtection="1">
      <alignment horizontal="center" vertical="center" wrapText="1"/>
      <protection hidden="1"/>
    </xf>
    <xf numFmtId="0" fontId="274" fillId="13" borderId="13" xfId="0" applyNumberFormat="1" applyFont="1" applyFill="1" applyBorder="1" applyAlignment="1" applyProtection="1">
      <alignment horizontal="center" vertical="center" wrapText="1"/>
      <protection hidden="1"/>
    </xf>
    <xf numFmtId="0" fontId="274" fillId="13" borderId="0" xfId="0" applyNumberFormat="1" applyFont="1" applyFill="1" applyBorder="1" applyAlignment="1" applyProtection="1">
      <alignment horizontal="center" vertical="center" wrapText="1"/>
      <protection hidden="1"/>
    </xf>
    <xf numFmtId="0" fontId="274" fillId="13" borderId="90" xfId="0" applyNumberFormat="1" applyFont="1" applyFill="1" applyBorder="1" applyAlignment="1" applyProtection="1">
      <alignment horizontal="center" vertical="center" wrapText="1"/>
      <protection hidden="1"/>
    </xf>
    <xf numFmtId="0" fontId="85" fillId="13" borderId="0" xfId="0" applyNumberFormat="1" applyFont="1" applyFill="1" applyBorder="1" applyAlignment="1" applyProtection="1">
      <alignment horizontal="center" vertical="center"/>
      <protection hidden="1"/>
    </xf>
    <xf numFmtId="0" fontId="85" fillId="13" borderId="90" xfId="0" applyNumberFormat="1" applyFont="1" applyFill="1" applyBorder="1" applyAlignment="1" applyProtection="1">
      <alignment horizontal="center" vertical="center"/>
      <protection hidden="1"/>
    </xf>
    <xf numFmtId="0" fontId="85" fillId="13" borderId="13" xfId="0" applyNumberFormat="1" applyFont="1" applyFill="1" applyBorder="1" applyAlignment="1" applyProtection="1">
      <alignment horizontal="center" vertical="center" wrapText="1"/>
      <protection hidden="1"/>
    </xf>
    <xf numFmtId="0" fontId="86" fillId="13" borderId="0" xfId="0" applyFont="1" applyFill="1" applyBorder="1" applyAlignment="1" applyProtection="1">
      <alignment vertical="center" wrapText="1"/>
      <protection hidden="1"/>
    </xf>
    <xf numFmtId="0" fontId="86" fillId="13" borderId="90" xfId="0" applyFont="1" applyFill="1" applyBorder="1" applyAlignment="1" applyProtection="1">
      <alignment vertical="center" wrapText="1"/>
      <protection hidden="1"/>
    </xf>
    <xf numFmtId="0" fontId="139" fillId="13" borderId="10" xfId="0" applyFont="1" applyFill="1" applyBorder="1" applyAlignment="1" applyProtection="1">
      <alignment horizontal="center" vertical="center" wrapText="1"/>
      <protection hidden="1"/>
    </xf>
    <xf numFmtId="0" fontId="140" fillId="13" borderId="22" xfId="0" applyFont="1" applyFill="1" applyBorder="1" applyProtection="1">
      <alignment vertical="center"/>
      <protection hidden="1"/>
    </xf>
    <xf numFmtId="0" fontId="140" fillId="13" borderId="28" xfId="0" applyFont="1" applyFill="1" applyBorder="1" applyProtection="1">
      <alignment vertical="center"/>
      <protection hidden="1"/>
    </xf>
    <xf numFmtId="0" fontId="140" fillId="13" borderId="98" xfId="0" applyFont="1" applyFill="1" applyBorder="1" applyProtection="1">
      <alignment vertical="center"/>
      <protection hidden="1"/>
    </xf>
    <xf numFmtId="0" fontId="140" fillId="13" borderId="121" xfId="0" applyFont="1" applyFill="1" applyBorder="1" applyProtection="1">
      <alignment vertical="center"/>
      <protection hidden="1"/>
    </xf>
    <xf numFmtId="0" fontId="140" fillId="13" borderId="21" xfId="0" applyFont="1" applyFill="1" applyBorder="1" applyProtection="1">
      <alignment vertical="center"/>
      <protection hidden="1"/>
    </xf>
    <xf numFmtId="0" fontId="85" fillId="13" borderId="24" xfId="0" applyNumberFormat="1" applyFont="1" applyFill="1" applyBorder="1" applyAlignment="1" applyProtection="1">
      <alignment horizontal="center" vertical="center"/>
      <protection hidden="1"/>
    </xf>
    <xf numFmtId="0" fontId="85" fillId="13" borderId="91" xfId="0" applyNumberFormat="1" applyFont="1" applyFill="1" applyBorder="1" applyAlignment="1" applyProtection="1">
      <alignment horizontal="center" vertical="center"/>
      <protection hidden="1"/>
    </xf>
    <xf numFmtId="0" fontId="85" fillId="13" borderId="108" xfId="0" applyNumberFormat="1" applyFont="1" applyFill="1" applyBorder="1" applyAlignment="1" applyProtection="1">
      <alignment horizontal="center" vertical="center"/>
      <protection hidden="1"/>
    </xf>
    <xf numFmtId="0" fontId="0" fillId="13" borderId="133" xfId="0" applyFill="1" applyBorder="1" applyAlignment="1" applyProtection="1">
      <alignment horizontal="center" vertical="center"/>
      <protection hidden="1"/>
    </xf>
    <xf numFmtId="0" fontId="0" fillId="13" borderId="134" xfId="0" applyFill="1" applyBorder="1" applyAlignment="1" applyProtection="1">
      <alignment horizontal="center" vertical="center"/>
      <protection hidden="1"/>
    </xf>
    <xf numFmtId="1" fontId="85" fillId="8" borderId="37" xfId="0" applyNumberFormat="1" applyFont="1" applyFill="1" applyBorder="1" applyAlignment="1" applyProtection="1">
      <alignment horizontal="center" vertical="center" wrapText="1"/>
      <protection hidden="1"/>
    </xf>
    <xf numFmtId="0" fontId="85" fillId="8" borderId="38" xfId="0" applyNumberFormat="1" applyFont="1" applyFill="1" applyBorder="1" applyAlignment="1" applyProtection="1">
      <alignment horizontal="center" vertical="center" wrapText="1"/>
      <protection hidden="1"/>
    </xf>
    <xf numFmtId="0" fontId="85" fillId="8" borderId="50" xfId="0" applyNumberFormat="1" applyFont="1" applyFill="1" applyBorder="1" applyAlignment="1" applyProtection="1">
      <alignment horizontal="center" vertical="center" wrapText="1"/>
      <protection hidden="1"/>
    </xf>
    <xf numFmtId="0" fontId="85" fillId="13" borderId="37" xfId="0" applyFont="1" applyFill="1" applyBorder="1" applyAlignment="1" applyProtection="1">
      <alignment horizontal="center" vertical="center" wrapText="1"/>
      <protection hidden="1"/>
    </xf>
    <xf numFmtId="0" fontId="85" fillId="13" borderId="50" xfId="0" applyFont="1" applyFill="1" applyBorder="1" applyAlignment="1" applyProtection="1">
      <alignment horizontal="center" vertical="center" wrapText="1"/>
      <protection hidden="1"/>
    </xf>
    <xf numFmtId="0" fontId="203" fillId="13" borderId="96" xfId="0" applyFont="1" applyFill="1" applyBorder="1" applyAlignment="1" applyProtection="1">
      <alignment horizontal="center" vertical="center" wrapText="1"/>
      <protection hidden="1"/>
    </xf>
    <xf numFmtId="0" fontId="203" fillId="13" borderId="99" xfId="0" applyFont="1" applyFill="1" applyBorder="1" applyAlignment="1" applyProtection="1">
      <alignment horizontal="center" vertical="center" wrapText="1"/>
      <protection hidden="1"/>
    </xf>
    <xf numFmtId="167" fontId="148" fillId="13" borderId="13" xfId="0" applyNumberFormat="1" applyFont="1" applyFill="1" applyBorder="1" applyAlignment="1" applyProtection="1">
      <alignment horizontal="center" vertical="center" wrapText="1"/>
      <protection hidden="1"/>
    </xf>
    <xf numFmtId="167" fontId="148" fillId="13" borderId="90" xfId="0" applyNumberFormat="1" applyFont="1" applyFill="1" applyBorder="1" applyAlignment="1" applyProtection="1">
      <alignment horizontal="center" vertical="center" wrapText="1"/>
      <protection hidden="1"/>
    </xf>
    <xf numFmtId="0" fontId="48" fillId="13" borderId="131" xfId="0" applyFont="1" applyFill="1" applyBorder="1" applyAlignment="1" applyProtection="1">
      <alignment horizontal="center" vertical="center" wrapText="1"/>
      <protection hidden="1"/>
    </xf>
    <xf numFmtId="0" fontId="48" fillId="13" borderId="132" xfId="0" applyFont="1" applyFill="1" applyBorder="1" applyAlignment="1" applyProtection="1">
      <alignment horizontal="center" vertical="center" wrapText="1"/>
      <protection hidden="1"/>
    </xf>
    <xf numFmtId="0" fontId="48" fillId="13" borderId="107" xfId="0" applyFont="1" applyFill="1" applyBorder="1" applyAlignment="1" applyProtection="1">
      <alignment horizontal="center" vertical="center" wrapText="1"/>
      <protection hidden="1"/>
    </xf>
    <xf numFmtId="171" fontId="168" fillId="13" borderId="93" xfId="0" applyNumberFormat="1" applyFont="1" applyFill="1" applyBorder="1" applyAlignment="1" applyProtection="1">
      <alignment horizontal="center" vertical="center"/>
      <protection hidden="1"/>
    </xf>
    <xf numFmtId="171" fontId="168" fillId="13" borderId="154" xfId="0" applyNumberFormat="1" applyFont="1" applyFill="1" applyBorder="1" applyAlignment="1" applyProtection="1">
      <alignment horizontal="center" vertical="center"/>
      <protection hidden="1"/>
    </xf>
    <xf numFmtId="0" fontId="44" fillId="15" borderId="41" xfId="0" applyFont="1" applyFill="1" applyBorder="1" applyAlignment="1" applyProtection="1">
      <alignment horizontal="center" vertical="center"/>
      <protection hidden="1"/>
    </xf>
    <xf numFmtId="0" fontId="44" fillId="15" borderId="0" xfId="0" applyFont="1" applyFill="1" applyBorder="1" applyAlignment="1" applyProtection="1">
      <alignment horizontal="center" vertical="center"/>
      <protection hidden="1"/>
    </xf>
    <xf numFmtId="0" fontId="44" fillId="15" borderId="15" xfId="0" applyFont="1" applyFill="1" applyBorder="1" applyAlignment="1" applyProtection="1">
      <alignment horizontal="center" vertical="center"/>
      <protection hidden="1"/>
    </xf>
    <xf numFmtId="0" fontId="45" fillId="12" borderId="40" xfId="0" applyFont="1" applyFill="1" applyBorder="1" applyAlignment="1" applyProtection="1">
      <alignment horizontal="center" vertical="center" wrapText="1"/>
      <protection hidden="1"/>
    </xf>
    <xf numFmtId="0" fontId="45" fillId="12" borderId="41" xfId="0" applyFont="1" applyFill="1" applyBorder="1" applyAlignment="1" applyProtection="1">
      <alignment horizontal="center" vertical="center" wrapText="1"/>
      <protection hidden="1"/>
    </xf>
    <xf numFmtId="0" fontId="45" fillId="12" borderId="88" xfId="0" applyFont="1" applyFill="1" applyBorder="1" applyAlignment="1" applyProtection="1">
      <alignment horizontal="center" vertical="center" wrapText="1"/>
      <protection hidden="1"/>
    </xf>
    <xf numFmtId="0" fontId="45" fillId="12" borderId="13" xfId="0" applyFont="1" applyFill="1" applyBorder="1" applyAlignment="1" applyProtection="1">
      <alignment horizontal="center" vertical="center" wrapText="1"/>
      <protection hidden="1"/>
    </xf>
    <xf numFmtId="0" fontId="45" fillId="12" borderId="0" xfId="0" applyFont="1" applyFill="1" applyBorder="1" applyAlignment="1" applyProtection="1">
      <alignment horizontal="center" vertical="center" wrapText="1"/>
      <protection hidden="1"/>
    </xf>
    <xf numFmtId="0" fontId="45" fillId="12" borderId="90" xfId="0" applyFont="1" applyFill="1" applyBorder="1" applyAlignment="1" applyProtection="1">
      <alignment horizontal="center" vertical="center" wrapText="1"/>
      <protection hidden="1"/>
    </xf>
    <xf numFmtId="0" fontId="45" fillId="12" borderId="48" xfId="0" applyFont="1" applyFill="1" applyBorder="1" applyAlignment="1" applyProtection="1">
      <alignment horizontal="center" vertical="center" wrapText="1"/>
      <protection hidden="1"/>
    </xf>
    <xf numFmtId="0" fontId="45" fillId="12" borderId="15" xfId="0" applyFont="1" applyFill="1" applyBorder="1" applyAlignment="1" applyProtection="1">
      <alignment horizontal="center" vertical="center" wrapText="1"/>
      <protection hidden="1"/>
    </xf>
    <xf numFmtId="0" fontId="45" fillId="12" borderId="23" xfId="0" applyFont="1" applyFill="1" applyBorder="1" applyAlignment="1" applyProtection="1">
      <alignment horizontal="center" vertical="center" wrapText="1"/>
      <protection hidden="1"/>
    </xf>
    <xf numFmtId="0" fontId="49" fillId="13" borderId="13" xfId="0" applyFont="1" applyFill="1" applyBorder="1" applyAlignment="1" applyProtection="1">
      <alignment horizontal="center" vertical="center" wrapText="1"/>
      <protection hidden="1"/>
    </xf>
    <xf numFmtId="0" fontId="49" fillId="13" borderId="90" xfId="0" applyFont="1" applyFill="1" applyBorder="1" applyAlignment="1" applyProtection="1">
      <alignment horizontal="center" vertical="center" wrapText="1"/>
      <protection hidden="1"/>
    </xf>
    <xf numFmtId="0" fontId="32" fillId="13" borderId="40" xfId="0" applyNumberFormat="1" applyFont="1" applyFill="1" applyBorder="1" applyAlignment="1" applyProtection="1">
      <alignment horizontal="center" vertical="center" wrapText="1"/>
      <protection hidden="1"/>
    </xf>
    <xf numFmtId="0" fontId="32" fillId="13" borderId="41" xfId="0" applyNumberFormat="1" applyFont="1" applyFill="1" applyBorder="1" applyAlignment="1" applyProtection="1">
      <alignment horizontal="center" vertical="center" wrapText="1"/>
      <protection hidden="1"/>
    </xf>
    <xf numFmtId="0" fontId="32" fillId="13" borderId="88" xfId="0" applyNumberFormat="1" applyFont="1" applyFill="1" applyBorder="1" applyAlignment="1" applyProtection="1">
      <alignment horizontal="center" vertical="center" wrapText="1"/>
      <protection hidden="1"/>
    </xf>
    <xf numFmtId="0" fontId="32" fillId="13" borderId="13" xfId="0" applyNumberFormat="1" applyFont="1" applyFill="1" applyBorder="1" applyAlignment="1" applyProtection="1">
      <alignment horizontal="center" vertical="center" wrapText="1"/>
      <protection hidden="1"/>
    </xf>
    <xf numFmtId="0" fontId="32" fillId="13" borderId="0" xfId="0" applyNumberFormat="1" applyFont="1" applyFill="1" applyBorder="1" applyAlignment="1" applyProtection="1">
      <alignment horizontal="center" vertical="center" wrapText="1"/>
      <protection hidden="1"/>
    </xf>
    <xf numFmtId="0" fontId="32" fillId="13" borderId="90" xfId="0" applyNumberFormat="1" applyFont="1" applyFill="1" applyBorder="1" applyAlignment="1" applyProtection="1">
      <alignment horizontal="center" vertical="center" wrapText="1"/>
      <protection hidden="1"/>
    </xf>
    <xf numFmtId="0" fontId="32" fillId="13" borderId="48" xfId="0" applyNumberFormat="1" applyFont="1" applyFill="1" applyBorder="1" applyAlignment="1" applyProtection="1">
      <alignment horizontal="center" vertical="center" wrapText="1"/>
      <protection hidden="1"/>
    </xf>
    <xf numFmtId="0" fontId="32" fillId="13" borderId="15" xfId="0" applyNumberFormat="1" applyFont="1" applyFill="1" applyBorder="1" applyAlignment="1" applyProtection="1">
      <alignment horizontal="center" vertical="center" wrapText="1"/>
      <protection hidden="1"/>
    </xf>
    <xf numFmtId="0" fontId="32" fillId="13" borderId="23" xfId="0" applyNumberFormat="1" applyFont="1" applyFill="1" applyBorder="1" applyAlignment="1" applyProtection="1">
      <alignment horizontal="center" vertical="center" wrapText="1"/>
      <protection hidden="1"/>
    </xf>
    <xf numFmtId="170" fontId="103" fillId="12" borderId="73" xfId="0" applyNumberFormat="1" applyFont="1" applyFill="1" applyBorder="1" applyAlignment="1" applyProtection="1">
      <alignment horizontal="center" vertical="center"/>
      <protection hidden="1"/>
    </xf>
    <xf numFmtId="170" fontId="103" fillId="12" borderId="122" xfId="0" applyNumberFormat="1" applyFont="1" applyFill="1" applyBorder="1" applyAlignment="1" applyProtection="1">
      <alignment horizontal="center" vertical="center"/>
      <protection hidden="1"/>
    </xf>
    <xf numFmtId="170" fontId="131" fillId="12" borderId="73" xfId="0" applyNumberFormat="1" applyFont="1" applyFill="1" applyBorder="1" applyAlignment="1" applyProtection="1">
      <alignment horizontal="center" vertical="center"/>
      <protection hidden="1"/>
    </xf>
    <xf numFmtId="170" fontId="131" fillId="12" borderId="122" xfId="0" applyNumberFormat="1" applyFont="1" applyFill="1" applyBorder="1" applyAlignment="1" applyProtection="1">
      <alignment horizontal="center" vertical="center"/>
      <protection hidden="1"/>
    </xf>
    <xf numFmtId="0" fontId="87" fillId="8" borderId="10" xfId="0" applyNumberFormat="1" applyFont="1" applyFill="1" applyBorder="1" applyAlignment="1" applyProtection="1">
      <alignment horizontal="center" vertical="center" wrapText="1"/>
      <protection hidden="1"/>
    </xf>
    <xf numFmtId="0" fontId="87" fillId="8" borderId="22" xfId="0" applyNumberFormat="1" applyFont="1" applyFill="1" applyBorder="1" applyAlignment="1" applyProtection="1">
      <alignment horizontal="center" vertical="center" wrapText="1"/>
      <protection hidden="1"/>
    </xf>
    <xf numFmtId="0" fontId="87" fillId="8" borderId="28" xfId="0" applyNumberFormat="1" applyFont="1" applyFill="1" applyBorder="1" applyAlignment="1" applyProtection="1">
      <alignment horizontal="center" vertical="center" wrapText="1"/>
      <protection hidden="1"/>
    </xf>
    <xf numFmtId="0" fontId="87" fillId="8" borderId="13" xfId="0" applyNumberFormat="1" applyFont="1" applyFill="1" applyBorder="1" applyAlignment="1" applyProtection="1">
      <alignment horizontal="center" vertical="center" wrapText="1"/>
      <protection hidden="1"/>
    </xf>
    <xf numFmtId="0" fontId="87" fillId="8" borderId="0" xfId="0" applyNumberFormat="1" applyFont="1" applyFill="1" applyBorder="1" applyAlignment="1" applyProtection="1">
      <alignment horizontal="center" vertical="center" wrapText="1"/>
      <protection hidden="1"/>
    </xf>
    <xf numFmtId="0" fontId="87" fillId="8" borderId="90" xfId="0" applyNumberFormat="1" applyFont="1" applyFill="1" applyBorder="1" applyAlignment="1" applyProtection="1">
      <alignment horizontal="center" vertical="center" wrapText="1"/>
      <protection hidden="1"/>
    </xf>
    <xf numFmtId="0" fontId="87" fillId="8" borderId="48" xfId="0" applyNumberFormat="1" applyFont="1" applyFill="1" applyBorder="1" applyAlignment="1" applyProtection="1">
      <alignment horizontal="center" vertical="center" wrapText="1"/>
      <protection hidden="1"/>
    </xf>
    <xf numFmtId="0" fontId="87" fillId="8" borderId="15" xfId="0" applyNumberFormat="1" applyFont="1" applyFill="1" applyBorder="1" applyAlignment="1" applyProtection="1">
      <alignment horizontal="center" vertical="center" wrapText="1"/>
      <protection hidden="1"/>
    </xf>
    <xf numFmtId="0" fontId="87" fillId="8" borderId="23" xfId="0" applyNumberFormat="1" applyFont="1" applyFill="1" applyBorder="1" applyAlignment="1" applyProtection="1">
      <alignment horizontal="center" vertical="center" wrapText="1"/>
      <protection hidden="1"/>
    </xf>
    <xf numFmtId="0" fontId="83" fillId="13" borderId="117" xfId="0" applyFont="1" applyFill="1" applyBorder="1" applyAlignment="1" applyProtection="1">
      <alignment horizontal="center" vertical="center" wrapText="1"/>
      <protection hidden="1"/>
    </xf>
    <xf numFmtId="0" fontId="83" fillId="13" borderId="15" xfId="0" applyFont="1" applyFill="1" applyBorder="1" applyAlignment="1" applyProtection="1">
      <alignment horizontal="center" vertical="center" wrapText="1"/>
      <protection hidden="1"/>
    </xf>
    <xf numFmtId="0" fontId="83" fillId="13" borderId="23" xfId="0" applyFont="1" applyFill="1" applyBorder="1" applyAlignment="1" applyProtection="1">
      <alignment horizontal="center" vertical="center" wrapText="1"/>
      <protection hidden="1"/>
    </xf>
    <xf numFmtId="0" fontId="187" fillId="8" borderId="13" xfId="0" applyFont="1" applyFill="1" applyBorder="1" applyAlignment="1" applyProtection="1">
      <alignment horizontal="center" vertical="center" wrapText="1" readingOrder="1"/>
      <protection hidden="1"/>
    </xf>
    <xf numFmtId="0" fontId="187" fillId="8" borderId="0" xfId="0" applyFont="1" applyFill="1" applyBorder="1" applyAlignment="1" applyProtection="1">
      <alignment horizontal="center" vertical="center" wrapText="1" readingOrder="1"/>
      <protection hidden="1"/>
    </xf>
    <xf numFmtId="0" fontId="187" fillId="8" borderId="90" xfId="0" applyFont="1" applyFill="1" applyBorder="1" applyAlignment="1" applyProtection="1">
      <alignment horizontal="center" vertical="center" wrapText="1" readingOrder="1"/>
      <protection hidden="1"/>
    </xf>
    <xf numFmtId="0" fontId="83" fillId="13" borderId="26" xfId="0" applyFont="1" applyFill="1" applyBorder="1" applyAlignment="1" applyProtection="1">
      <alignment horizontal="center" vertical="center" wrapText="1"/>
      <protection hidden="1"/>
    </xf>
    <xf numFmtId="0" fontId="83" fillId="13" borderId="95" xfId="0" applyFont="1" applyFill="1" applyBorder="1" applyAlignment="1" applyProtection="1">
      <alignment horizontal="center" vertical="center" wrapText="1"/>
      <protection hidden="1"/>
    </xf>
    <xf numFmtId="0" fontId="83" fillId="13" borderId="104" xfId="0" applyFont="1" applyFill="1" applyBorder="1" applyAlignment="1" applyProtection="1">
      <alignment horizontal="center" vertical="center" wrapText="1"/>
      <protection hidden="1"/>
    </xf>
    <xf numFmtId="0" fontId="101" fillId="13" borderId="66" xfId="0" applyFont="1" applyFill="1" applyBorder="1" applyAlignment="1" applyProtection="1">
      <alignment horizontal="center" vertical="center"/>
      <protection hidden="1"/>
    </xf>
    <xf numFmtId="0" fontId="101" fillId="13" borderId="86" xfId="0" applyFont="1" applyFill="1" applyBorder="1" applyAlignment="1" applyProtection="1">
      <alignment horizontal="center" vertical="center"/>
      <protection hidden="1"/>
    </xf>
    <xf numFmtId="0" fontId="101" fillId="13" borderId="84" xfId="0" applyFont="1" applyFill="1" applyBorder="1" applyAlignment="1" applyProtection="1">
      <alignment horizontal="center" vertical="center"/>
      <protection hidden="1"/>
    </xf>
    <xf numFmtId="0" fontId="187" fillId="8" borderId="98" xfId="0" applyFont="1" applyFill="1" applyBorder="1" applyAlignment="1" applyProtection="1">
      <alignment horizontal="center" vertical="center" wrapText="1"/>
      <protection hidden="1"/>
    </xf>
    <xf numFmtId="0" fontId="187" fillId="8" borderId="121" xfId="0" applyFont="1" applyFill="1" applyBorder="1" applyAlignment="1" applyProtection="1">
      <alignment horizontal="center" vertical="center" wrapText="1"/>
      <protection hidden="1"/>
    </xf>
    <xf numFmtId="1" fontId="47" fillId="13" borderId="48" xfId="0" applyNumberFormat="1" applyFont="1" applyFill="1" applyBorder="1" applyAlignment="1" applyProtection="1">
      <alignment horizontal="center" vertical="center" wrapText="1"/>
      <protection hidden="1"/>
    </xf>
    <xf numFmtId="1" fontId="47" fillId="13" borderId="23" xfId="0" applyNumberFormat="1" applyFont="1" applyFill="1" applyBorder="1" applyAlignment="1" applyProtection="1">
      <alignment horizontal="center" vertical="center" wrapText="1"/>
      <protection hidden="1"/>
    </xf>
    <xf numFmtId="1" fontId="87" fillId="8" borderId="38" xfId="0" applyNumberFormat="1" applyFont="1" applyFill="1" applyBorder="1" applyAlignment="1" applyProtection="1">
      <alignment horizontal="center" vertical="center" wrapText="1"/>
      <protection hidden="1"/>
    </xf>
    <xf numFmtId="0" fontId="87" fillId="8" borderId="38" xfId="0" applyFont="1" applyFill="1" applyBorder="1" applyAlignment="1" applyProtection="1">
      <alignment horizontal="center" vertical="center" wrapText="1"/>
      <protection hidden="1"/>
    </xf>
    <xf numFmtId="0" fontId="87" fillId="8" borderId="50" xfId="0" applyFont="1" applyFill="1" applyBorder="1" applyAlignment="1" applyProtection="1">
      <alignment horizontal="center" vertical="center" wrapText="1"/>
      <protection hidden="1"/>
    </xf>
    <xf numFmtId="0" fontId="256" fillId="13" borderId="9" xfId="0" applyFont="1" applyFill="1" applyBorder="1" applyAlignment="1" applyProtection="1">
      <alignment horizontal="center" vertical="center" wrapText="1"/>
      <protection hidden="1"/>
    </xf>
    <xf numFmtId="0" fontId="256" fillId="13" borderId="4" xfId="0" applyFont="1" applyFill="1" applyBorder="1" applyAlignment="1" applyProtection="1">
      <alignment horizontal="center" vertical="center" wrapText="1"/>
      <protection hidden="1"/>
    </xf>
    <xf numFmtId="0" fontId="256" fillId="13" borderId="96" xfId="0" applyFont="1" applyFill="1" applyBorder="1" applyAlignment="1" applyProtection="1">
      <alignment horizontal="center" vertical="center" wrapText="1"/>
      <protection hidden="1"/>
    </xf>
    <xf numFmtId="0" fontId="256" fillId="13" borderId="99" xfId="0" applyFont="1" applyFill="1" applyBorder="1" applyAlignment="1" applyProtection="1">
      <alignment horizontal="center" vertical="center" wrapText="1"/>
      <protection hidden="1"/>
    </xf>
    <xf numFmtId="0" fontId="8" fillId="8" borderId="133" xfId="0" applyFont="1" applyFill="1" applyBorder="1" applyAlignment="1" applyProtection="1">
      <alignment horizontal="center" vertical="center" wrapText="1"/>
      <protection hidden="1"/>
    </xf>
    <xf numFmtId="0" fontId="8" fillId="8" borderId="100" xfId="0" applyFont="1" applyFill="1" applyBorder="1" applyAlignment="1" applyProtection="1">
      <alignment horizontal="center" vertical="center" wrapText="1"/>
      <protection hidden="1"/>
    </xf>
    <xf numFmtId="0" fontId="8" fillId="8" borderId="134" xfId="0" applyFont="1" applyFill="1" applyBorder="1" applyAlignment="1" applyProtection="1">
      <alignment horizontal="center" vertical="center" wrapText="1"/>
      <protection hidden="1"/>
    </xf>
    <xf numFmtId="0" fontId="275" fillId="8" borderId="40" xfId="0" applyNumberFormat="1" applyFont="1" applyFill="1" applyBorder="1" applyAlignment="1" applyProtection="1">
      <alignment horizontal="center" vertical="center" wrapText="1"/>
      <protection hidden="1"/>
    </xf>
    <xf numFmtId="0" fontId="275" fillId="8" borderId="41" xfId="0" applyNumberFormat="1" applyFont="1" applyFill="1" applyBorder="1" applyAlignment="1" applyProtection="1">
      <alignment horizontal="center" vertical="center" wrapText="1"/>
      <protection hidden="1"/>
    </xf>
    <xf numFmtId="0" fontId="275" fillId="8" borderId="88" xfId="0" applyNumberFormat="1" applyFont="1" applyFill="1" applyBorder="1" applyAlignment="1" applyProtection="1">
      <alignment horizontal="center" vertical="center" wrapText="1"/>
      <protection hidden="1"/>
    </xf>
    <xf numFmtId="0" fontId="275" fillId="8" borderId="13" xfId="0" applyNumberFormat="1" applyFont="1" applyFill="1" applyBorder="1" applyAlignment="1" applyProtection="1">
      <alignment horizontal="center" vertical="center" wrapText="1"/>
      <protection hidden="1"/>
    </xf>
    <xf numFmtId="0" fontId="275" fillId="8" borderId="0" xfId="0" applyNumberFormat="1" applyFont="1" applyFill="1" applyBorder="1" applyAlignment="1" applyProtection="1">
      <alignment horizontal="center" vertical="center" wrapText="1"/>
      <protection hidden="1"/>
    </xf>
    <xf numFmtId="0" fontId="275" fillId="8" borderId="90" xfId="0" applyNumberFormat="1" applyFont="1" applyFill="1" applyBorder="1" applyAlignment="1" applyProtection="1">
      <alignment horizontal="center" vertical="center" wrapText="1"/>
      <protection hidden="1"/>
    </xf>
    <xf numFmtId="167" fontId="87" fillId="8" borderId="37" xfId="0" applyNumberFormat="1" applyFont="1" applyFill="1" applyBorder="1" applyAlignment="1" applyProtection="1">
      <alignment horizontal="center" vertical="center" wrapText="1"/>
      <protection hidden="1"/>
    </xf>
    <xf numFmtId="167" fontId="87" fillId="8" borderId="38" xfId="0" applyNumberFormat="1" applyFont="1" applyFill="1" applyBorder="1" applyAlignment="1" applyProtection="1">
      <alignment horizontal="center" vertical="center" wrapText="1"/>
      <protection hidden="1"/>
    </xf>
    <xf numFmtId="167" fontId="87" fillId="8" borderId="50" xfId="0" applyNumberFormat="1" applyFont="1" applyFill="1" applyBorder="1" applyAlignment="1" applyProtection="1">
      <alignment horizontal="center" vertical="center" wrapText="1"/>
      <protection hidden="1"/>
    </xf>
    <xf numFmtId="0" fontId="198" fillId="8" borderId="172" xfId="0" applyFont="1" applyFill="1" applyBorder="1" applyAlignment="1" applyProtection="1">
      <alignment horizontal="center" vertical="center" wrapText="1"/>
      <protection hidden="1"/>
    </xf>
    <xf numFmtId="0" fontId="198" fillId="8" borderId="171" xfId="0" applyFont="1" applyFill="1" applyBorder="1" applyAlignment="1" applyProtection="1">
      <alignment horizontal="center" vertical="center" wrapText="1"/>
      <protection hidden="1"/>
    </xf>
    <xf numFmtId="0" fontId="91" fillId="8" borderId="93" xfId="0" applyFont="1" applyFill="1" applyBorder="1" applyAlignment="1" applyProtection="1">
      <alignment horizontal="center" vertical="center" wrapText="1"/>
      <protection hidden="1"/>
    </xf>
    <xf numFmtId="0" fontId="91" fillId="8" borderId="154" xfId="0" applyFont="1" applyFill="1" applyBorder="1" applyAlignment="1" applyProtection="1">
      <alignment horizontal="center" vertical="center" wrapText="1"/>
      <protection hidden="1"/>
    </xf>
    <xf numFmtId="0" fontId="244" fillId="8" borderId="171" xfId="0" applyFont="1" applyFill="1" applyBorder="1" applyAlignment="1" applyProtection="1">
      <alignment horizontal="center" vertical="center" wrapText="1"/>
      <protection hidden="1"/>
    </xf>
    <xf numFmtId="0" fontId="244" fillId="8" borderId="179" xfId="0" applyFont="1" applyFill="1" applyBorder="1" applyAlignment="1" applyProtection="1">
      <alignment horizontal="center" vertical="center" wrapText="1"/>
      <protection hidden="1"/>
    </xf>
    <xf numFmtId="0" fontId="43" fillId="13" borderId="58" xfId="0" applyFont="1" applyFill="1" applyBorder="1" applyAlignment="1" applyProtection="1">
      <alignment horizontal="center" vertical="center" wrapText="1"/>
      <protection hidden="1"/>
    </xf>
    <xf numFmtId="0" fontId="43" fillId="13" borderId="70" xfId="0" applyFont="1" applyFill="1" applyBorder="1" applyAlignment="1" applyProtection="1">
      <alignment horizontal="center" vertical="center" wrapText="1"/>
      <protection hidden="1"/>
    </xf>
    <xf numFmtId="0" fontId="240" fillId="8" borderId="0" xfId="0" applyFont="1" applyFill="1" applyBorder="1" applyAlignment="1" applyProtection="1">
      <alignment horizontal="center" vertical="center" wrapText="1"/>
      <protection hidden="1"/>
    </xf>
    <xf numFmtId="0" fontId="240" fillId="8" borderId="90" xfId="0" applyFont="1" applyFill="1" applyBorder="1" applyAlignment="1" applyProtection="1">
      <alignment horizontal="center" vertical="center" wrapText="1"/>
      <protection hidden="1"/>
    </xf>
    <xf numFmtId="0" fontId="240" fillId="8" borderId="15" xfId="0" applyFont="1" applyFill="1" applyBorder="1" applyAlignment="1" applyProtection="1">
      <alignment horizontal="center" vertical="center" wrapText="1"/>
      <protection hidden="1"/>
    </xf>
    <xf numFmtId="0" fontId="240" fillId="8" borderId="23" xfId="0" applyFont="1" applyFill="1" applyBorder="1" applyAlignment="1" applyProtection="1">
      <alignment horizontal="center" vertical="center" wrapText="1"/>
      <protection hidden="1"/>
    </xf>
    <xf numFmtId="0" fontId="91" fillId="8" borderId="140" xfId="0" applyFont="1" applyFill="1" applyBorder="1" applyAlignment="1" applyProtection="1">
      <alignment horizontal="center" vertical="center" wrapText="1"/>
      <protection hidden="1"/>
    </xf>
    <xf numFmtId="0" fontId="91" fillId="8" borderId="141" xfId="0" applyFont="1" applyFill="1" applyBorder="1" applyAlignment="1" applyProtection="1">
      <alignment horizontal="center" vertical="center" wrapText="1"/>
      <protection hidden="1"/>
    </xf>
    <xf numFmtId="0" fontId="91" fillId="8" borderId="142" xfId="0" applyFont="1" applyFill="1" applyBorder="1" applyAlignment="1" applyProtection="1">
      <alignment horizontal="center" vertical="center" wrapText="1"/>
      <protection hidden="1"/>
    </xf>
    <xf numFmtId="0" fontId="267" fillId="8" borderId="10" xfId="0" applyNumberFormat="1" applyFont="1" applyFill="1" applyBorder="1" applyAlignment="1" applyProtection="1">
      <alignment horizontal="center" vertical="center" wrapText="1"/>
      <protection hidden="1"/>
    </xf>
    <xf numFmtId="0" fontId="267" fillId="8" borderId="22" xfId="0" applyNumberFormat="1" applyFont="1" applyFill="1" applyBorder="1" applyAlignment="1" applyProtection="1">
      <alignment horizontal="center" vertical="center" wrapText="1"/>
      <protection hidden="1"/>
    </xf>
    <xf numFmtId="0" fontId="267" fillId="8" borderId="28" xfId="0" applyNumberFormat="1" applyFont="1" applyFill="1" applyBorder="1" applyAlignment="1" applyProtection="1">
      <alignment horizontal="center" vertical="center" wrapText="1"/>
      <protection hidden="1"/>
    </xf>
    <xf numFmtId="14" fontId="28" fillId="16" borderId="101" xfId="0" applyNumberFormat="1" applyFont="1" applyFill="1" applyBorder="1" applyAlignment="1" applyProtection="1">
      <alignment horizontal="center" vertical="center" wrapText="1"/>
      <protection hidden="1"/>
    </xf>
    <xf numFmtId="14" fontId="28" fillId="16" borderId="100" xfId="0" applyNumberFormat="1" applyFont="1" applyFill="1" applyBorder="1" applyAlignment="1" applyProtection="1">
      <alignment horizontal="center" vertical="center" wrapText="1"/>
      <protection hidden="1"/>
    </xf>
    <xf numFmtId="14" fontId="28" fillId="16" borderId="139" xfId="0" applyNumberFormat="1" applyFont="1" applyFill="1" applyBorder="1" applyAlignment="1" applyProtection="1">
      <alignment horizontal="center" vertical="center" wrapText="1"/>
      <protection hidden="1"/>
    </xf>
    <xf numFmtId="0" fontId="33" fillId="8" borderId="113" xfId="0" applyNumberFormat="1" applyFont="1" applyFill="1" applyBorder="1" applyAlignment="1" applyProtection="1">
      <alignment horizontal="center" vertical="center" wrapText="1"/>
      <protection hidden="1"/>
    </xf>
    <xf numFmtId="0" fontId="33" fillId="8" borderId="28" xfId="0" applyNumberFormat="1" applyFont="1" applyFill="1" applyBorder="1" applyAlignment="1" applyProtection="1">
      <alignment horizontal="center" vertical="center" wrapText="1"/>
      <protection hidden="1"/>
    </xf>
    <xf numFmtId="0" fontId="33" fillId="8" borderId="89" xfId="0" applyNumberFormat="1" applyFont="1" applyFill="1" applyBorder="1" applyAlignment="1" applyProtection="1">
      <alignment horizontal="center" vertical="center" wrapText="1"/>
      <protection hidden="1"/>
    </xf>
    <xf numFmtId="0" fontId="33" fillId="8" borderId="90" xfId="0" applyNumberFormat="1" applyFont="1" applyFill="1" applyBorder="1" applyAlignment="1" applyProtection="1">
      <alignment horizontal="center" vertical="center" wrapText="1"/>
      <protection hidden="1"/>
    </xf>
    <xf numFmtId="0" fontId="33" fillId="8" borderId="136" xfId="0" applyNumberFormat="1" applyFont="1" applyFill="1" applyBorder="1" applyAlignment="1" applyProtection="1">
      <alignment horizontal="center" vertical="center" wrapText="1"/>
      <protection hidden="1"/>
    </xf>
    <xf numFmtId="0" fontId="33" fillId="8" borderId="108" xfId="0" applyNumberFormat="1" applyFont="1" applyFill="1" applyBorder="1" applyAlignment="1" applyProtection="1">
      <alignment horizontal="center" vertical="center" wrapText="1"/>
      <protection hidden="1"/>
    </xf>
    <xf numFmtId="0" fontId="87" fillId="8" borderId="40" xfId="0" applyFont="1" applyFill="1" applyBorder="1" applyAlignment="1" applyProtection="1">
      <alignment horizontal="center" vertical="center" wrapText="1"/>
      <protection hidden="1"/>
    </xf>
    <xf numFmtId="0" fontId="87" fillId="8" borderId="41" xfId="0" applyFont="1" applyFill="1" applyBorder="1" applyAlignment="1" applyProtection="1">
      <alignment horizontal="center" vertical="center" wrapText="1"/>
      <protection hidden="1"/>
    </xf>
    <xf numFmtId="0" fontId="87" fillId="8" borderId="88" xfId="0" applyFont="1" applyFill="1" applyBorder="1" applyAlignment="1" applyProtection="1">
      <alignment horizontal="center" vertical="center" wrapText="1"/>
      <protection hidden="1"/>
    </xf>
    <xf numFmtId="0" fontId="267" fillId="8" borderId="13" xfId="0" applyFont="1" applyFill="1" applyBorder="1" applyAlignment="1" applyProtection="1">
      <alignment horizontal="center" vertical="center" wrapText="1"/>
      <protection hidden="1"/>
    </xf>
    <xf numFmtId="0" fontId="267" fillId="8" borderId="0" xfId="0" applyFont="1" applyFill="1" applyBorder="1" applyAlignment="1" applyProtection="1">
      <alignment horizontal="center" vertical="center" wrapText="1"/>
      <protection hidden="1"/>
    </xf>
    <xf numFmtId="0" fontId="267" fillId="8" borderId="90" xfId="0" applyFont="1" applyFill="1" applyBorder="1" applyAlignment="1" applyProtection="1">
      <alignment horizontal="center" vertical="center" wrapText="1"/>
      <protection hidden="1"/>
    </xf>
    <xf numFmtId="0" fontId="267" fillId="8" borderId="48" xfId="0" applyFont="1" applyFill="1" applyBorder="1" applyAlignment="1" applyProtection="1">
      <alignment horizontal="center" vertical="center" wrapText="1"/>
      <protection hidden="1"/>
    </xf>
    <xf numFmtId="0" fontId="267" fillId="8" borderId="15" xfId="0" applyFont="1" applyFill="1" applyBorder="1" applyAlignment="1" applyProtection="1">
      <alignment horizontal="center" vertical="center" wrapText="1"/>
      <protection hidden="1"/>
    </xf>
    <xf numFmtId="0" fontId="267" fillId="8" borderId="23" xfId="0" applyFont="1" applyFill="1" applyBorder="1" applyAlignment="1" applyProtection="1">
      <alignment horizontal="center" vertical="center" wrapText="1"/>
      <protection hidden="1"/>
    </xf>
    <xf numFmtId="0" fontId="79" fillId="8" borderId="133" xfId="0" applyNumberFormat="1" applyFont="1" applyFill="1" applyBorder="1" applyAlignment="1" applyProtection="1">
      <alignment horizontal="center" vertical="center" wrapText="1"/>
      <protection hidden="1"/>
    </xf>
    <xf numFmtId="0" fontId="79" fillId="8" borderId="100" xfId="0" applyNumberFormat="1" applyFont="1" applyFill="1" applyBorder="1" applyAlignment="1" applyProtection="1">
      <alignment horizontal="center" vertical="center" wrapText="1"/>
      <protection hidden="1"/>
    </xf>
    <xf numFmtId="0" fontId="79" fillId="8" borderId="134" xfId="0" applyNumberFormat="1" applyFont="1" applyFill="1" applyBorder="1" applyAlignment="1" applyProtection="1">
      <alignment horizontal="center" vertical="center" wrapText="1"/>
      <protection hidden="1"/>
    </xf>
    <xf numFmtId="0" fontId="3" fillId="8" borderId="41" xfId="0" applyFont="1" applyFill="1" applyBorder="1" applyAlignment="1" applyProtection="1">
      <alignment horizontal="center" vertical="center" wrapText="1"/>
      <protection hidden="1"/>
    </xf>
    <xf numFmtId="0" fontId="3" fillId="8" borderId="135" xfId="0" applyFont="1" applyFill="1" applyBorder="1" applyAlignment="1" applyProtection="1">
      <alignment horizontal="center" vertical="center" wrapText="1"/>
      <protection hidden="1"/>
    </xf>
    <xf numFmtId="0" fontId="3" fillId="8" borderId="89" xfId="0" applyFont="1" applyFill="1" applyBorder="1" applyAlignment="1" applyProtection="1">
      <alignment horizontal="center" vertical="center" wrapText="1"/>
      <protection hidden="1"/>
    </xf>
    <xf numFmtId="0" fontId="3" fillId="8" borderId="0" xfId="0" applyFont="1" applyFill="1" applyBorder="1" applyAlignment="1" applyProtection="1">
      <alignment horizontal="center" vertical="center" wrapText="1"/>
      <protection hidden="1"/>
    </xf>
    <xf numFmtId="0" fontId="3" fillId="8" borderId="136" xfId="0" applyFont="1" applyFill="1" applyBorder="1" applyAlignment="1" applyProtection="1">
      <alignment horizontal="center" vertical="center" wrapText="1"/>
      <protection hidden="1"/>
    </xf>
    <xf numFmtId="0" fontId="3" fillId="8" borderId="91" xfId="0" applyFont="1" applyFill="1" applyBorder="1" applyAlignment="1" applyProtection="1">
      <alignment horizontal="center" vertical="center" wrapText="1"/>
      <protection hidden="1"/>
    </xf>
    <xf numFmtId="0" fontId="6" fillId="0" borderId="13" xfId="0" applyFont="1" applyBorder="1" applyAlignment="1" applyProtection="1">
      <alignment horizontal="center" vertical="center" wrapText="1"/>
      <protection hidden="1"/>
    </xf>
    <xf numFmtId="0" fontId="6" fillId="0" borderId="90" xfId="0" applyFont="1" applyBorder="1" applyAlignment="1" applyProtection="1">
      <alignment horizontal="center" vertical="center" wrapText="1"/>
      <protection hidden="1"/>
    </xf>
    <xf numFmtId="0" fontId="55" fillId="11" borderId="55" xfId="0" applyFont="1" applyFill="1" applyBorder="1" applyAlignment="1" applyProtection="1">
      <alignment horizontal="center" vertical="center"/>
      <protection hidden="1"/>
    </xf>
    <xf numFmtId="0" fontId="55" fillId="11" borderId="43" xfId="0" applyFont="1" applyFill="1" applyBorder="1" applyAlignment="1" applyProtection="1">
      <alignment horizontal="center" vertical="center"/>
      <protection hidden="1"/>
    </xf>
    <xf numFmtId="0" fontId="55" fillId="11" borderId="203" xfId="0" applyFont="1" applyFill="1" applyBorder="1" applyAlignment="1" applyProtection="1">
      <alignment horizontal="center" vertical="center"/>
      <protection hidden="1"/>
    </xf>
    <xf numFmtId="0" fontId="91" fillId="8" borderId="89" xfId="0" applyFont="1" applyFill="1" applyBorder="1" applyAlignment="1" applyProtection="1">
      <alignment horizontal="center" vertical="center"/>
      <protection hidden="1"/>
    </xf>
    <xf numFmtId="0" fontId="91" fillId="8" borderId="0" xfId="0" applyFont="1" applyFill="1" applyBorder="1" applyAlignment="1" applyProtection="1">
      <alignment horizontal="center" vertical="center"/>
      <protection hidden="1"/>
    </xf>
    <xf numFmtId="0" fontId="91" fillId="8" borderId="90" xfId="0" applyFont="1" applyFill="1" applyBorder="1" applyAlignment="1" applyProtection="1">
      <alignment horizontal="center" vertical="center"/>
      <protection hidden="1"/>
    </xf>
    <xf numFmtId="0" fontId="91" fillId="8" borderId="136" xfId="0" applyFont="1" applyFill="1" applyBorder="1" applyAlignment="1" applyProtection="1">
      <alignment horizontal="center" vertical="center"/>
      <protection hidden="1"/>
    </xf>
    <xf numFmtId="0" fontId="91" fillId="8" borderId="91" xfId="0" applyFont="1" applyFill="1" applyBorder="1" applyAlignment="1" applyProtection="1">
      <alignment horizontal="center" vertical="center"/>
      <protection hidden="1"/>
    </xf>
    <xf numFmtId="0" fontId="91" fillId="8" borderId="108" xfId="0" applyFont="1" applyFill="1" applyBorder="1" applyAlignment="1" applyProtection="1">
      <alignment horizontal="center" vertical="center"/>
      <protection hidden="1"/>
    </xf>
    <xf numFmtId="0" fontId="72" fillId="12" borderId="156" xfId="0" applyNumberFormat="1" applyFont="1" applyFill="1" applyBorder="1" applyAlignment="1" applyProtection="1">
      <alignment horizontal="center" vertical="center"/>
      <protection hidden="1"/>
    </xf>
    <xf numFmtId="0" fontId="72" fillId="12" borderId="126" xfId="0" applyNumberFormat="1" applyFont="1" applyFill="1" applyBorder="1" applyAlignment="1" applyProtection="1">
      <alignment horizontal="center" vertical="center"/>
      <protection hidden="1"/>
    </xf>
    <xf numFmtId="0" fontId="72" fillId="13" borderId="159" xfId="0" applyNumberFormat="1" applyFont="1" applyFill="1" applyBorder="1" applyAlignment="1" applyProtection="1">
      <alignment horizontal="center" vertical="center"/>
      <protection hidden="1"/>
    </xf>
    <xf numFmtId="0" fontId="72" fillId="13" borderId="125" xfId="0" applyNumberFormat="1" applyFont="1" applyFill="1" applyBorder="1" applyAlignment="1" applyProtection="1">
      <alignment horizontal="center" vertical="center"/>
      <protection hidden="1"/>
    </xf>
    <xf numFmtId="0" fontId="72" fillId="13" borderId="156" xfId="0" applyNumberFormat="1" applyFont="1" applyFill="1" applyBorder="1" applyAlignment="1" applyProtection="1">
      <alignment horizontal="center" vertical="center"/>
      <protection hidden="1"/>
    </xf>
    <xf numFmtId="0" fontId="72" fillId="13" borderId="126" xfId="0" applyNumberFormat="1" applyFont="1" applyFill="1" applyBorder="1" applyAlignment="1" applyProtection="1">
      <alignment horizontal="center" vertical="center"/>
      <protection hidden="1"/>
    </xf>
    <xf numFmtId="0" fontId="204" fillId="13" borderId="96" xfId="0" applyFont="1" applyFill="1" applyBorder="1" applyAlignment="1" applyProtection="1">
      <alignment horizontal="center" vertical="center" wrapText="1"/>
      <protection hidden="1"/>
    </xf>
    <xf numFmtId="0" fontId="204" fillId="13" borderId="99" xfId="0" applyFont="1" applyFill="1" applyBorder="1" applyAlignment="1" applyProtection="1">
      <alignment horizontal="center" vertical="center" wrapText="1"/>
      <protection hidden="1"/>
    </xf>
    <xf numFmtId="0" fontId="208" fillId="13" borderId="96" xfId="0" applyFont="1" applyFill="1" applyBorder="1" applyAlignment="1" applyProtection="1">
      <alignment horizontal="center" vertical="center" wrapText="1"/>
      <protection hidden="1"/>
    </xf>
    <xf numFmtId="0" fontId="208" fillId="13" borderId="99" xfId="0" applyFont="1" applyFill="1" applyBorder="1" applyAlignment="1" applyProtection="1">
      <alignment horizontal="center" vertical="center" wrapText="1"/>
      <protection hidden="1"/>
    </xf>
    <xf numFmtId="0" fontId="225" fillId="13" borderId="96" xfId="0" applyFont="1" applyFill="1" applyBorder="1" applyAlignment="1" applyProtection="1">
      <alignment horizontal="center" vertical="center" wrapText="1"/>
      <protection hidden="1"/>
    </xf>
    <xf numFmtId="0" fontId="225" fillId="13" borderId="99" xfId="0" applyFont="1" applyFill="1" applyBorder="1" applyAlignment="1" applyProtection="1">
      <alignment horizontal="center" vertical="center" wrapText="1"/>
      <protection hidden="1"/>
    </xf>
    <xf numFmtId="0" fontId="225" fillId="13" borderId="9" xfId="0" applyFont="1" applyFill="1" applyBorder="1" applyAlignment="1" applyProtection="1">
      <alignment horizontal="center" vertical="center" wrapText="1"/>
      <protection hidden="1"/>
    </xf>
    <xf numFmtId="0" fontId="225" fillId="13" borderId="4" xfId="0" applyFont="1" applyFill="1" applyBorder="1" applyAlignment="1" applyProtection="1">
      <alignment horizontal="center" vertical="center" wrapText="1"/>
      <protection hidden="1"/>
    </xf>
    <xf numFmtId="175" fontId="78" fillId="13" borderId="39" xfId="0" applyNumberFormat="1" applyFont="1" applyFill="1" applyBorder="1" applyAlignment="1" applyProtection="1">
      <alignment horizontal="center" vertical="center"/>
      <protection hidden="1"/>
    </xf>
    <xf numFmtId="0" fontId="204" fillId="13" borderId="9" xfId="0" applyFont="1" applyFill="1" applyBorder="1" applyAlignment="1" applyProtection="1">
      <alignment horizontal="center" vertical="center" wrapText="1"/>
      <protection hidden="1"/>
    </xf>
    <xf numFmtId="0" fontId="204" fillId="13" borderId="4" xfId="0" applyFont="1" applyFill="1" applyBorder="1" applyAlignment="1" applyProtection="1">
      <alignment horizontal="center" vertical="center" wrapText="1"/>
      <protection hidden="1"/>
    </xf>
    <xf numFmtId="0" fontId="208" fillId="13" borderId="9" xfId="0" applyFont="1" applyFill="1" applyBorder="1" applyAlignment="1" applyProtection="1">
      <alignment horizontal="center" vertical="center" wrapText="1"/>
      <protection hidden="1"/>
    </xf>
    <xf numFmtId="0" fontId="208" fillId="13" borderId="4" xfId="0" applyFont="1" applyFill="1" applyBorder="1" applyAlignment="1" applyProtection="1">
      <alignment horizontal="center" vertical="center" wrapText="1"/>
      <protection hidden="1"/>
    </xf>
    <xf numFmtId="0" fontId="276" fillId="13" borderId="40" xfId="0" applyFont="1" applyFill="1" applyBorder="1" applyAlignment="1" applyProtection="1">
      <alignment horizontal="center" vertical="center"/>
      <protection hidden="1"/>
    </xf>
    <xf numFmtId="0" fontId="276" fillId="13" borderId="41" xfId="0" applyFont="1" applyFill="1" applyBorder="1" applyAlignment="1" applyProtection="1">
      <alignment horizontal="center" vertical="center"/>
      <protection hidden="1"/>
    </xf>
    <xf numFmtId="0" fontId="276" fillId="13" borderId="88" xfId="0" applyFont="1" applyFill="1" applyBorder="1" applyAlignment="1" applyProtection="1">
      <alignment horizontal="center" vertical="center"/>
      <protection hidden="1"/>
    </xf>
    <xf numFmtId="0" fontId="276" fillId="13" borderId="13" xfId="0" applyFont="1" applyFill="1" applyBorder="1" applyAlignment="1" applyProtection="1">
      <alignment horizontal="center" vertical="center"/>
      <protection hidden="1"/>
    </xf>
    <xf numFmtId="0" fontId="276" fillId="13" borderId="0" xfId="0" applyFont="1" applyFill="1" applyAlignment="1" applyProtection="1">
      <alignment horizontal="center" vertical="center"/>
      <protection hidden="1"/>
    </xf>
    <xf numFmtId="0" fontId="276" fillId="13" borderId="90" xfId="0" applyFont="1" applyFill="1" applyBorder="1" applyAlignment="1" applyProtection="1">
      <alignment horizontal="center" vertical="center"/>
      <protection hidden="1"/>
    </xf>
    <xf numFmtId="0" fontId="276" fillId="13" borderId="48" xfId="0" applyFont="1" applyFill="1" applyBorder="1" applyAlignment="1" applyProtection="1">
      <alignment horizontal="center" vertical="center"/>
      <protection hidden="1"/>
    </xf>
    <xf numFmtId="0" fontId="276" fillId="13" borderId="15" xfId="0" applyFont="1" applyFill="1" applyBorder="1" applyAlignment="1" applyProtection="1">
      <alignment horizontal="center" vertical="center"/>
      <protection hidden="1"/>
    </xf>
    <xf numFmtId="0" fontId="276" fillId="13" borderId="23" xfId="0" applyFont="1" applyFill="1" applyBorder="1" applyAlignment="1" applyProtection="1">
      <alignment horizontal="center" vertical="center"/>
      <protection hidden="1"/>
    </xf>
    <xf numFmtId="0" fontId="203" fillId="13" borderId="9" xfId="0" applyFont="1" applyFill="1" applyBorder="1" applyAlignment="1" applyProtection="1">
      <alignment horizontal="center" vertical="center" wrapText="1"/>
      <protection hidden="1"/>
    </xf>
    <xf numFmtId="0" fontId="203" fillId="13" borderId="4" xfId="0" applyFont="1" applyFill="1" applyBorder="1" applyAlignment="1" applyProtection="1">
      <alignment horizontal="center" vertical="center" wrapText="1"/>
      <protection hidden="1"/>
    </xf>
    <xf numFmtId="175" fontId="78" fillId="13" borderId="64" xfId="0" applyNumberFormat="1" applyFont="1" applyFill="1" applyBorder="1" applyAlignment="1" applyProtection="1">
      <alignment horizontal="center" vertical="center"/>
      <protection hidden="1"/>
    </xf>
    <xf numFmtId="0" fontId="164" fillId="13" borderId="66" xfId="0" applyFont="1" applyFill="1" applyBorder="1" applyAlignment="1" applyProtection="1">
      <alignment horizontal="center" vertical="center" wrapText="1"/>
      <protection hidden="1"/>
    </xf>
    <xf numFmtId="0" fontId="164" fillId="13" borderId="86" xfId="0" applyFont="1" applyFill="1" applyBorder="1" applyAlignment="1" applyProtection="1">
      <alignment horizontal="center" vertical="center" wrapText="1"/>
      <protection hidden="1"/>
    </xf>
    <xf numFmtId="0" fontId="164" fillId="13" borderId="151" xfId="0" applyFont="1" applyFill="1" applyBorder="1" applyAlignment="1" applyProtection="1">
      <alignment horizontal="center" vertical="center" wrapText="1"/>
      <protection hidden="1"/>
    </xf>
    <xf numFmtId="14" fontId="164" fillId="13" borderId="85" xfId="0" applyNumberFormat="1" applyFont="1" applyFill="1" applyBorder="1" applyAlignment="1" applyProtection="1">
      <alignment horizontal="center" vertical="center" wrapText="1"/>
      <protection hidden="1"/>
    </xf>
    <xf numFmtId="14" fontId="164" fillId="13" borderId="151" xfId="0" applyNumberFormat="1" applyFont="1" applyFill="1" applyBorder="1" applyAlignment="1" applyProtection="1">
      <alignment horizontal="center" vertical="center" wrapText="1"/>
      <protection hidden="1"/>
    </xf>
    <xf numFmtId="167" fontId="39" fillId="13" borderId="40" xfId="0" applyNumberFormat="1" applyFont="1" applyFill="1" applyBorder="1" applyAlignment="1" applyProtection="1">
      <alignment horizontal="center" vertical="center" wrapText="1"/>
      <protection hidden="1"/>
    </xf>
    <xf numFmtId="167" fontId="39" fillId="13" borderId="41" xfId="0" applyNumberFormat="1" applyFont="1" applyFill="1" applyBorder="1" applyAlignment="1" applyProtection="1">
      <alignment horizontal="center" vertical="center" wrapText="1"/>
      <protection hidden="1"/>
    </xf>
    <xf numFmtId="167" fontId="39" fillId="13" borderId="88" xfId="0" applyNumberFormat="1" applyFont="1" applyFill="1" applyBorder="1" applyAlignment="1" applyProtection="1">
      <alignment horizontal="center" vertical="center" wrapText="1"/>
      <protection hidden="1"/>
    </xf>
    <xf numFmtId="167" fontId="39" fillId="13" borderId="13" xfId="0" applyNumberFormat="1" applyFont="1" applyFill="1" applyBorder="1" applyAlignment="1" applyProtection="1">
      <alignment horizontal="center" vertical="center" wrapText="1"/>
      <protection hidden="1"/>
    </xf>
    <xf numFmtId="167" fontId="39" fillId="13" borderId="0" xfId="0" applyNumberFormat="1" applyFont="1" applyFill="1" applyBorder="1" applyAlignment="1" applyProtection="1">
      <alignment horizontal="center" vertical="center" wrapText="1"/>
      <protection hidden="1"/>
    </xf>
    <xf numFmtId="167" fontId="39" fillId="13" borderId="90" xfId="0" applyNumberFormat="1" applyFont="1" applyFill="1" applyBorder="1" applyAlignment="1" applyProtection="1">
      <alignment horizontal="center" vertical="center" wrapText="1"/>
      <protection hidden="1"/>
    </xf>
    <xf numFmtId="167" fontId="39" fillId="13" borderId="48" xfId="0" applyNumberFormat="1" applyFont="1" applyFill="1" applyBorder="1" applyAlignment="1" applyProtection="1">
      <alignment horizontal="center" vertical="center" wrapText="1"/>
      <protection hidden="1"/>
    </xf>
    <xf numFmtId="167" fontId="39" fillId="13" borderId="15" xfId="0" applyNumberFormat="1" applyFont="1" applyFill="1" applyBorder="1" applyAlignment="1" applyProtection="1">
      <alignment horizontal="center" vertical="center" wrapText="1"/>
      <protection hidden="1"/>
    </xf>
    <xf numFmtId="167" fontId="39" fillId="13" borderId="23" xfId="0" applyNumberFormat="1" applyFont="1" applyFill="1" applyBorder="1" applyAlignment="1" applyProtection="1">
      <alignment horizontal="center" vertical="center" wrapText="1"/>
      <protection hidden="1"/>
    </xf>
    <xf numFmtId="167" fontId="6" fillId="13" borderId="10" xfId="0" applyNumberFormat="1" applyFont="1" applyFill="1" applyBorder="1" applyAlignment="1" applyProtection="1">
      <alignment horizontal="center" vertical="center" wrapText="1"/>
      <protection hidden="1"/>
    </xf>
    <xf numFmtId="167" fontId="6" fillId="13" borderId="28" xfId="0" applyNumberFormat="1" applyFont="1" applyFill="1" applyBorder="1" applyAlignment="1" applyProtection="1">
      <alignment horizontal="center" vertical="center" wrapText="1"/>
      <protection hidden="1"/>
    </xf>
    <xf numFmtId="167" fontId="6" fillId="13" borderId="13" xfId="0" applyNumberFormat="1" applyFont="1" applyFill="1" applyBorder="1" applyAlignment="1" applyProtection="1">
      <alignment horizontal="center" vertical="center" wrapText="1"/>
      <protection hidden="1"/>
    </xf>
    <xf numFmtId="167" fontId="6" fillId="13" borderId="90" xfId="0" applyNumberFormat="1" applyFont="1" applyFill="1" applyBorder="1" applyAlignment="1" applyProtection="1">
      <alignment horizontal="center" vertical="center" wrapText="1"/>
      <protection hidden="1"/>
    </xf>
    <xf numFmtId="167" fontId="6" fillId="13" borderId="24" xfId="0" applyNumberFormat="1" applyFont="1" applyFill="1" applyBorder="1" applyAlignment="1" applyProtection="1">
      <alignment horizontal="center" vertical="center" wrapText="1"/>
      <protection hidden="1"/>
    </xf>
    <xf numFmtId="167" fontId="6" fillId="13" borderId="108" xfId="0" applyNumberFormat="1" applyFont="1" applyFill="1" applyBorder="1" applyAlignment="1" applyProtection="1">
      <alignment horizontal="center" vertical="center" wrapText="1"/>
      <protection hidden="1"/>
    </xf>
    <xf numFmtId="0" fontId="277" fillId="11" borderId="66" xfId="5" applyFont="1" applyFill="1" applyBorder="1" applyAlignment="1" applyProtection="1">
      <alignment horizontal="center" vertical="center" wrapText="1"/>
      <protection hidden="1"/>
    </xf>
    <xf numFmtId="0" fontId="277" fillId="11" borderId="86" xfId="5" applyFont="1" applyFill="1" applyBorder="1" applyAlignment="1" applyProtection="1">
      <alignment horizontal="center" vertical="center" wrapText="1"/>
      <protection hidden="1"/>
    </xf>
    <xf numFmtId="0" fontId="277" fillId="11" borderId="151" xfId="5" applyFont="1" applyFill="1" applyBorder="1" applyAlignment="1" applyProtection="1">
      <alignment horizontal="center" vertical="center" wrapText="1"/>
      <protection hidden="1"/>
    </xf>
    <xf numFmtId="0" fontId="278" fillId="13" borderId="11" xfId="5" applyFont="1" applyFill="1" applyBorder="1" applyAlignment="1" applyProtection="1">
      <alignment horizontal="center" vertical="center" wrapText="1"/>
      <protection hidden="1"/>
    </xf>
    <xf numFmtId="0" fontId="278" fillId="13" borderId="35" xfId="5" applyFont="1" applyFill="1" applyBorder="1" applyAlignment="1" applyProtection="1">
      <alignment horizontal="center" vertical="center" wrapText="1"/>
      <protection hidden="1"/>
    </xf>
    <xf numFmtId="0" fontId="278" fillId="13" borderId="61" xfId="5" applyFont="1" applyFill="1" applyBorder="1" applyAlignment="1" applyProtection="1">
      <alignment horizontal="center" vertical="center" wrapText="1"/>
      <protection hidden="1"/>
    </xf>
    <xf numFmtId="0" fontId="279" fillId="11" borderId="26" xfId="5" applyFont="1" applyFill="1" applyBorder="1" applyAlignment="1" applyProtection="1">
      <alignment horizontal="center" vertical="center" wrapText="1"/>
      <protection hidden="1"/>
    </xf>
    <xf numFmtId="0" fontId="279" fillId="11" borderId="95" xfId="5" applyFont="1" applyFill="1" applyBorder="1" applyAlignment="1" applyProtection="1">
      <alignment horizontal="center" vertical="center" wrapText="1"/>
      <protection hidden="1"/>
    </xf>
    <xf numFmtId="0" fontId="279" fillId="11" borderId="96" xfId="5" applyFont="1" applyFill="1" applyBorder="1" applyAlignment="1" applyProtection="1">
      <alignment horizontal="center" vertical="center" wrapText="1"/>
      <protection hidden="1"/>
    </xf>
    <xf numFmtId="0" fontId="215" fillId="12" borderId="40" xfId="0" applyFont="1" applyFill="1" applyBorder="1" applyAlignment="1" applyProtection="1">
      <alignment horizontal="center" vertical="center"/>
      <protection hidden="1"/>
    </xf>
    <xf numFmtId="0" fontId="215" fillId="12" borderId="13" xfId="0" applyFont="1" applyFill="1" applyBorder="1" applyAlignment="1" applyProtection="1">
      <alignment horizontal="center" vertical="center"/>
      <protection hidden="1"/>
    </xf>
    <xf numFmtId="0" fontId="215" fillId="12" borderId="48" xfId="0" applyFont="1" applyFill="1" applyBorder="1" applyAlignment="1" applyProtection="1">
      <alignment horizontal="center" vertical="center"/>
      <protection hidden="1"/>
    </xf>
    <xf numFmtId="0" fontId="215" fillId="13" borderId="40" xfId="0" applyFont="1" applyFill="1" applyBorder="1" applyAlignment="1" applyProtection="1">
      <alignment horizontal="center" vertical="center"/>
      <protection hidden="1"/>
    </xf>
    <xf numFmtId="0" fontId="215" fillId="13" borderId="41" xfId="0" applyFont="1" applyFill="1" applyBorder="1" applyAlignment="1" applyProtection="1">
      <alignment horizontal="center" vertical="center"/>
      <protection hidden="1"/>
    </xf>
    <xf numFmtId="0" fontId="215" fillId="13" borderId="88" xfId="0" applyFont="1" applyFill="1" applyBorder="1" applyAlignment="1" applyProtection="1">
      <alignment horizontal="center" vertical="center"/>
      <protection hidden="1"/>
    </xf>
    <xf numFmtId="0" fontId="215" fillId="13" borderId="13" xfId="0" applyFont="1" applyFill="1" applyBorder="1" applyAlignment="1" applyProtection="1">
      <alignment horizontal="center" vertical="center"/>
      <protection hidden="1"/>
    </xf>
    <xf numFmtId="0" fontId="215" fillId="13" borderId="0" xfId="0" applyFont="1" applyFill="1" applyBorder="1" applyAlignment="1" applyProtection="1">
      <alignment horizontal="center" vertical="center"/>
      <protection hidden="1"/>
    </xf>
    <xf numFmtId="0" fontId="215" fillId="13" borderId="90" xfId="0" applyFont="1" applyFill="1" applyBorder="1" applyAlignment="1" applyProtection="1">
      <alignment horizontal="center" vertical="center"/>
      <protection hidden="1"/>
    </xf>
    <xf numFmtId="0" fontId="215" fillId="13" borderId="48" xfId="0" applyFont="1" applyFill="1" applyBorder="1" applyAlignment="1" applyProtection="1">
      <alignment horizontal="center" vertical="center"/>
      <protection hidden="1"/>
    </xf>
    <xf numFmtId="0" fontId="215" fillId="13" borderId="15" xfId="0" applyFont="1" applyFill="1" applyBorder="1" applyAlignment="1" applyProtection="1">
      <alignment horizontal="center" vertical="center"/>
      <protection hidden="1"/>
    </xf>
    <xf numFmtId="0" fontId="215" fillId="13" borderId="23" xfId="0" applyFont="1" applyFill="1" applyBorder="1" applyAlignment="1" applyProtection="1">
      <alignment horizontal="center" vertical="center"/>
      <protection hidden="1"/>
    </xf>
    <xf numFmtId="0" fontId="0" fillId="0" borderId="40" xfId="0" applyBorder="1" applyAlignment="1" applyProtection="1">
      <alignment horizontal="center" vertical="center"/>
      <protection hidden="1"/>
    </xf>
    <xf numFmtId="0" fontId="0" fillId="0" borderId="88" xfId="0" applyBorder="1" applyAlignment="1" applyProtection="1">
      <alignment horizontal="center" vertical="center"/>
      <protection hidden="1"/>
    </xf>
    <xf numFmtId="0" fontId="0" fillId="0" borderId="48" xfId="0" applyBorder="1" applyAlignment="1" applyProtection="1">
      <alignment horizontal="center" vertical="center"/>
      <protection hidden="1"/>
    </xf>
    <xf numFmtId="0" fontId="0" fillId="0" borderId="23" xfId="0" applyBorder="1" applyAlignment="1" applyProtection="1">
      <alignment horizontal="center" vertical="center"/>
      <protection hidden="1"/>
    </xf>
    <xf numFmtId="0" fontId="69" fillId="12" borderId="40" xfId="0" applyFont="1" applyFill="1" applyBorder="1" applyAlignment="1" applyProtection="1">
      <alignment horizontal="center" vertical="center" wrapText="1"/>
      <protection hidden="1"/>
    </xf>
    <xf numFmtId="0" fontId="69" fillId="12" borderId="88" xfId="0" applyFont="1" applyFill="1" applyBorder="1" applyAlignment="1" applyProtection="1">
      <alignment horizontal="center" vertical="center" wrapText="1"/>
      <protection hidden="1"/>
    </xf>
    <xf numFmtId="0" fontId="69" fillId="12" borderId="13" xfId="0" applyFont="1" applyFill="1" applyBorder="1" applyAlignment="1" applyProtection="1">
      <alignment horizontal="center" vertical="center" wrapText="1"/>
      <protection hidden="1"/>
    </xf>
    <xf numFmtId="0" fontId="69" fillId="12" borderId="48" xfId="0" applyFont="1" applyFill="1" applyBorder="1" applyAlignment="1" applyProtection="1">
      <alignment horizontal="center" vertical="center" wrapText="1"/>
      <protection hidden="1"/>
    </xf>
    <xf numFmtId="0" fontId="0" fillId="0" borderId="13" xfId="0" applyBorder="1" applyAlignment="1" applyProtection="1">
      <alignment horizontal="center" vertical="center"/>
      <protection hidden="1"/>
    </xf>
    <xf numFmtId="0" fontId="0" fillId="0" borderId="90" xfId="0" applyBorder="1" applyAlignment="1" applyProtection="1">
      <alignment horizontal="center" vertical="center"/>
      <protection hidden="1"/>
    </xf>
    <xf numFmtId="0" fontId="0" fillId="12" borderId="131" xfId="0" applyFill="1" applyBorder="1" applyAlignment="1" applyProtection="1">
      <alignment horizontal="center" vertical="center"/>
      <protection hidden="1"/>
    </xf>
    <xf numFmtId="0" fontId="6" fillId="0" borderId="48" xfId="0" applyFont="1" applyBorder="1" applyAlignment="1" applyProtection="1">
      <alignment horizontal="center" vertical="center" wrapText="1"/>
      <protection hidden="1"/>
    </xf>
    <xf numFmtId="0" fontId="6" fillId="0" borderId="23" xfId="0" applyFont="1" applyBorder="1" applyAlignment="1" applyProtection="1">
      <alignment horizontal="center" vertical="center" wrapText="1"/>
      <protection hidden="1"/>
    </xf>
    <xf numFmtId="0" fontId="246" fillId="13" borderId="10" xfId="0" applyFont="1" applyFill="1" applyBorder="1" applyAlignment="1" applyProtection="1">
      <alignment horizontal="center" vertical="center" wrapText="1"/>
      <protection hidden="1"/>
    </xf>
    <xf numFmtId="0" fontId="246" fillId="13" borderId="22" xfId="0" applyFont="1" applyFill="1" applyBorder="1" applyAlignment="1" applyProtection="1">
      <alignment horizontal="center" vertical="center" wrapText="1"/>
      <protection hidden="1"/>
    </xf>
    <xf numFmtId="0" fontId="246" fillId="13" borderId="28" xfId="0" applyFont="1" applyFill="1" applyBorder="1" applyAlignment="1" applyProtection="1">
      <alignment horizontal="center" vertical="center" wrapText="1"/>
      <protection hidden="1"/>
    </xf>
    <xf numFmtId="0" fontId="2" fillId="0" borderId="40" xfId="0" applyFont="1" applyBorder="1" applyAlignment="1" applyProtection="1">
      <alignment horizontal="center" vertical="center"/>
      <protection hidden="1"/>
    </xf>
    <xf numFmtId="0" fontId="2" fillId="0" borderId="41" xfId="0" applyFont="1" applyBorder="1" applyAlignment="1" applyProtection="1">
      <alignment horizontal="center" vertical="center"/>
      <protection hidden="1"/>
    </xf>
    <xf numFmtId="0" fontId="2" fillId="0" borderId="88" xfId="0" applyFont="1" applyBorder="1" applyAlignment="1" applyProtection="1">
      <alignment horizontal="center" vertical="center"/>
      <protection hidden="1"/>
    </xf>
    <xf numFmtId="0" fontId="270" fillId="6" borderId="10" xfId="0" applyFont="1" applyFill="1" applyBorder="1" applyAlignment="1" applyProtection="1">
      <alignment horizontal="center" vertical="center"/>
      <protection hidden="1"/>
    </xf>
    <xf numFmtId="0" fontId="270" fillId="6" borderId="22" xfId="0" applyFont="1" applyFill="1" applyBorder="1" applyAlignment="1" applyProtection="1">
      <alignment horizontal="center" vertical="center"/>
      <protection hidden="1"/>
    </xf>
    <xf numFmtId="0" fontId="270" fillId="6" borderId="28" xfId="0" applyFont="1" applyFill="1" applyBorder="1" applyAlignment="1" applyProtection="1">
      <alignment horizontal="center" vertical="center"/>
      <protection hidden="1"/>
    </xf>
    <xf numFmtId="0" fontId="269" fillId="4" borderId="10" xfId="0" applyFont="1" applyFill="1" applyBorder="1" applyAlignment="1" applyProtection="1">
      <alignment horizontal="center" vertical="center"/>
      <protection hidden="1"/>
    </xf>
    <xf numFmtId="0" fontId="269" fillId="4" borderId="22" xfId="0" applyFont="1" applyFill="1" applyBorder="1" applyAlignment="1" applyProtection="1">
      <alignment horizontal="center" vertical="center"/>
      <protection hidden="1"/>
    </xf>
    <xf numFmtId="0" fontId="269" fillId="4" borderId="28" xfId="0" applyFont="1" applyFill="1" applyBorder="1" applyAlignment="1" applyProtection="1">
      <alignment horizontal="center" vertical="center"/>
      <protection hidden="1"/>
    </xf>
    <xf numFmtId="0" fontId="268" fillId="8" borderId="10" xfId="0" applyFont="1" applyFill="1" applyBorder="1" applyAlignment="1" applyProtection="1">
      <alignment horizontal="center" vertical="center"/>
      <protection hidden="1"/>
    </xf>
    <xf numFmtId="0" fontId="268" fillId="8" borderId="22" xfId="0" applyFont="1" applyFill="1" applyBorder="1" applyAlignment="1" applyProtection="1">
      <alignment horizontal="center" vertical="center"/>
      <protection hidden="1"/>
    </xf>
    <xf numFmtId="0" fontId="268" fillId="8" borderId="28" xfId="0" applyFont="1" applyFill="1" applyBorder="1" applyAlignment="1" applyProtection="1">
      <alignment horizontal="center" vertical="center"/>
      <protection hidden="1"/>
    </xf>
    <xf numFmtId="0" fontId="271" fillId="5" borderId="133" xfId="0" applyFont="1" applyFill="1" applyBorder="1" applyAlignment="1" applyProtection="1">
      <alignment horizontal="center" vertical="center"/>
      <protection hidden="1"/>
    </xf>
    <xf numFmtId="0" fontId="271" fillId="5" borderId="100" xfId="0" applyFont="1" applyFill="1" applyBorder="1" applyAlignment="1" applyProtection="1">
      <alignment horizontal="center" vertical="center"/>
      <protection hidden="1"/>
    </xf>
    <xf numFmtId="0" fontId="271" fillId="5" borderId="134" xfId="0" applyFont="1" applyFill="1" applyBorder="1" applyAlignment="1" applyProtection="1">
      <alignment horizontal="center" vertical="center"/>
      <protection hidden="1"/>
    </xf>
    <xf numFmtId="0" fontId="87" fillId="2" borderId="13" xfId="0" applyFont="1" applyFill="1" applyBorder="1" applyAlignment="1" applyProtection="1">
      <alignment horizontal="center" vertical="center" wrapText="1"/>
      <protection hidden="1"/>
    </xf>
    <xf numFmtId="0" fontId="87" fillId="2" borderId="0" xfId="0" applyFont="1" applyFill="1" applyBorder="1" applyAlignment="1" applyProtection="1">
      <alignment horizontal="center" vertical="center" wrapText="1"/>
      <protection hidden="1"/>
    </xf>
    <xf numFmtId="0" fontId="87" fillId="2" borderId="90" xfId="0" applyFont="1" applyFill="1" applyBorder="1" applyAlignment="1" applyProtection="1">
      <alignment horizontal="center" vertical="center" wrapText="1"/>
      <protection hidden="1"/>
    </xf>
    <xf numFmtId="0" fontId="269" fillId="7" borderId="45" xfId="0" applyFont="1" applyFill="1" applyBorder="1" applyAlignment="1" applyProtection="1">
      <alignment horizontal="center" vertical="center"/>
      <protection hidden="1"/>
    </xf>
    <xf numFmtId="0" fontId="269" fillId="7" borderId="150" xfId="0" applyFont="1" applyFill="1" applyBorder="1" applyAlignment="1" applyProtection="1">
      <alignment horizontal="center" vertical="center"/>
      <protection hidden="1"/>
    </xf>
    <xf numFmtId="0" fontId="269" fillId="7" borderId="118" xfId="0" applyFont="1" applyFill="1" applyBorder="1" applyAlignment="1" applyProtection="1">
      <alignment horizontal="center" vertical="center"/>
      <protection hidden="1"/>
    </xf>
    <xf numFmtId="0" fontId="164" fillId="13" borderId="18" xfId="0" applyFont="1" applyFill="1" applyBorder="1" applyAlignment="1" applyProtection="1">
      <alignment horizontal="center" vertical="center" wrapText="1"/>
      <protection hidden="1"/>
    </xf>
    <xf numFmtId="0" fontId="164" fillId="13" borderId="124" xfId="0" applyFont="1" applyFill="1" applyBorder="1" applyAlignment="1" applyProtection="1">
      <alignment horizontal="center" vertical="center" wrapText="1"/>
      <protection hidden="1"/>
    </xf>
    <xf numFmtId="0" fontId="164" fillId="13" borderId="71" xfId="0" applyFont="1" applyFill="1" applyBorder="1" applyAlignment="1" applyProtection="1">
      <alignment horizontal="center" vertical="center" wrapText="1"/>
      <protection hidden="1"/>
    </xf>
    <xf numFmtId="0" fontId="164" fillId="12" borderId="18" xfId="0" applyFont="1" applyFill="1" applyBorder="1" applyAlignment="1" applyProtection="1">
      <alignment horizontal="center" vertical="center"/>
      <protection hidden="1"/>
    </xf>
    <xf numFmtId="0" fontId="164" fillId="12" borderId="124" xfId="0" applyFont="1" applyFill="1" applyBorder="1" applyAlignment="1" applyProtection="1">
      <alignment horizontal="center" vertical="center"/>
      <protection hidden="1"/>
    </xf>
    <xf numFmtId="0" fontId="164" fillId="12" borderId="65" xfId="0" applyFont="1" applyFill="1" applyBorder="1" applyAlignment="1" applyProtection="1">
      <alignment horizontal="center" vertical="center"/>
      <protection hidden="1"/>
    </xf>
    <xf numFmtId="0" fontId="100" fillId="12" borderId="18" xfId="4" applyFont="1" applyFill="1" applyBorder="1" applyAlignment="1" applyProtection="1">
      <alignment horizontal="center" vertical="center" wrapText="1"/>
      <protection hidden="1"/>
    </xf>
    <xf numFmtId="0" fontId="100" fillId="12" borderId="71" xfId="4" applyFont="1" applyFill="1" applyBorder="1" applyAlignment="1" applyProtection="1">
      <alignment horizontal="center" vertical="center" wrapText="1"/>
      <protection hidden="1"/>
    </xf>
    <xf numFmtId="0" fontId="2" fillId="0" borderId="112" xfId="4" applyFont="1" applyBorder="1" applyAlignment="1" applyProtection="1">
      <alignment horizontal="center" vertical="center"/>
      <protection hidden="1"/>
    </xf>
    <xf numFmtId="0" fontId="2" fillId="0" borderId="15" xfId="4" applyFont="1" applyBorder="1" applyAlignment="1" applyProtection="1">
      <alignment horizontal="center" vertical="center"/>
      <protection hidden="1"/>
    </xf>
    <xf numFmtId="0" fontId="36" fillId="9" borderId="40" xfId="4" applyFont="1" applyFill="1" applyBorder="1" applyAlignment="1" applyProtection="1">
      <alignment horizontal="center" vertical="center"/>
      <protection hidden="1"/>
    </xf>
    <xf numFmtId="0" fontId="36" fillId="9" borderId="41" xfId="4" applyFont="1" applyFill="1" applyBorder="1" applyAlignment="1" applyProtection="1">
      <alignment horizontal="center" vertical="center"/>
      <protection hidden="1"/>
    </xf>
    <xf numFmtId="0" fontId="36" fillId="9" borderId="88" xfId="4" applyFont="1" applyFill="1" applyBorder="1" applyAlignment="1" applyProtection="1">
      <alignment horizontal="center" vertical="center"/>
      <protection hidden="1"/>
    </xf>
    <xf numFmtId="0" fontId="100" fillId="12" borderId="72" xfId="4" applyFont="1" applyFill="1" applyBorder="1" applyAlignment="1" applyProtection="1">
      <alignment horizontal="center" vertical="center" wrapText="1"/>
      <protection hidden="1"/>
    </xf>
    <xf numFmtId="0" fontId="100" fillId="12" borderId="78" xfId="4" applyFont="1" applyFill="1" applyBorder="1" applyAlignment="1" applyProtection="1">
      <alignment horizontal="center" vertical="center" wrapText="1"/>
      <protection hidden="1"/>
    </xf>
    <xf numFmtId="0" fontId="36" fillId="10" borderId="116" xfId="4" applyFont="1" applyFill="1" applyBorder="1" applyAlignment="1" applyProtection="1">
      <alignment horizontal="center" vertical="center"/>
      <protection hidden="1"/>
    </xf>
    <xf numFmtId="0" fontId="36" fillId="10" borderId="42" xfId="4" applyFont="1" applyFill="1" applyBorder="1" applyAlignment="1" applyProtection="1">
      <alignment horizontal="center" vertical="center"/>
      <protection hidden="1"/>
    </xf>
    <xf numFmtId="0" fontId="36" fillId="10" borderId="80" xfId="4" applyFont="1" applyFill="1" applyBorder="1" applyAlignment="1" applyProtection="1">
      <alignment horizontal="center" vertical="center"/>
      <protection hidden="1"/>
    </xf>
    <xf numFmtId="0" fontId="84" fillId="3" borderId="52" xfId="4" applyFont="1" applyFill="1" applyBorder="1" applyAlignment="1" applyProtection="1">
      <alignment horizontal="center" vertical="center"/>
      <protection hidden="1"/>
    </xf>
    <xf numFmtId="0" fontId="84" fillId="3" borderId="169" xfId="4" applyFont="1" applyFill="1" applyBorder="1" applyAlignment="1" applyProtection="1">
      <alignment horizontal="center" vertical="center"/>
      <protection hidden="1"/>
    </xf>
    <xf numFmtId="0" fontId="84" fillId="3" borderId="170" xfId="4" applyFont="1" applyFill="1" applyBorder="1" applyAlignment="1" applyProtection="1">
      <alignment horizontal="center" vertical="center"/>
      <protection hidden="1"/>
    </xf>
    <xf numFmtId="0" fontId="211" fillId="2" borderId="131" xfId="4" applyFont="1" applyFill="1" applyBorder="1" applyAlignment="1" applyProtection="1">
      <alignment horizontal="center" vertical="center" wrapText="1"/>
      <protection hidden="1"/>
    </xf>
    <xf numFmtId="0" fontId="211" fillId="2" borderId="132" xfId="4" applyFont="1" applyFill="1" applyBorder="1" applyAlignment="1" applyProtection="1">
      <alignment horizontal="center" vertical="center" wrapText="1"/>
      <protection hidden="1"/>
    </xf>
    <xf numFmtId="0" fontId="211" fillId="2" borderId="107" xfId="4" applyFont="1" applyFill="1" applyBorder="1" applyAlignment="1" applyProtection="1">
      <alignment horizontal="center" vertical="center" wrapText="1"/>
      <protection hidden="1"/>
    </xf>
    <xf numFmtId="0" fontId="75" fillId="8" borderId="116" xfId="4" applyFont="1" applyFill="1" applyBorder="1" applyAlignment="1" applyProtection="1">
      <alignment horizontal="center" vertical="center"/>
      <protection hidden="1"/>
    </xf>
    <xf numFmtId="0" fontId="75" fillId="8" borderId="42" xfId="4" applyFont="1" applyFill="1" applyBorder="1" applyAlignment="1" applyProtection="1">
      <alignment horizontal="center" vertical="center"/>
      <protection hidden="1"/>
    </xf>
    <xf numFmtId="0" fontId="75" fillId="8" borderId="80" xfId="4" applyFont="1" applyFill="1" applyBorder="1" applyAlignment="1" applyProtection="1">
      <alignment horizontal="center" vertical="center"/>
      <protection hidden="1"/>
    </xf>
    <xf numFmtId="0" fontId="282" fillId="23" borderId="67" xfId="0" applyNumberFormat="1" applyFont="1" applyFill="1" applyBorder="1" applyAlignment="1" applyProtection="1">
      <alignment horizontal="center" vertical="center"/>
      <protection hidden="1"/>
    </xf>
    <xf numFmtId="167" fontId="190" fillId="23" borderId="55" xfId="0" applyNumberFormat="1" applyFont="1" applyFill="1" applyBorder="1" applyAlignment="1" applyProtection="1">
      <alignment horizontal="center" vertical="center"/>
      <protection hidden="1"/>
    </xf>
    <xf numFmtId="0" fontId="281" fillId="23" borderId="36" xfId="0" applyNumberFormat="1" applyFont="1" applyFill="1" applyBorder="1" applyAlignment="1" applyProtection="1">
      <alignment horizontal="center" vertical="center"/>
      <protection hidden="1"/>
    </xf>
    <xf numFmtId="167" fontId="190" fillId="23" borderId="47" xfId="0" applyNumberFormat="1" applyFont="1" applyFill="1" applyBorder="1" applyAlignment="1" applyProtection="1">
      <alignment horizontal="center" vertical="center"/>
      <protection hidden="1"/>
    </xf>
    <xf numFmtId="0" fontId="282" fillId="23" borderId="36" xfId="0" applyNumberFormat="1" applyFont="1" applyFill="1" applyBorder="1" applyAlignment="1" applyProtection="1">
      <alignment horizontal="center" vertical="center"/>
      <protection hidden="1"/>
    </xf>
    <xf numFmtId="0" fontId="281" fillId="23" borderId="57" xfId="0" applyNumberFormat="1" applyFont="1" applyFill="1" applyBorder="1" applyAlignment="1" applyProtection="1">
      <alignment horizontal="center" vertical="center"/>
      <protection hidden="1"/>
    </xf>
    <xf numFmtId="0" fontId="165" fillId="23" borderId="68" xfId="0" applyNumberFormat="1" applyFont="1" applyFill="1" applyBorder="1" applyAlignment="1" applyProtection="1">
      <alignment horizontal="center" vertical="center"/>
      <protection hidden="1"/>
    </xf>
    <xf numFmtId="167" fontId="191" fillId="23" borderId="55" xfId="0" applyNumberFormat="1" applyFont="1" applyFill="1" applyBorder="1" applyAlignment="1" applyProtection="1">
      <alignment horizontal="center" vertical="center"/>
      <protection hidden="1"/>
    </xf>
    <xf numFmtId="0" fontId="165" fillId="23" borderId="36" xfId="0" applyNumberFormat="1" applyFont="1" applyFill="1" applyBorder="1" applyAlignment="1" applyProtection="1">
      <alignment horizontal="center" vertical="center"/>
      <protection hidden="1"/>
    </xf>
    <xf numFmtId="167" fontId="191" fillId="23" borderId="47" xfId="0" applyNumberFormat="1" applyFont="1" applyFill="1" applyBorder="1" applyAlignment="1" applyProtection="1">
      <alignment horizontal="center" vertical="center"/>
      <protection hidden="1"/>
    </xf>
    <xf numFmtId="0" fontId="283" fillId="23" borderId="36" xfId="0" applyNumberFormat="1" applyFont="1" applyFill="1" applyBorder="1" applyAlignment="1" applyProtection="1">
      <alignment horizontal="center" vertical="center"/>
      <protection hidden="1"/>
    </xf>
    <xf numFmtId="0" fontId="283" fillId="23" borderId="57" xfId="0" applyNumberFormat="1" applyFont="1" applyFill="1" applyBorder="1" applyAlignment="1" applyProtection="1">
      <alignment horizontal="center" vertical="center"/>
      <protection hidden="1"/>
    </xf>
    <xf numFmtId="0" fontId="284" fillId="23" borderId="68" xfId="0" applyNumberFormat="1" applyFont="1" applyFill="1" applyBorder="1" applyAlignment="1" applyProtection="1">
      <alignment horizontal="center" vertical="center"/>
      <protection hidden="1"/>
    </xf>
    <xf numFmtId="167" fontId="192" fillId="23" borderId="55" xfId="0" applyNumberFormat="1" applyFont="1" applyFill="1" applyBorder="1" applyAlignment="1" applyProtection="1">
      <alignment horizontal="center" vertical="center"/>
      <protection hidden="1"/>
    </xf>
    <xf numFmtId="0" fontId="284" fillId="23" borderId="36" xfId="0" applyNumberFormat="1" applyFont="1" applyFill="1" applyBorder="1" applyAlignment="1" applyProtection="1">
      <alignment horizontal="center" vertical="center"/>
      <protection hidden="1"/>
    </xf>
    <xf numFmtId="167" fontId="192" fillId="23" borderId="47" xfId="0" applyNumberFormat="1" applyFont="1" applyFill="1" applyBorder="1" applyAlignment="1" applyProtection="1">
      <alignment horizontal="center" vertical="center"/>
      <protection hidden="1"/>
    </xf>
    <xf numFmtId="0" fontId="285" fillId="23" borderId="57" xfId="0" applyNumberFormat="1" applyFont="1" applyFill="1" applyBorder="1" applyAlignment="1" applyProtection="1">
      <alignment horizontal="center" vertical="center"/>
      <protection hidden="1"/>
    </xf>
    <xf numFmtId="0" fontId="106" fillId="23" borderId="68" xfId="0" applyNumberFormat="1" applyFont="1" applyFill="1" applyBorder="1" applyAlignment="1" applyProtection="1">
      <alignment horizontal="center" vertical="center"/>
      <protection hidden="1"/>
    </xf>
    <xf numFmtId="167" fontId="193" fillId="23" borderId="55" xfId="0" applyNumberFormat="1" applyFont="1" applyFill="1" applyBorder="1" applyAlignment="1" applyProtection="1">
      <alignment horizontal="center" vertical="center"/>
      <protection hidden="1"/>
    </xf>
    <xf numFmtId="0" fontId="106" fillId="23" borderId="36" xfId="0" applyNumberFormat="1" applyFont="1" applyFill="1" applyBorder="1" applyAlignment="1" applyProtection="1">
      <alignment horizontal="center" vertical="center"/>
      <protection hidden="1"/>
    </xf>
    <xf numFmtId="167" fontId="193" fillId="23" borderId="47" xfId="0" applyNumberFormat="1" applyFont="1" applyFill="1" applyBorder="1" applyAlignment="1" applyProtection="1">
      <alignment horizontal="center" vertical="center"/>
      <protection hidden="1"/>
    </xf>
    <xf numFmtId="0" fontId="286" fillId="23" borderId="36" xfId="0" applyNumberFormat="1" applyFont="1" applyFill="1" applyBorder="1" applyAlignment="1" applyProtection="1">
      <alignment horizontal="center" vertical="center"/>
      <protection hidden="1"/>
    </xf>
    <xf numFmtId="0" fontId="286" fillId="23" borderId="57" xfId="0" applyNumberFormat="1" applyFont="1" applyFill="1" applyBorder="1" applyAlignment="1" applyProtection="1">
      <alignment horizontal="center" vertical="center"/>
      <protection hidden="1"/>
    </xf>
    <xf numFmtId="0" fontId="287" fillId="23" borderId="68" xfId="0" applyNumberFormat="1" applyFont="1" applyFill="1" applyBorder="1" applyAlignment="1" applyProtection="1">
      <alignment horizontal="center" vertical="center"/>
      <protection hidden="1"/>
    </xf>
    <xf numFmtId="167" fontId="194" fillId="23" borderId="55" xfId="0" applyNumberFormat="1" applyFont="1" applyFill="1" applyBorder="1" applyAlignment="1" applyProtection="1">
      <alignment horizontal="center" vertical="center"/>
      <protection hidden="1"/>
    </xf>
    <xf numFmtId="0" fontId="287" fillId="23" borderId="36" xfId="0" applyNumberFormat="1" applyFont="1" applyFill="1" applyBorder="1" applyAlignment="1" applyProtection="1">
      <alignment horizontal="center" vertical="center"/>
      <protection hidden="1"/>
    </xf>
    <xf numFmtId="167" fontId="194" fillId="23" borderId="47" xfId="0" applyNumberFormat="1" applyFont="1" applyFill="1" applyBorder="1" applyAlignment="1" applyProtection="1">
      <alignment horizontal="center" vertical="center"/>
      <protection hidden="1"/>
    </xf>
    <xf numFmtId="0" fontId="288" fillId="23" borderId="36" xfId="0" applyNumberFormat="1" applyFont="1" applyFill="1" applyBorder="1" applyAlignment="1" applyProtection="1">
      <alignment horizontal="center" vertical="center"/>
      <protection hidden="1"/>
    </xf>
    <xf numFmtId="0" fontId="288" fillId="23" borderId="57" xfId="0" applyNumberFormat="1" applyFont="1" applyFill="1" applyBorder="1" applyAlignment="1" applyProtection="1">
      <alignment horizontal="center" vertical="center"/>
      <protection hidden="1"/>
    </xf>
    <xf numFmtId="0" fontId="167" fillId="23" borderId="68" xfId="0" applyNumberFormat="1" applyFont="1" applyFill="1" applyBorder="1" applyAlignment="1" applyProtection="1">
      <alignment horizontal="center" vertical="center"/>
      <protection hidden="1"/>
    </xf>
    <xf numFmtId="167" fontId="195" fillId="23" borderId="55" xfId="0" applyNumberFormat="1" applyFont="1" applyFill="1" applyBorder="1" applyAlignment="1" applyProtection="1">
      <alignment horizontal="center" vertical="center"/>
      <protection hidden="1"/>
    </xf>
    <xf numFmtId="167" fontId="195" fillId="23" borderId="47" xfId="0" applyNumberFormat="1" applyFont="1" applyFill="1" applyBorder="1" applyAlignment="1" applyProtection="1">
      <alignment horizontal="center" vertical="center"/>
      <protection hidden="1"/>
    </xf>
    <xf numFmtId="0" fontId="108" fillId="23" borderId="36" xfId="0" applyNumberFormat="1" applyFont="1" applyFill="1" applyBorder="1" applyAlignment="1" applyProtection="1">
      <alignment horizontal="center" vertical="center"/>
      <protection hidden="1"/>
    </xf>
    <xf numFmtId="0" fontId="289" fillId="23" borderId="68" xfId="0" applyNumberFormat="1" applyFont="1" applyFill="1" applyBorder="1" applyAlignment="1" applyProtection="1">
      <alignment horizontal="center" vertical="center"/>
      <protection hidden="1"/>
    </xf>
    <xf numFmtId="167" fontId="196" fillId="23" borderId="55" xfId="0" applyNumberFormat="1" applyFont="1" applyFill="1" applyBorder="1" applyAlignment="1" applyProtection="1">
      <alignment horizontal="center" vertical="center"/>
      <protection hidden="1"/>
    </xf>
    <xf numFmtId="0" fontId="290" fillId="23" borderId="36" xfId="0" applyNumberFormat="1" applyFont="1" applyFill="1" applyBorder="1" applyAlignment="1" applyProtection="1">
      <alignment horizontal="center" vertical="center"/>
      <protection hidden="1"/>
    </xf>
    <xf numFmtId="167" fontId="196" fillId="23" borderId="47" xfId="0" applyNumberFormat="1" applyFont="1" applyFill="1" applyBorder="1" applyAlignment="1" applyProtection="1">
      <alignment horizontal="center" vertical="center"/>
      <protection hidden="1"/>
    </xf>
    <xf numFmtId="0" fontId="289" fillId="23" borderId="36" xfId="0" applyNumberFormat="1" applyFont="1" applyFill="1" applyBorder="1" applyAlignment="1" applyProtection="1">
      <alignment horizontal="center" vertical="center"/>
      <protection hidden="1"/>
    </xf>
    <xf numFmtId="167" fontId="196" fillId="23" borderId="53" xfId="0" applyNumberFormat="1" applyFont="1" applyFill="1" applyBorder="1" applyAlignment="1" applyProtection="1">
      <alignment horizontal="center" vertical="center"/>
      <protection hidden="1"/>
    </xf>
    <xf numFmtId="0" fontId="290" fillId="23" borderId="39" xfId="0" applyNumberFormat="1" applyFont="1" applyFill="1" applyBorder="1" applyAlignment="1" applyProtection="1">
      <alignment horizontal="center" vertical="center"/>
      <protection hidden="1"/>
    </xf>
    <xf numFmtId="167" fontId="196" fillId="23" borderId="120" xfId="0" applyNumberFormat="1" applyFont="1" applyFill="1" applyBorder="1" applyAlignment="1" applyProtection="1">
      <alignment horizontal="center" vertical="center"/>
      <protection hidden="1"/>
    </xf>
    <xf numFmtId="0" fontId="167" fillId="23" borderId="57" xfId="0" applyNumberFormat="1" applyFont="1" applyFill="1" applyBorder="1" applyAlignment="1" applyProtection="1">
      <alignment horizontal="center" vertical="center"/>
      <protection hidden="1"/>
    </xf>
  </cellXfs>
  <cellStyles count="6">
    <cellStyle name="Euro" xfId="1"/>
    <cellStyle name="Lien hypertexte" xfId="5" builtinId="8"/>
    <cellStyle name="Normal" xfId="0" builtinId="0"/>
    <cellStyle name="Normal_CHAMPION'S LEAGUE 2013-14" xfId="2"/>
    <cellStyle name="Normal_LIGUE DES CHAMPIONS 03-04" xfId="3"/>
    <cellStyle name="Normal_RECAPITULATIF" xfId="4"/>
  </cellStyles>
  <dxfs count="1168">
    <dxf>
      <font>
        <b/>
        <i val="0"/>
        <strike val="0"/>
        <condense val="0"/>
        <extend val="0"/>
        <color indexed="9"/>
      </font>
      <fill>
        <patternFill>
          <bgColor rgb="FF006600"/>
        </patternFill>
      </fill>
    </dxf>
    <dxf>
      <font>
        <b/>
        <i val="0"/>
        <strike val="0"/>
        <condense val="0"/>
        <extend val="0"/>
        <color indexed="9"/>
      </font>
      <fill>
        <patternFill>
          <bgColor indexed="10"/>
        </patternFill>
      </fill>
    </dxf>
    <dxf>
      <font>
        <b/>
        <i val="0"/>
        <strike val="0"/>
        <condense val="0"/>
        <extend val="0"/>
        <color indexed="9"/>
      </font>
      <fill>
        <patternFill>
          <bgColor rgb="FF006600"/>
        </patternFill>
      </fill>
    </dxf>
    <dxf>
      <font>
        <b/>
        <i val="0"/>
        <strike val="0"/>
        <condense val="0"/>
        <extend val="0"/>
        <color indexed="9"/>
      </font>
      <fill>
        <patternFill>
          <bgColor indexed="10"/>
        </patternFill>
      </fill>
    </dxf>
    <dxf>
      <font>
        <b/>
        <i val="0"/>
        <strike val="0"/>
        <condense val="0"/>
        <extend val="0"/>
        <color indexed="9"/>
      </font>
      <fill>
        <patternFill>
          <bgColor rgb="FF006600"/>
        </patternFill>
      </fill>
    </dxf>
    <dxf>
      <font>
        <b/>
        <i val="0"/>
        <strike val="0"/>
        <condense val="0"/>
        <extend val="0"/>
        <color indexed="9"/>
      </font>
      <fill>
        <patternFill>
          <bgColor indexed="10"/>
        </patternFill>
      </fill>
    </dxf>
    <dxf>
      <font>
        <b/>
        <i val="0"/>
        <strike val="0"/>
        <condense val="0"/>
        <extend val="0"/>
        <color indexed="9"/>
      </font>
      <fill>
        <patternFill>
          <bgColor indexed="10"/>
        </patternFill>
      </fill>
    </dxf>
    <dxf>
      <font>
        <b/>
        <i val="0"/>
        <strike val="0"/>
        <condense val="0"/>
        <extend val="0"/>
        <color indexed="9"/>
      </font>
      <fill>
        <patternFill>
          <bgColor rgb="FF006600"/>
        </patternFill>
      </fill>
    </dxf>
    <dxf>
      <font>
        <b/>
        <i val="0"/>
        <strike val="0"/>
        <condense val="0"/>
        <extend val="0"/>
        <color indexed="9"/>
      </font>
      <fill>
        <patternFill>
          <bgColor indexed="10"/>
        </patternFill>
      </fill>
    </dxf>
    <dxf>
      <font>
        <b/>
        <i val="0"/>
        <strike val="0"/>
        <condense val="0"/>
        <extend val="0"/>
        <color indexed="9"/>
      </font>
      <fill>
        <patternFill>
          <bgColor rgb="FF006600"/>
        </patternFill>
      </fill>
    </dxf>
    <dxf>
      <font>
        <b/>
        <i val="0"/>
        <strike val="0"/>
        <condense val="0"/>
        <extend val="0"/>
        <color indexed="9"/>
      </font>
      <fill>
        <patternFill>
          <bgColor indexed="10"/>
        </patternFill>
      </fill>
    </dxf>
    <dxf>
      <font>
        <b/>
        <i val="0"/>
        <strike val="0"/>
        <condense val="0"/>
        <extend val="0"/>
        <color indexed="9"/>
      </font>
      <fill>
        <patternFill>
          <bgColor rgb="FF006600"/>
        </patternFill>
      </fill>
    </dxf>
    <dxf>
      <font>
        <b/>
        <i val="0"/>
        <strike val="0"/>
        <condense val="0"/>
        <extend val="0"/>
        <color indexed="9"/>
      </font>
      <fill>
        <patternFill>
          <bgColor indexed="10"/>
        </patternFill>
      </fill>
    </dxf>
    <dxf>
      <font>
        <b/>
        <i val="0"/>
        <strike val="0"/>
        <condense val="0"/>
        <extend val="0"/>
        <color indexed="9"/>
      </font>
      <fill>
        <patternFill>
          <bgColor rgb="FF006600"/>
        </patternFill>
      </fill>
    </dxf>
    <dxf>
      <font>
        <strike val="0"/>
        <condense val="0"/>
        <extend val="0"/>
        <color indexed="9"/>
      </font>
      <fill>
        <patternFill>
          <bgColor indexed="10"/>
        </patternFill>
      </fill>
    </dxf>
    <dxf>
      <font>
        <b/>
        <i val="0"/>
        <strike val="0"/>
        <condense val="0"/>
        <extend val="0"/>
        <color indexed="9"/>
      </font>
      <fill>
        <patternFill>
          <bgColor rgb="FF006600"/>
        </patternFill>
      </fill>
    </dxf>
    <dxf>
      <font>
        <b/>
        <i val="0"/>
        <strike val="0"/>
        <condense val="0"/>
        <extend val="0"/>
        <color indexed="9"/>
      </font>
      <fill>
        <patternFill>
          <bgColor indexed="10"/>
        </patternFill>
      </fill>
    </dxf>
    <dxf>
      <font>
        <b/>
        <i val="0"/>
        <strike val="0"/>
        <condense val="0"/>
        <extend val="0"/>
        <color indexed="9"/>
      </font>
      <fill>
        <patternFill>
          <bgColor rgb="FF006600"/>
        </patternFill>
      </fill>
    </dxf>
    <dxf>
      <font>
        <b/>
        <i val="0"/>
        <strike val="0"/>
        <condense val="0"/>
        <extend val="0"/>
        <color indexed="9"/>
      </font>
      <fill>
        <patternFill>
          <bgColor indexed="10"/>
        </patternFill>
      </fill>
    </dxf>
    <dxf>
      <font>
        <b/>
        <i val="0"/>
        <strike val="0"/>
        <condense val="0"/>
        <extend val="0"/>
        <color indexed="9"/>
      </font>
      <fill>
        <patternFill>
          <bgColor indexed="17"/>
        </patternFill>
      </fill>
    </dxf>
    <dxf>
      <font>
        <b/>
        <i val="0"/>
        <strike val="0"/>
        <condense val="0"/>
        <extend val="0"/>
        <color indexed="9"/>
      </font>
      <fill>
        <patternFill>
          <bgColor indexed="10"/>
        </patternFill>
      </fill>
    </dxf>
    <dxf>
      <font>
        <b/>
        <i val="0"/>
        <color rgb="FF008000"/>
      </font>
      <fill>
        <patternFill>
          <bgColor rgb="FFB2B2B2"/>
        </patternFill>
      </fill>
    </dxf>
    <dxf>
      <font>
        <b/>
        <i val="0"/>
      </font>
      <fill>
        <patternFill>
          <bgColor rgb="FF00B0F0"/>
        </patternFill>
      </fill>
    </dxf>
    <dxf>
      <font>
        <b/>
        <i val="0"/>
      </font>
      <fill>
        <patternFill>
          <bgColor rgb="FFB2B2B2"/>
        </patternFill>
      </fill>
    </dxf>
    <dxf>
      <font>
        <b/>
        <i val="0"/>
        <color theme="1"/>
      </font>
      <fill>
        <patternFill>
          <bgColor rgb="FFB2B2B2"/>
        </patternFill>
      </fill>
    </dxf>
    <dxf>
      <font>
        <b/>
        <i val="0"/>
        <color theme="0" tint="0.79995117038483843"/>
      </font>
      <fill>
        <patternFill>
          <bgColor theme="1"/>
        </patternFill>
      </fill>
    </dxf>
    <dxf>
      <font>
        <b/>
        <i val="0"/>
        <color rgb="FF008000"/>
      </font>
      <fill>
        <patternFill>
          <bgColor rgb="FF969696"/>
        </patternFill>
      </fill>
    </dxf>
    <dxf>
      <font>
        <b/>
        <i val="0"/>
      </font>
      <fill>
        <patternFill>
          <bgColor rgb="FF00B0F0"/>
        </patternFill>
      </fill>
    </dxf>
    <dxf>
      <font>
        <b/>
        <i val="0"/>
      </font>
      <fill>
        <patternFill>
          <bgColor rgb="FF969696"/>
        </patternFill>
      </fill>
    </dxf>
    <dxf>
      <font>
        <b/>
        <i val="0"/>
        <color theme="1"/>
      </font>
      <fill>
        <patternFill>
          <bgColor rgb="FF969696"/>
        </patternFill>
      </fill>
    </dxf>
    <dxf>
      <font>
        <b/>
        <i val="0"/>
        <color theme="0"/>
      </font>
      <fill>
        <patternFill>
          <bgColor theme="1"/>
        </patternFill>
      </fill>
    </dxf>
    <dxf>
      <font>
        <b/>
        <i val="0"/>
        <color rgb="FF008000"/>
      </font>
      <fill>
        <patternFill>
          <bgColor rgb="FFB2B2B2"/>
        </patternFill>
      </fill>
    </dxf>
    <dxf>
      <font>
        <b/>
        <i val="0"/>
      </font>
      <fill>
        <patternFill>
          <bgColor rgb="FF00B0F0"/>
        </patternFill>
      </fill>
    </dxf>
    <dxf>
      <font>
        <b/>
        <i val="0"/>
      </font>
      <fill>
        <patternFill>
          <bgColor rgb="FFB2B2B2"/>
        </patternFill>
      </fill>
    </dxf>
    <dxf>
      <font>
        <b/>
        <i val="0"/>
        <color theme="1"/>
      </font>
      <fill>
        <patternFill>
          <bgColor rgb="FFB2B2B2"/>
        </patternFill>
      </fill>
    </dxf>
    <dxf>
      <font>
        <b/>
        <i val="0"/>
        <color theme="0" tint="0.79995117038483843"/>
      </font>
      <fill>
        <patternFill>
          <bgColor theme="1"/>
        </patternFill>
      </fill>
    </dxf>
    <dxf>
      <font>
        <b/>
        <i val="0"/>
        <color rgb="FF008000"/>
      </font>
      <fill>
        <patternFill>
          <bgColor rgb="FF969696"/>
        </patternFill>
      </fill>
    </dxf>
    <dxf>
      <font>
        <b/>
        <i val="0"/>
      </font>
      <fill>
        <patternFill>
          <bgColor rgb="FF00B0F0"/>
        </patternFill>
      </fill>
    </dxf>
    <dxf>
      <font>
        <b/>
        <i val="0"/>
      </font>
      <fill>
        <patternFill>
          <bgColor rgb="FF969696"/>
        </patternFill>
      </fill>
    </dxf>
    <dxf>
      <font>
        <b/>
        <i val="0"/>
        <color theme="1"/>
      </font>
      <fill>
        <patternFill>
          <bgColor rgb="FF969696"/>
        </patternFill>
      </fill>
    </dxf>
    <dxf>
      <font>
        <b/>
        <i val="0"/>
        <color theme="0"/>
      </font>
      <fill>
        <patternFill>
          <bgColor theme="1"/>
        </patternFill>
      </fill>
    </dxf>
    <dxf>
      <font>
        <b/>
        <i val="0"/>
        <color rgb="FF008000"/>
      </font>
      <fill>
        <patternFill>
          <bgColor rgb="FFB2B2B2"/>
        </patternFill>
      </fill>
    </dxf>
    <dxf>
      <font>
        <b/>
        <i val="0"/>
      </font>
      <fill>
        <patternFill>
          <bgColor rgb="FF00B0F0"/>
        </patternFill>
      </fill>
    </dxf>
    <dxf>
      <font>
        <b/>
        <i val="0"/>
      </font>
      <fill>
        <patternFill>
          <bgColor rgb="FFB2B2B2"/>
        </patternFill>
      </fill>
    </dxf>
    <dxf>
      <font>
        <b/>
        <i val="0"/>
        <color theme="1"/>
      </font>
      <fill>
        <patternFill>
          <bgColor rgb="FFB2B2B2"/>
        </patternFill>
      </fill>
    </dxf>
    <dxf>
      <font>
        <b/>
        <i val="0"/>
        <color theme="0" tint="0.79995117038483843"/>
      </font>
      <fill>
        <patternFill>
          <bgColor theme="1"/>
        </patternFill>
      </fill>
    </dxf>
    <dxf>
      <font>
        <b/>
        <i val="0"/>
        <color rgb="FF008000"/>
      </font>
      <fill>
        <patternFill>
          <bgColor rgb="FF969696"/>
        </patternFill>
      </fill>
    </dxf>
    <dxf>
      <font>
        <b/>
        <i val="0"/>
      </font>
      <fill>
        <patternFill>
          <bgColor rgb="FF00B0F0"/>
        </patternFill>
      </fill>
    </dxf>
    <dxf>
      <font>
        <b/>
        <i val="0"/>
      </font>
      <fill>
        <patternFill>
          <bgColor rgb="FF969696"/>
        </patternFill>
      </fill>
    </dxf>
    <dxf>
      <font>
        <b/>
        <i val="0"/>
        <color theme="1"/>
      </font>
      <fill>
        <patternFill>
          <bgColor rgb="FF969696"/>
        </patternFill>
      </fill>
    </dxf>
    <dxf>
      <font>
        <b/>
        <i val="0"/>
        <color theme="0"/>
      </font>
      <fill>
        <patternFill>
          <bgColor theme="1"/>
        </patternFill>
      </fill>
    </dxf>
    <dxf>
      <font>
        <b/>
        <i val="0"/>
        <color rgb="FF008000"/>
      </font>
      <fill>
        <patternFill>
          <bgColor rgb="FFB2B2B2"/>
        </patternFill>
      </fill>
    </dxf>
    <dxf>
      <font>
        <b/>
        <i val="0"/>
      </font>
      <fill>
        <patternFill>
          <bgColor rgb="FF00B0F0"/>
        </patternFill>
      </fill>
    </dxf>
    <dxf>
      <font>
        <b/>
        <i val="0"/>
      </font>
      <fill>
        <patternFill>
          <bgColor rgb="FFB2B2B2"/>
        </patternFill>
      </fill>
    </dxf>
    <dxf>
      <font>
        <b/>
        <i val="0"/>
        <color theme="1"/>
      </font>
      <fill>
        <patternFill>
          <bgColor rgb="FFB2B2B2"/>
        </patternFill>
      </fill>
    </dxf>
    <dxf>
      <font>
        <b/>
        <i val="0"/>
        <color theme="0" tint="0.79995117038483843"/>
      </font>
      <fill>
        <patternFill>
          <bgColor theme="1"/>
        </patternFill>
      </fill>
    </dxf>
    <dxf>
      <font>
        <b/>
        <i val="0"/>
        <color rgb="FF008000"/>
      </font>
      <fill>
        <patternFill>
          <bgColor rgb="FF969696"/>
        </patternFill>
      </fill>
    </dxf>
    <dxf>
      <font>
        <b/>
        <i val="0"/>
      </font>
      <fill>
        <patternFill>
          <bgColor rgb="FF00B0F0"/>
        </patternFill>
      </fill>
    </dxf>
    <dxf>
      <font>
        <b/>
        <i val="0"/>
      </font>
      <fill>
        <patternFill>
          <bgColor rgb="FF969696"/>
        </patternFill>
      </fill>
    </dxf>
    <dxf>
      <font>
        <b/>
        <i val="0"/>
        <color theme="1"/>
      </font>
      <fill>
        <patternFill>
          <bgColor rgb="FF969696"/>
        </patternFill>
      </fill>
    </dxf>
    <dxf>
      <font>
        <b/>
        <i val="0"/>
        <color theme="0"/>
      </font>
      <fill>
        <patternFill>
          <bgColor theme="1"/>
        </patternFill>
      </fill>
    </dxf>
    <dxf>
      <font>
        <b/>
        <i val="0"/>
        <color rgb="FF008000"/>
      </font>
      <fill>
        <patternFill>
          <bgColor rgb="FFB2B2B2"/>
        </patternFill>
      </fill>
    </dxf>
    <dxf>
      <font>
        <b/>
        <i val="0"/>
      </font>
      <fill>
        <patternFill>
          <bgColor rgb="FF00B0F0"/>
        </patternFill>
      </fill>
    </dxf>
    <dxf>
      <font>
        <b/>
        <i val="0"/>
      </font>
      <fill>
        <patternFill>
          <bgColor rgb="FFB2B2B2"/>
        </patternFill>
      </fill>
    </dxf>
    <dxf>
      <font>
        <b/>
        <i val="0"/>
        <color theme="1"/>
      </font>
      <fill>
        <patternFill>
          <bgColor rgb="FFB2B2B2"/>
        </patternFill>
      </fill>
    </dxf>
    <dxf>
      <font>
        <b/>
        <i val="0"/>
        <color theme="0" tint="0.79995117038483843"/>
      </font>
      <fill>
        <patternFill>
          <bgColor theme="1"/>
        </patternFill>
      </fill>
    </dxf>
    <dxf>
      <font>
        <b/>
        <i val="0"/>
        <color rgb="FF008000"/>
      </font>
      <fill>
        <patternFill>
          <bgColor rgb="FF969696"/>
        </patternFill>
      </fill>
    </dxf>
    <dxf>
      <font>
        <b/>
        <i val="0"/>
      </font>
      <fill>
        <patternFill>
          <bgColor rgb="FF00B0F0"/>
        </patternFill>
      </fill>
    </dxf>
    <dxf>
      <font>
        <b/>
        <i val="0"/>
      </font>
      <fill>
        <patternFill>
          <bgColor rgb="FF969696"/>
        </patternFill>
      </fill>
    </dxf>
    <dxf>
      <font>
        <b/>
        <i val="0"/>
        <color theme="1"/>
      </font>
      <fill>
        <patternFill>
          <bgColor rgb="FF969696"/>
        </patternFill>
      </fill>
    </dxf>
    <dxf>
      <font>
        <b/>
        <i val="0"/>
        <color theme="0"/>
      </font>
      <fill>
        <patternFill>
          <bgColor theme="1"/>
        </patternFill>
      </fill>
    </dxf>
    <dxf>
      <font>
        <b/>
        <i val="0"/>
        <color rgb="FF008000"/>
      </font>
      <fill>
        <patternFill>
          <bgColor rgb="FFB2B2B2"/>
        </patternFill>
      </fill>
    </dxf>
    <dxf>
      <font>
        <b/>
        <i val="0"/>
      </font>
      <fill>
        <patternFill>
          <bgColor rgb="FF00B0F0"/>
        </patternFill>
      </fill>
    </dxf>
    <dxf>
      <font>
        <b/>
        <i val="0"/>
      </font>
      <fill>
        <patternFill>
          <bgColor rgb="FFB2B2B2"/>
        </patternFill>
      </fill>
    </dxf>
    <dxf>
      <font>
        <b/>
        <i val="0"/>
        <color theme="1"/>
      </font>
      <fill>
        <patternFill>
          <bgColor rgb="FFB2B2B2"/>
        </patternFill>
      </fill>
    </dxf>
    <dxf>
      <font>
        <b/>
        <i val="0"/>
        <color theme="0" tint="0.79995117038483843"/>
      </font>
      <fill>
        <patternFill>
          <bgColor theme="1"/>
        </patternFill>
      </fill>
    </dxf>
    <dxf>
      <font>
        <b/>
        <i val="0"/>
        <color rgb="FF008000"/>
      </font>
      <fill>
        <patternFill>
          <bgColor rgb="FF969696"/>
        </patternFill>
      </fill>
    </dxf>
    <dxf>
      <font>
        <b/>
        <i val="0"/>
      </font>
      <fill>
        <patternFill>
          <bgColor rgb="FF00B0F0"/>
        </patternFill>
      </fill>
    </dxf>
    <dxf>
      <font>
        <b/>
        <i val="0"/>
      </font>
      <fill>
        <patternFill>
          <bgColor rgb="FF969696"/>
        </patternFill>
      </fill>
    </dxf>
    <dxf>
      <font>
        <b/>
        <i val="0"/>
        <color theme="1"/>
      </font>
      <fill>
        <patternFill>
          <bgColor rgb="FF969696"/>
        </patternFill>
      </fill>
    </dxf>
    <dxf>
      <font>
        <b/>
        <i val="0"/>
        <color theme="0"/>
      </font>
      <fill>
        <patternFill>
          <bgColor theme="1"/>
        </patternFill>
      </fill>
    </dxf>
    <dxf>
      <font>
        <b/>
        <i val="0"/>
        <color rgb="FF008000"/>
      </font>
      <fill>
        <patternFill>
          <bgColor rgb="FFB2B2B2"/>
        </patternFill>
      </fill>
    </dxf>
    <dxf>
      <font>
        <b/>
        <i val="0"/>
      </font>
      <fill>
        <patternFill>
          <bgColor rgb="FF00B0F0"/>
        </patternFill>
      </fill>
    </dxf>
    <dxf>
      <font>
        <b/>
        <i val="0"/>
      </font>
      <fill>
        <patternFill>
          <bgColor rgb="FFB2B2B2"/>
        </patternFill>
      </fill>
    </dxf>
    <dxf>
      <font>
        <b/>
        <i val="0"/>
        <color theme="1"/>
      </font>
      <fill>
        <patternFill>
          <bgColor rgb="FFB2B2B2"/>
        </patternFill>
      </fill>
    </dxf>
    <dxf>
      <font>
        <b/>
        <i val="0"/>
        <color theme="0" tint="0.79995117038483843"/>
      </font>
      <fill>
        <patternFill>
          <bgColor theme="1"/>
        </patternFill>
      </fill>
    </dxf>
    <dxf>
      <font>
        <b/>
        <i val="0"/>
        <color rgb="FF008000"/>
      </font>
      <fill>
        <patternFill>
          <bgColor rgb="FF969696"/>
        </patternFill>
      </fill>
    </dxf>
    <dxf>
      <font>
        <b/>
        <i val="0"/>
      </font>
      <fill>
        <patternFill>
          <bgColor rgb="FF00B0F0"/>
        </patternFill>
      </fill>
    </dxf>
    <dxf>
      <font>
        <b/>
        <i val="0"/>
      </font>
      <fill>
        <patternFill>
          <bgColor rgb="FF969696"/>
        </patternFill>
      </fill>
    </dxf>
    <dxf>
      <font>
        <b/>
        <i val="0"/>
        <color theme="1"/>
      </font>
      <fill>
        <patternFill>
          <bgColor rgb="FF969696"/>
        </patternFill>
      </fill>
    </dxf>
    <dxf>
      <font>
        <b/>
        <i val="0"/>
        <color theme="0"/>
      </font>
      <fill>
        <patternFill>
          <bgColor theme="1"/>
        </patternFill>
      </fill>
    </dxf>
    <dxf>
      <font>
        <b/>
        <i val="0"/>
        <color rgb="FF008000"/>
      </font>
      <fill>
        <patternFill>
          <bgColor rgb="FFB2B2B2"/>
        </patternFill>
      </fill>
    </dxf>
    <dxf>
      <font>
        <b/>
        <i val="0"/>
      </font>
      <fill>
        <patternFill>
          <bgColor rgb="FF00B0F0"/>
        </patternFill>
      </fill>
    </dxf>
    <dxf>
      <font>
        <b/>
        <i val="0"/>
      </font>
      <fill>
        <patternFill>
          <bgColor rgb="FFB2B2B2"/>
        </patternFill>
      </fill>
    </dxf>
    <dxf>
      <font>
        <b/>
        <i val="0"/>
        <color theme="1"/>
      </font>
      <fill>
        <patternFill>
          <bgColor rgb="FFB2B2B2"/>
        </patternFill>
      </fill>
    </dxf>
    <dxf>
      <font>
        <b/>
        <i val="0"/>
        <color theme="0" tint="0.79995117038483843"/>
      </font>
      <fill>
        <patternFill>
          <bgColor theme="1"/>
        </patternFill>
      </fill>
    </dxf>
    <dxf>
      <font>
        <b/>
        <i val="0"/>
        <color rgb="FF008000"/>
      </font>
      <fill>
        <patternFill>
          <bgColor rgb="FF969696"/>
        </patternFill>
      </fill>
    </dxf>
    <dxf>
      <font>
        <b/>
        <i val="0"/>
      </font>
      <fill>
        <patternFill>
          <bgColor rgb="FF00B0F0"/>
        </patternFill>
      </fill>
    </dxf>
    <dxf>
      <font>
        <b/>
        <i val="0"/>
      </font>
      <fill>
        <patternFill>
          <bgColor rgb="FF969696"/>
        </patternFill>
      </fill>
    </dxf>
    <dxf>
      <font>
        <b/>
        <i val="0"/>
        <color theme="1"/>
      </font>
      <fill>
        <patternFill>
          <bgColor rgb="FF969696"/>
        </patternFill>
      </fill>
    </dxf>
    <dxf>
      <font>
        <b/>
        <i val="0"/>
        <color theme="0"/>
      </font>
      <fill>
        <patternFill>
          <bgColor theme="1"/>
        </patternFill>
      </fill>
    </dxf>
    <dxf>
      <font>
        <b/>
        <i val="0"/>
        <color rgb="FF008000"/>
      </font>
      <fill>
        <patternFill>
          <bgColor rgb="FFB2B2B2"/>
        </patternFill>
      </fill>
    </dxf>
    <dxf>
      <font>
        <b/>
        <i val="0"/>
      </font>
      <fill>
        <patternFill>
          <bgColor rgb="FF00B0F0"/>
        </patternFill>
      </fill>
    </dxf>
    <dxf>
      <font>
        <b/>
        <i val="0"/>
      </font>
      <fill>
        <patternFill>
          <bgColor rgb="FFB2B2B2"/>
        </patternFill>
      </fill>
    </dxf>
    <dxf>
      <font>
        <b/>
        <i val="0"/>
        <color theme="1"/>
      </font>
      <fill>
        <patternFill>
          <bgColor rgb="FFB2B2B2"/>
        </patternFill>
      </fill>
    </dxf>
    <dxf>
      <font>
        <b/>
        <i val="0"/>
        <color theme="0" tint="0.79995117038483843"/>
      </font>
      <fill>
        <patternFill>
          <bgColor theme="1"/>
        </patternFill>
      </fill>
    </dxf>
    <dxf>
      <font>
        <b/>
        <i val="0"/>
        <color rgb="FFFF6600"/>
      </font>
      <fill>
        <patternFill>
          <bgColor theme="1"/>
        </patternFill>
      </fill>
    </dxf>
    <dxf>
      <font>
        <b/>
        <i val="0"/>
        <color rgb="FFFF6600"/>
      </font>
      <fill>
        <patternFill>
          <bgColor theme="1"/>
        </patternFill>
      </fill>
    </dxf>
    <dxf>
      <font>
        <b/>
        <i val="0"/>
        <color theme="1"/>
      </font>
      <fill>
        <patternFill patternType="solid">
          <bgColor theme="1" tint="0.499984740745262"/>
        </patternFill>
      </fill>
    </dxf>
    <dxf>
      <font>
        <b/>
        <i val="0"/>
        <color rgb="FF008080"/>
      </font>
      <fill>
        <patternFill patternType="solid">
          <bgColor theme="1" tint="0.499984740745262"/>
        </patternFill>
      </fill>
    </dxf>
    <dxf>
      <font>
        <b/>
        <i val="0"/>
        <color rgb="FF993300"/>
      </font>
      <fill>
        <patternFill patternType="solid">
          <bgColor theme="1" tint="0.499984740745262"/>
        </patternFill>
      </fill>
    </dxf>
    <dxf>
      <font>
        <b/>
        <i val="0"/>
        <color rgb="FF7030A0"/>
      </font>
      <fill>
        <patternFill patternType="solid">
          <bgColor theme="1" tint="0.499984740745262"/>
        </patternFill>
      </fill>
    </dxf>
    <dxf>
      <font>
        <b/>
        <i val="0"/>
        <color rgb="FFFFFF00"/>
      </font>
      <fill>
        <patternFill patternType="solid">
          <bgColor theme="1" tint="0.499984740745262"/>
        </patternFill>
      </fill>
    </dxf>
    <dxf>
      <font>
        <b/>
        <i val="0"/>
        <color theme="0" tint="0.79998168889431442"/>
      </font>
      <fill>
        <patternFill patternType="solid">
          <bgColor theme="1" tint="0.499984740745262"/>
        </patternFill>
      </fill>
    </dxf>
    <dxf>
      <font>
        <b/>
        <i val="0"/>
        <color rgb="FF000080"/>
      </font>
      <fill>
        <patternFill patternType="solid">
          <bgColor theme="1" tint="0.499984740745262"/>
        </patternFill>
      </fill>
    </dxf>
    <dxf>
      <font>
        <b/>
        <i val="0"/>
        <color rgb="FF0000FF"/>
      </font>
      <fill>
        <patternFill patternType="solid">
          <bgColor theme="1" tint="0.499984740745262"/>
        </patternFill>
      </fill>
    </dxf>
    <dxf>
      <font>
        <b/>
        <i val="0"/>
        <color rgb="FF0070C0"/>
        <name val="Cambria"/>
        <scheme val="none"/>
      </font>
      <fill>
        <patternFill patternType="solid">
          <bgColor theme="1" tint="0.499984740745262"/>
        </patternFill>
      </fill>
    </dxf>
    <dxf>
      <font>
        <b/>
        <i val="0"/>
        <strike val="0"/>
        <color theme="0" tint="0.79998168889431442"/>
        <name val="Cambria"/>
        <scheme val="none"/>
      </font>
      <fill>
        <patternFill>
          <bgColor rgb="FF006600"/>
        </patternFill>
      </fill>
    </dxf>
    <dxf>
      <font>
        <b/>
        <i val="0"/>
        <color theme="0" tint="0.79998168889431442"/>
      </font>
      <fill>
        <patternFill>
          <bgColor rgb="FFFF0000"/>
        </patternFill>
      </fill>
    </dxf>
    <dxf>
      <font>
        <b/>
        <i val="0"/>
        <color theme="0" tint="0.79998168889431442"/>
      </font>
      <fill>
        <patternFill>
          <bgColor theme="1"/>
        </patternFill>
      </fill>
    </dxf>
    <dxf>
      <font>
        <b/>
        <i val="0"/>
        <color rgb="FFFF6600"/>
      </font>
      <fill>
        <patternFill patternType="solid">
          <bgColor theme="1"/>
        </patternFill>
      </fill>
    </dxf>
    <dxf>
      <font>
        <b/>
        <i val="0"/>
        <color rgb="FFFF6600"/>
      </font>
      <fill>
        <patternFill patternType="solid">
          <bgColor theme="1"/>
        </patternFill>
      </fill>
    </dxf>
    <dxf>
      <font>
        <b/>
        <i val="0"/>
        <color theme="1"/>
      </font>
      <fill>
        <patternFill patternType="solid">
          <bgColor rgb="FFB2B2B2"/>
        </patternFill>
      </fill>
    </dxf>
    <dxf>
      <font>
        <b/>
        <i val="0"/>
        <color rgb="FF008080"/>
      </font>
      <fill>
        <patternFill patternType="solid">
          <bgColor rgb="FFB2B2B2"/>
        </patternFill>
      </fill>
    </dxf>
    <dxf>
      <font>
        <b/>
        <i val="0"/>
        <color rgb="FF993300"/>
      </font>
      <fill>
        <patternFill patternType="solid">
          <bgColor rgb="FFB2B2B2"/>
        </patternFill>
      </fill>
    </dxf>
    <dxf>
      <font>
        <b/>
        <i val="0"/>
        <color rgb="FF7030A0"/>
      </font>
      <fill>
        <patternFill patternType="solid">
          <bgColor rgb="FFB2B2B2"/>
        </patternFill>
      </fill>
    </dxf>
    <dxf>
      <font>
        <b/>
        <i val="0"/>
        <color rgb="FFFFFF00"/>
      </font>
      <fill>
        <patternFill patternType="solid">
          <bgColor rgb="FFB2B2B2"/>
        </patternFill>
      </fill>
    </dxf>
    <dxf>
      <font>
        <b/>
        <i val="0"/>
        <color theme="0" tint="0.79998168889431442"/>
      </font>
      <fill>
        <patternFill patternType="solid">
          <bgColor rgb="FFB2B2B2"/>
        </patternFill>
      </fill>
    </dxf>
    <dxf>
      <font>
        <b/>
        <i val="0"/>
        <color rgb="FF000080"/>
      </font>
      <fill>
        <patternFill patternType="solid">
          <bgColor rgb="FFB2B2B2"/>
        </patternFill>
      </fill>
    </dxf>
    <dxf>
      <font>
        <b/>
        <i val="0"/>
        <color rgb="FF0000FF"/>
      </font>
      <fill>
        <patternFill patternType="solid">
          <bgColor rgb="FFB2B2B2"/>
        </patternFill>
      </fill>
    </dxf>
    <dxf>
      <font>
        <b/>
        <i val="0"/>
        <color rgb="FF0070C0"/>
        <name val="Cambria"/>
        <scheme val="none"/>
      </font>
      <fill>
        <patternFill patternType="solid">
          <bgColor rgb="FFB2B2B2"/>
        </patternFill>
      </fill>
    </dxf>
    <dxf>
      <font>
        <b/>
        <i val="0"/>
        <strike val="0"/>
        <color theme="0" tint="0.79998168889431442"/>
        <name val="Cambria"/>
        <scheme val="none"/>
      </font>
      <fill>
        <patternFill>
          <bgColor rgb="FF008000"/>
        </patternFill>
      </fill>
    </dxf>
    <dxf>
      <font>
        <b/>
        <i val="0"/>
        <color theme="0" tint="0.79998168889431442"/>
      </font>
      <fill>
        <patternFill>
          <bgColor rgb="FFC00000"/>
        </patternFill>
      </fill>
    </dxf>
    <dxf>
      <font>
        <b/>
        <i val="0"/>
        <color rgb="FFFF6600"/>
      </font>
      <fill>
        <patternFill>
          <bgColor theme="1"/>
        </patternFill>
      </fill>
    </dxf>
    <dxf>
      <font>
        <b/>
        <i val="0"/>
        <color rgb="FFFF6600"/>
      </font>
      <fill>
        <patternFill>
          <bgColor theme="1"/>
        </patternFill>
      </fill>
    </dxf>
    <dxf>
      <font>
        <b/>
        <i val="0"/>
        <color theme="1"/>
      </font>
      <fill>
        <patternFill patternType="solid">
          <bgColor theme="1" tint="0.499984740745262"/>
        </patternFill>
      </fill>
    </dxf>
    <dxf>
      <font>
        <b/>
        <i val="0"/>
        <color rgb="FF008080"/>
      </font>
      <fill>
        <patternFill patternType="solid">
          <bgColor theme="1" tint="0.499984740745262"/>
        </patternFill>
      </fill>
    </dxf>
    <dxf>
      <font>
        <b/>
        <i val="0"/>
        <color rgb="FF993300"/>
      </font>
      <fill>
        <patternFill patternType="solid">
          <bgColor theme="1" tint="0.499984740745262"/>
        </patternFill>
      </fill>
    </dxf>
    <dxf>
      <font>
        <b/>
        <i val="0"/>
        <color rgb="FF7030A0"/>
      </font>
      <fill>
        <patternFill patternType="solid">
          <bgColor theme="1" tint="0.499984740745262"/>
        </patternFill>
      </fill>
    </dxf>
    <dxf>
      <font>
        <b/>
        <i val="0"/>
        <color rgb="FFFFFF00"/>
      </font>
      <fill>
        <patternFill patternType="solid">
          <bgColor theme="1" tint="0.499984740745262"/>
        </patternFill>
      </fill>
    </dxf>
    <dxf>
      <font>
        <b/>
        <i val="0"/>
        <color theme="0" tint="0.79998168889431442"/>
      </font>
      <fill>
        <patternFill patternType="solid">
          <bgColor theme="1" tint="0.499984740745262"/>
        </patternFill>
      </fill>
    </dxf>
    <dxf>
      <font>
        <b/>
        <i val="0"/>
        <color rgb="FF000080"/>
      </font>
      <fill>
        <patternFill patternType="solid">
          <bgColor theme="1" tint="0.499984740745262"/>
        </patternFill>
      </fill>
    </dxf>
    <dxf>
      <font>
        <b/>
        <i val="0"/>
        <color rgb="FF0000FF"/>
      </font>
      <fill>
        <patternFill patternType="solid">
          <bgColor theme="1" tint="0.499984740745262"/>
        </patternFill>
      </fill>
    </dxf>
    <dxf>
      <font>
        <b/>
        <i val="0"/>
        <color rgb="FF0070C0"/>
        <name val="Cambria"/>
        <scheme val="none"/>
      </font>
      <fill>
        <patternFill patternType="solid">
          <bgColor theme="1" tint="0.499984740745262"/>
        </patternFill>
      </fill>
    </dxf>
    <dxf>
      <font>
        <b/>
        <i val="0"/>
        <strike val="0"/>
        <color theme="0" tint="0.79998168889431442"/>
        <name val="Cambria"/>
        <scheme val="none"/>
      </font>
      <fill>
        <patternFill>
          <bgColor rgb="FF006600"/>
        </patternFill>
      </fill>
    </dxf>
    <dxf>
      <font>
        <b/>
        <i val="0"/>
        <color theme="0" tint="0.79998168889431442"/>
      </font>
      <fill>
        <patternFill>
          <bgColor rgb="FFFF0000"/>
        </patternFill>
      </fill>
    </dxf>
    <dxf>
      <font>
        <b/>
        <i val="0"/>
        <color theme="0" tint="0.79998168889431442"/>
      </font>
      <fill>
        <patternFill>
          <bgColor theme="1"/>
        </patternFill>
      </fill>
    </dxf>
    <dxf>
      <font>
        <b/>
        <i val="0"/>
        <color rgb="FFFF6600"/>
      </font>
      <fill>
        <patternFill patternType="solid">
          <bgColor theme="1"/>
        </patternFill>
      </fill>
    </dxf>
    <dxf>
      <font>
        <b/>
        <i val="0"/>
        <color rgb="FFFF6600"/>
      </font>
      <fill>
        <patternFill patternType="solid">
          <bgColor theme="1"/>
        </patternFill>
      </fill>
    </dxf>
    <dxf>
      <font>
        <b/>
        <i val="0"/>
        <color theme="1"/>
      </font>
      <fill>
        <patternFill patternType="solid">
          <bgColor rgb="FFB2B2B2"/>
        </patternFill>
      </fill>
    </dxf>
    <dxf>
      <font>
        <b/>
        <i val="0"/>
        <color rgb="FF008080"/>
      </font>
      <fill>
        <patternFill patternType="solid">
          <bgColor rgb="FFB2B2B2"/>
        </patternFill>
      </fill>
    </dxf>
    <dxf>
      <font>
        <b/>
        <i val="0"/>
        <color rgb="FF993300"/>
      </font>
      <fill>
        <patternFill patternType="solid">
          <bgColor rgb="FFB2B2B2"/>
        </patternFill>
      </fill>
    </dxf>
    <dxf>
      <font>
        <b/>
        <i val="0"/>
        <color rgb="FF7030A0"/>
      </font>
      <fill>
        <patternFill patternType="solid">
          <bgColor rgb="FFB2B2B2"/>
        </patternFill>
      </fill>
    </dxf>
    <dxf>
      <font>
        <b/>
        <i val="0"/>
        <color rgb="FFFFFF00"/>
      </font>
      <fill>
        <patternFill patternType="solid">
          <bgColor rgb="FFB2B2B2"/>
        </patternFill>
      </fill>
    </dxf>
    <dxf>
      <font>
        <b/>
        <i val="0"/>
        <color theme="0" tint="0.79998168889431442"/>
      </font>
      <fill>
        <patternFill patternType="solid">
          <bgColor rgb="FFB2B2B2"/>
        </patternFill>
      </fill>
    </dxf>
    <dxf>
      <font>
        <b/>
        <i val="0"/>
        <color rgb="FF000080"/>
      </font>
      <fill>
        <patternFill patternType="solid">
          <bgColor rgb="FFB2B2B2"/>
        </patternFill>
      </fill>
    </dxf>
    <dxf>
      <font>
        <b/>
        <i val="0"/>
        <color rgb="FF0000FF"/>
      </font>
      <fill>
        <patternFill patternType="solid">
          <bgColor rgb="FFB2B2B2"/>
        </patternFill>
      </fill>
    </dxf>
    <dxf>
      <font>
        <b/>
        <i val="0"/>
        <color rgb="FF0070C0"/>
        <name val="Cambria"/>
        <scheme val="none"/>
      </font>
      <fill>
        <patternFill patternType="solid">
          <bgColor rgb="FFB2B2B2"/>
        </patternFill>
      </fill>
    </dxf>
    <dxf>
      <font>
        <b/>
        <i val="0"/>
        <strike val="0"/>
        <color theme="0" tint="0.79998168889431442"/>
        <name val="Cambria"/>
        <scheme val="none"/>
      </font>
      <fill>
        <patternFill>
          <bgColor rgb="FF008000"/>
        </patternFill>
      </fill>
    </dxf>
    <dxf>
      <font>
        <b/>
        <i val="0"/>
        <color theme="0" tint="0.79998168889431442"/>
      </font>
      <fill>
        <patternFill>
          <bgColor rgb="FFC00000"/>
        </patternFill>
      </fill>
    </dxf>
    <dxf>
      <font>
        <b/>
        <i val="0"/>
        <color rgb="FFFF6600"/>
      </font>
      <fill>
        <patternFill>
          <bgColor theme="1"/>
        </patternFill>
      </fill>
    </dxf>
    <dxf>
      <font>
        <b/>
        <i val="0"/>
        <color rgb="FFFF6600"/>
      </font>
      <fill>
        <patternFill>
          <bgColor theme="1"/>
        </patternFill>
      </fill>
    </dxf>
    <dxf>
      <font>
        <b/>
        <i val="0"/>
        <color theme="1"/>
      </font>
      <fill>
        <patternFill patternType="solid">
          <bgColor theme="1" tint="0.499984740745262"/>
        </patternFill>
      </fill>
    </dxf>
    <dxf>
      <font>
        <b/>
        <i val="0"/>
        <color rgb="FF008080"/>
      </font>
      <fill>
        <patternFill patternType="solid">
          <bgColor theme="1" tint="0.499984740745262"/>
        </patternFill>
      </fill>
    </dxf>
    <dxf>
      <font>
        <b/>
        <i val="0"/>
        <color rgb="FF993300"/>
      </font>
      <fill>
        <patternFill patternType="solid">
          <bgColor theme="1" tint="0.499984740745262"/>
        </patternFill>
      </fill>
    </dxf>
    <dxf>
      <font>
        <b/>
        <i val="0"/>
        <color rgb="FF7030A0"/>
      </font>
      <fill>
        <patternFill patternType="solid">
          <bgColor theme="1" tint="0.499984740745262"/>
        </patternFill>
      </fill>
    </dxf>
    <dxf>
      <font>
        <b/>
        <i val="0"/>
        <color rgb="FFFFFF00"/>
      </font>
      <fill>
        <patternFill patternType="solid">
          <bgColor theme="1" tint="0.499984740745262"/>
        </patternFill>
      </fill>
    </dxf>
    <dxf>
      <font>
        <b/>
        <i val="0"/>
        <color theme="0" tint="0.79998168889431442"/>
      </font>
      <fill>
        <patternFill patternType="solid">
          <bgColor theme="1" tint="0.499984740745262"/>
        </patternFill>
      </fill>
    </dxf>
    <dxf>
      <font>
        <b/>
        <i val="0"/>
        <color rgb="FF000080"/>
      </font>
      <fill>
        <patternFill patternType="solid">
          <bgColor theme="1" tint="0.499984740745262"/>
        </patternFill>
      </fill>
    </dxf>
    <dxf>
      <font>
        <b/>
        <i val="0"/>
        <color rgb="FF0000FF"/>
      </font>
      <fill>
        <patternFill patternType="solid">
          <bgColor theme="1" tint="0.499984740745262"/>
        </patternFill>
      </fill>
    </dxf>
    <dxf>
      <font>
        <b/>
        <i val="0"/>
        <color rgb="FF0070C0"/>
        <name val="Cambria"/>
        <scheme val="none"/>
      </font>
      <fill>
        <patternFill patternType="solid">
          <bgColor theme="1" tint="0.499984740745262"/>
        </patternFill>
      </fill>
    </dxf>
    <dxf>
      <font>
        <b/>
        <i val="0"/>
        <strike val="0"/>
        <color theme="0" tint="0.79998168889431442"/>
        <name val="Cambria"/>
        <scheme val="none"/>
      </font>
      <fill>
        <patternFill>
          <bgColor rgb="FF006600"/>
        </patternFill>
      </fill>
    </dxf>
    <dxf>
      <font>
        <b/>
        <i val="0"/>
        <color theme="0" tint="0.79998168889431442"/>
      </font>
      <fill>
        <patternFill>
          <bgColor rgb="FFFF0000"/>
        </patternFill>
      </fill>
    </dxf>
    <dxf>
      <font>
        <b/>
        <i val="0"/>
        <color theme="0" tint="0.79998168889431442"/>
      </font>
      <fill>
        <patternFill>
          <bgColor theme="1"/>
        </patternFill>
      </fill>
    </dxf>
    <dxf>
      <font>
        <b/>
        <i val="0"/>
        <color rgb="FFFF6600"/>
      </font>
      <fill>
        <patternFill patternType="solid">
          <bgColor theme="1"/>
        </patternFill>
      </fill>
    </dxf>
    <dxf>
      <font>
        <b/>
        <i val="0"/>
        <color rgb="FFFF6600"/>
      </font>
      <fill>
        <patternFill patternType="solid">
          <bgColor theme="1"/>
        </patternFill>
      </fill>
    </dxf>
    <dxf>
      <font>
        <b/>
        <i val="0"/>
        <color theme="1"/>
      </font>
      <fill>
        <patternFill patternType="solid">
          <bgColor rgb="FFB2B2B2"/>
        </patternFill>
      </fill>
    </dxf>
    <dxf>
      <font>
        <b/>
        <i val="0"/>
        <color rgb="FF008080"/>
      </font>
      <fill>
        <patternFill patternType="solid">
          <bgColor rgb="FFB2B2B2"/>
        </patternFill>
      </fill>
    </dxf>
    <dxf>
      <font>
        <b/>
        <i val="0"/>
        <color rgb="FF993300"/>
      </font>
      <fill>
        <patternFill patternType="solid">
          <bgColor rgb="FFB2B2B2"/>
        </patternFill>
      </fill>
    </dxf>
    <dxf>
      <font>
        <b/>
        <i val="0"/>
        <color rgb="FF7030A0"/>
      </font>
      <fill>
        <patternFill patternType="solid">
          <bgColor rgb="FFB2B2B2"/>
        </patternFill>
      </fill>
    </dxf>
    <dxf>
      <font>
        <b/>
        <i val="0"/>
        <color rgb="FFFFFF00"/>
      </font>
      <fill>
        <patternFill patternType="solid">
          <bgColor rgb="FFB2B2B2"/>
        </patternFill>
      </fill>
    </dxf>
    <dxf>
      <font>
        <b/>
        <i val="0"/>
        <color theme="0" tint="0.79998168889431442"/>
      </font>
      <fill>
        <patternFill patternType="solid">
          <bgColor rgb="FFB2B2B2"/>
        </patternFill>
      </fill>
    </dxf>
    <dxf>
      <font>
        <b/>
        <i val="0"/>
        <color rgb="FF000080"/>
      </font>
      <fill>
        <patternFill patternType="solid">
          <bgColor rgb="FFB2B2B2"/>
        </patternFill>
      </fill>
    </dxf>
    <dxf>
      <font>
        <b/>
        <i val="0"/>
        <color rgb="FF0000FF"/>
      </font>
      <fill>
        <patternFill patternType="solid">
          <bgColor rgb="FFB2B2B2"/>
        </patternFill>
      </fill>
    </dxf>
    <dxf>
      <font>
        <b/>
        <i val="0"/>
        <color rgb="FF0070C0"/>
        <name val="Cambria"/>
        <scheme val="none"/>
      </font>
      <fill>
        <patternFill patternType="solid">
          <bgColor rgb="FFB2B2B2"/>
        </patternFill>
      </fill>
    </dxf>
    <dxf>
      <font>
        <b/>
        <i val="0"/>
        <strike val="0"/>
        <color theme="0" tint="0.79998168889431442"/>
        <name val="Cambria"/>
        <scheme val="none"/>
      </font>
      <fill>
        <patternFill>
          <bgColor rgb="FF008000"/>
        </patternFill>
      </fill>
    </dxf>
    <dxf>
      <font>
        <b/>
        <i val="0"/>
        <color theme="0" tint="0.79998168889431442"/>
      </font>
      <fill>
        <patternFill>
          <bgColor rgb="FFC00000"/>
        </patternFill>
      </fill>
    </dxf>
    <dxf>
      <font>
        <b/>
        <i val="0"/>
        <color rgb="FFFF6600"/>
      </font>
      <fill>
        <patternFill>
          <bgColor theme="1"/>
        </patternFill>
      </fill>
    </dxf>
    <dxf>
      <font>
        <b/>
        <i val="0"/>
        <color rgb="FFFF6600"/>
      </font>
      <fill>
        <patternFill>
          <bgColor theme="1"/>
        </patternFill>
      </fill>
    </dxf>
    <dxf>
      <font>
        <b/>
        <i val="0"/>
        <color theme="1"/>
      </font>
      <fill>
        <patternFill patternType="solid">
          <bgColor theme="1" tint="0.499984740745262"/>
        </patternFill>
      </fill>
    </dxf>
    <dxf>
      <font>
        <b/>
        <i val="0"/>
        <color rgb="FF008080"/>
      </font>
      <fill>
        <patternFill patternType="solid">
          <bgColor theme="1" tint="0.499984740745262"/>
        </patternFill>
      </fill>
    </dxf>
    <dxf>
      <font>
        <b/>
        <i val="0"/>
        <color rgb="FF993300"/>
      </font>
      <fill>
        <patternFill patternType="solid">
          <bgColor theme="1" tint="0.499984740745262"/>
        </patternFill>
      </fill>
    </dxf>
    <dxf>
      <font>
        <b/>
        <i val="0"/>
        <color rgb="FF7030A0"/>
      </font>
      <fill>
        <patternFill patternType="solid">
          <bgColor theme="1" tint="0.499984740745262"/>
        </patternFill>
      </fill>
    </dxf>
    <dxf>
      <font>
        <b/>
        <i val="0"/>
        <color rgb="FFFFFF00"/>
      </font>
      <fill>
        <patternFill patternType="solid">
          <bgColor theme="1" tint="0.499984740745262"/>
        </patternFill>
      </fill>
    </dxf>
    <dxf>
      <font>
        <b/>
        <i val="0"/>
        <color theme="0" tint="0.79998168889431442"/>
      </font>
      <fill>
        <patternFill patternType="solid">
          <bgColor theme="1" tint="0.499984740745262"/>
        </patternFill>
      </fill>
    </dxf>
    <dxf>
      <font>
        <b/>
        <i val="0"/>
        <color rgb="FF000080"/>
      </font>
      <fill>
        <patternFill patternType="solid">
          <bgColor theme="1" tint="0.499984740745262"/>
        </patternFill>
      </fill>
    </dxf>
    <dxf>
      <font>
        <b/>
        <i val="0"/>
        <color rgb="FF0000FF"/>
      </font>
      <fill>
        <patternFill patternType="solid">
          <bgColor theme="1" tint="0.499984740745262"/>
        </patternFill>
      </fill>
    </dxf>
    <dxf>
      <font>
        <b/>
        <i val="0"/>
        <color rgb="FF0070C0"/>
        <name val="Cambria"/>
        <scheme val="none"/>
      </font>
      <fill>
        <patternFill patternType="solid">
          <bgColor theme="1" tint="0.499984740745262"/>
        </patternFill>
      </fill>
    </dxf>
    <dxf>
      <font>
        <b/>
        <i val="0"/>
        <strike val="0"/>
        <color theme="0" tint="0.79998168889431442"/>
        <name val="Cambria"/>
        <scheme val="none"/>
      </font>
      <fill>
        <patternFill>
          <bgColor rgb="FF006600"/>
        </patternFill>
      </fill>
    </dxf>
    <dxf>
      <font>
        <b/>
        <i val="0"/>
        <color theme="0" tint="0.79998168889431442"/>
      </font>
      <fill>
        <patternFill>
          <bgColor rgb="FFFF0000"/>
        </patternFill>
      </fill>
    </dxf>
    <dxf>
      <font>
        <b/>
        <i val="0"/>
        <color theme="0" tint="0.79998168889431442"/>
      </font>
      <fill>
        <patternFill>
          <bgColor theme="1"/>
        </patternFill>
      </fill>
    </dxf>
    <dxf>
      <font>
        <b/>
        <i val="0"/>
        <color rgb="FFFF6600"/>
      </font>
      <fill>
        <patternFill patternType="solid">
          <bgColor theme="1"/>
        </patternFill>
      </fill>
    </dxf>
    <dxf>
      <font>
        <b/>
        <i val="0"/>
        <color rgb="FFFF6600"/>
      </font>
      <fill>
        <patternFill patternType="solid">
          <bgColor theme="1"/>
        </patternFill>
      </fill>
    </dxf>
    <dxf>
      <font>
        <b/>
        <i val="0"/>
        <color theme="1"/>
      </font>
      <fill>
        <patternFill patternType="solid">
          <bgColor rgb="FFB2B2B2"/>
        </patternFill>
      </fill>
    </dxf>
    <dxf>
      <font>
        <b/>
        <i val="0"/>
        <color rgb="FF008080"/>
      </font>
      <fill>
        <patternFill patternType="solid">
          <bgColor rgb="FFB2B2B2"/>
        </patternFill>
      </fill>
    </dxf>
    <dxf>
      <font>
        <b/>
        <i val="0"/>
        <color rgb="FF993300"/>
      </font>
      <fill>
        <patternFill patternType="solid">
          <bgColor rgb="FFB2B2B2"/>
        </patternFill>
      </fill>
    </dxf>
    <dxf>
      <font>
        <b/>
        <i val="0"/>
        <color rgb="FF7030A0"/>
      </font>
      <fill>
        <patternFill patternType="solid">
          <bgColor rgb="FFB2B2B2"/>
        </patternFill>
      </fill>
    </dxf>
    <dxf>
      <font>
        <b/>
        <i val="0"/>
        <color rgb="FFFFFF00"/>
      </font>
      <fill>
        <patternFill patternType="solid">
          <bgColor rgb="FFB2B2B2"/>
        </patternFill>
      </fill>
    </dxf>
    <dxf>
      <font>
        <b/>
        <i val="0"/>
        <color theme="0" tint="0.79998168889431442"/>
      </font>
      <fill>
        <patternFill patternType="solid">
          <bgColor rgb="FFB2B2B2"/>
        </patternFill>
      </fill>
    </dxf>
    <dxf>
      <font>
        <b/>
        <i val="0"/>
        <color rgb="FF000080"/>
      </font>
      <fill>
        <patternFill patternType="solid">
          <bgColor rgb="FFB2B2B2"/>
        </patternFill>
      </fill>
    </dxf>
    <dxf>
      <font>
        <b/>
        <i val="0"/>
        <color rgb="FF0000FF"/>
      </font>
      <fill>
        <patternFill patternType="solid">
          <bgColor rgb="FFB2B2B2"/>
        </patternFill>
      </fill>
    </dxf>
    <dxf>
      <font>
        <b/>
        <i val="0"/>
        <color rgb="FF0070C0"/>
        <name val="Cambria"/>
        <scheme val="none"/>
      </font>
      <fill>
        <patternFill patternType="solid">
          <bgColor rgb="FFB2B2B2"/>
        </patternFill>
      </fill>
    </dxf>
    <dxf>
      <font>
        <b/>
        <i val="0"/>
        <strike val="0"/>
        <color theme="0" tint="0.79998168889431442"/>
        <name val="Cambria"/>
        <scheme val="none"/>
      </font>
      <fill>
        <patternFill>
          <bgColor rgb="FF008000"/>
        </patternFill>
      </fill>
    </dxf>
    <dxf>
      <font>
        <b/>
        <i val="0"/>
        <color theme="0" tint="0.79998168889431442"/>
      </font>
      <fill>
        <patternFill>
          <bgColor rgb="FFC00000"/>
        </patternFill>
      </fill>
    </dxf>
    <dxf>
      <font>
        <b/>
        <i val="0"/>
        <color rgb="FFFF6600"/>
      </font>
      <fill>
        <patternFill>
          <bgColor theme="1"/>
        </patternFill>
      </fill>
    </dxf>
    <dxf>
      <font>
        <b/>
        <i val="0"/>
        <color rgb="FFFF6600"/>
      </font>
      <fill>
        <patternFill>
          <bgColor theme="1"/>
        </patternFill>
      </fill>
    </dxf>
    <dxf>
      <font>
        <b/>
        <i val="0"/>
        <color theme="1"/>
      </font>
      <fill>
        <patternFill patternType="solid">
          <bgColor theme="1" tint="0.499984740745262"/>
        </patternFill>
      </fill>
    </dxf>
    <dxf>
      <font>
        <b/>
        <i val="0"/>
        <color rgb="FF008080"/>
      </font>
      <fill>
        <patternFill patternType="solid">
          <bgColor theme="1" tint="0.499984740745262"/>
        </patternFill>
      </fill>
    </dxf>
    <dxf>
      <font>
        <b/>
        <i val="0"/>
        <color rgb="FF993300"/>
      </font>
      <fill>
        <patternFill patternType="solid">
          <bgColor theme="1" tint="0.499984740745262"/>
        </patternFill>
      </fill>
    </dxf>
    <dxf>
      <font>
        <b/>
        <i val="0"/>
        <color rgb="FF7030A0"/>
      </font>
      <fill>
        <patternFill patternType="solid">
          <bgColor theme="1" tint="0.499984740745262"/>
        </patternFill>
      </fill>
    </dxf>
    <dxf>
      <font>
        <b/>
        <i val="0"/>
        <color rgb="FFFFFF00"/>
      </font>
      <fill>
        <patternFill patternType="solid">
          <bgColor theme="1" tint="0.499984740745262"/>
        </patternFill>
      </fill>
    </dxf>
    <dxf>
      <font>
        <b/>
        <i val="0"/>
        <color theme="0" tint="0.79998168889431442"/>
      </font>
      <fill>
        <patternFill patternType="solid">
          <bgColor theme="1" tint="0.499984740745262"/>
        </patternFill>
      </fill>
    </dxf>
    <dxf>
      <font>
        <b/>
        <i val="0"/>
        <color rgb="FF000080"/>
      </font>
      <fill>
        <patternFill patternType="solid">
          <bgColor theme="1" tint="0.499984740745262"/>
        </patternFill>
      </fill>
    </dxf>
    <dxf>
      <font>
        <b/>
        <i val="0"/>
        <color rgb="FF0000FF"/>
      </font>
      <fill>
        <patternFill patternType="solid">
          <bgColor theme="1" tint="0.499984740745262"/>
        </patternFill>
      </fill>
    </dxf>
    <dxf>
      <font>
        <b/>
        <i val="0"/>
        <color rgb="FF0070C0"/>
        <name val="Cambria"/>
        <scheme val="none"/>
      </font>
      <fill>
        <patternFill patternType="solid">
          <bgColor theme="1" tint="0.499984740745262"/>
        </patternFill>
      </fill>
    </dxf>
    <dxf>
      <font>
        <b/>
        <i val="0"/>
        <strike val="0"/>
        <color theme="0" tint="0.79998168889431442"/>
        <name val="Cambria"/>
        <scheme val="none"/>
      </font>
      <fill>
        <patternFill>
          <bgColor rgb="FF006600"/>
        </patternFill>
      </fill>
    </dxf>
    <dxf>
      <font>
        <b/>
        <i val="0"/>
        <color theme="0" tint="0.79998168889431442"/>
      </font>
      <fill>
        <patternFill>
          <bgColor rgb="FFFF0000"/>
        </patternFill>
      </fill>
    </dxf>
    <dxf>
      <font>
        <b/>
        <i val="0"/>
        <color theme="0" tint="0.79998168889431442"/>
      </font>
      <fill>
        <patternFill>
          <bgColor theme="1"/>
        </patternFill>
      </fill>
    </dxf>
    <dxf>
      <font>
        <b/>
        <i val="0"/>
        <strike val="0"/>
        <color theme="1"/>
        <name val="Cambria"/>
        <scheme val="none"/>
      </font>
      <fill>
        <patternFill>
          <bgColor indexed="55"/>
        </patternFill>
      </fill>
    </dxf>
    <dxf>
      <font>
        <b/>
        <i val="0"/>
        <color theme="1"/>
      </font>
      <fill>
        <patternFill>
          <bgColor theme="0" tint="-0.24994659260841701"/>
        </patternFill>
      </fill>
    </dxf>
    <dxf>
      <font>
        <b/>
        <i val="0"/>
        <color theme="0" tint="0.79998168889431442"/>
      </font>
      <fill>
        <patternFill>
          <bgColor rgb="FFFF0000"/>
        </patternFill>
      </fill>
    </dxf>
    <dxf>
      <font>
        <b/>
        <i val="0"/>
        <color theme="0" tint="0.79995117038483843"/>
      </font>
      <fill>
        <patternFill>
          <bgColor rgb="FF339933"/>
        </patternFill>
      </fill>
    </dxf>
    <dxf>
      <font>
        <b/>
        <i val="0"/>
        <color theme="0" tint="0.79998168889431442"/>
      </font>
      <fill>
        <patternFill>
          <bgColor rgb="FFFF0000"/>
        </patternFill>
      </fill>
    </dxf>
    <dxf>
      <font>
        <b/>
        <i val="0"/>
        <color theme="0" tint="0.79995117038483843"/>
      </font>
      <fill>
        <patternFill>
          <bgColor rgb="FF339933"/>
        </patternFill>
      </fill>
    </dxf>
    <dxf>
      <font>
        <b/>
        <i val="0"/>
        <color theme="0" tint="0.79998168889431442"/>
      </font>
      <fill>
        <patternFill>
          <bgColor rgb="FFFF0000"/>
        </patternFill>
      </fill>
    </dxf>
    <dxf>
      <font>
        <b/>
        <i val="0"/>
        <color theme="0" tint="0.79995117038483843"/>
      </font>
      <fill>
        <patternFill>
          <bgColor rgb="FF339933"/>
        </patternFill>
      </fill>
    </dxf>
    <dxf>
      <font>
        <b/>
        <i val="0"/>
        <color theme="0" tint="0.79998168889431442"/>
      </font>
      <fill>
        <patternFill>
          <bgColor rgb="FFFF0000"/>
        </patternFill>
      </fill>
    </dxf>
    <dxf>
      <font>
        <b/>
        <i val="0"/>
        <color theme="0" tint="0.79995117038483843"/>
      </font>
      <fill>
        <patternFill>
          <bgColor rgb="FF339933"/>
        </patternFill>
      </fill>
    </dxf>
    <dxf>
      <font>
        <b/>
        <i val="0"/>
        <color theme="0" tint="0.79998168889431442"/>
      </font>
      <fill>
        <patternFill>
          <bgColor rgb="FFFF0000"/>
        </patternFill>
      </fill>
    </dxf>
    <dxf>
      <font>
        <b/>
        <i val="0"/>
        <color theme="0" tint="0.79995117038483843"/>
      </font>
      <fill>
        <patternFill>
          <bgColor rgb="FF339933"/>
        </patternFill>
      </fill>
    </dxf>
    <dxf>
      <font>
        <b/>
        <i val="0"/>
        <color theme="0" tint="0.79998168889431442"/>
      </font>
      <fill>
        <patternFill>
          <bgColor rgb="FFFF0000"/>
        </patternFill>
      </fill>
    </dxf>
    <dxf>
      <font>
        <b/>
        <i val="0"/>
        <color theme="0" tint="0.79995117038483843"/>
      </font>
      <fill>
        <patternFill>
          <bgColor rgb="FF339933"/>
        </patternFill>
      </fill>
    </dxf>
    <dxf>
      <font>
        <b/>
        <i val="0"/>
        <color theme="0" tint="0.79998168889431442"/>
      </font>
      <fill>
        <patternFill>
          <bgColor rgb="FFFF0000"/>
        </patternFill>
      </fill>
    </dxf>
    <dxf>
      <font>
        <b/>
        <i val="0"/>
        <color theme="0" tint="0.79995117038483843"/>
      </font>
      <fill>
        <patternFill>
          <bgColor rgb="FF339933"/>
        </patternFill>
      </fill>
    </dxf>
    <dxf>
      <font>
        <b/>
        <i val="0"/>
        <color theme="0" tint="0.79998168889431442"/>
      </font>
      <fill>
        <patternFill>
          <bgColor rgb="FFFF0000"/>
        </patternFill>
      </fill>
    </dxf>
    <dxf>
      <font>
        <b/>
        <i val="0"/>
        <color theme="0" tint="0.79995117038483843"/>
      </font>
      <fill>
        <patternFill>
          <bgColor rgb="FF339933"/>
        </patternFill>
      </fill>
    </dxf>
    <dxf>
      <font>
        <b/>
        <i val="0"/>
        <color theme="0" tint="0.79998168889431442"/>
      </font>
      <fill>
        <patternFill>
          <bgColor rgb="FFFF0000"/>
        </patternFill>
      </fill>
    </dxf>
    <dxf>
      <font>
        <b/>
        <i val="0"/>
        <color theme="0" tint="0.79995117038483843"/>
      </font>
      <fill>
        <patternFill>
          <bgColor rgb="FF339933"/>
        </patternFill>
      </fill>
    </dxf>
    <dxf>
      <font>
        <b/>
        <i val="0"/>
        <color theme="0" tint="0.79998168889431442"/>
      </font>
      <fill>
        <patternFill>
          <bgColor rgb="FFFF0000"/>
        </patternFill>
      </fill>
    </dxf>
    <dxf>
      <font>
        <b/>
        <i val="0"/>
        <color theme="0" tint="0.79998168889431442"/>
      </font>
      <fill>
        <patternFill>
          <bgColor rgb="FFFF0000"/>
        </patternFill>
      </fill>
    </dxf>
    <dxf>
      <font>
        <b/>
        <i val="0"/>
        <color theme="0" tint="0.79995117038483843"/>
      </font>
      <fill>
        <patternFill>
          <bgColor rgb="FF339933"/>
        </patternFill>
      </fill>
    </dxf>
    <dxf>
      <font>
        <b/>
        <i val="0"/>
        <color theme="0" tint="0.79998168889431442"/>
      </font>
      <fill>
        <patternFill>
          <bgColor rgb="FFFF0000"/>
        </patternFill>
      </fill>
    </dxf>
    <dxf>
      <font>
        <b/>
        <i val="0"/>
        <color theme="0" tint="0.79995117038483843"/>
      </font>
      <fill>
        <patternFill>
          <bgColor rgb="FF339933"/>
        </patternFill>
      </fill>
    </dxf>
    <dxf>
      <font>
        <b/>
        <i val="0"/>
        <color theme="0" tint="0.79998168889431442"/>
      </font>
      <fill>
        <patternFill>
          <bgColor rgb="FFFF0000"/>
        </patternFill>
      </fill>
    </dxf>
    <dxf>
      <font>
        <b/>
        <i val="0"/>
        <color theme="0" tint="0.79995117038483843"/>
      </font>
      <fill>
        <patternFill>
          <bgColor rgb="FF339933"/>
        </patternFill>
      </fill>
    </dxf>
    <dxf>
      <font>
        <b/>
        <i val="0"/>
        <color theme="0" tint="0.79998168889431442"/>
      </font>
      <fill>
        <patternFill>
          <bgColor rgb="FFFF0000"/>
        </patternFill>
      </fill>
    </dxf>
    <dxf>
      <font>
        <b/>
        <i val="0"/>
        <color theme="0" tint="0.79995117038483843"/>
      </font>
      <fill>
        <patternFill>
          <bgColor rgb="FF339933"/>
        </patternFill>
      </fill>
    </dxf>
    <dxf>
      <font>
        <b/>
        <i val="0"/>
        <color theme="0" tint="0.79998168889431442"/>
      </font>
      <fill>
        <patternFill>
          <bgColor rgb="FFFF0000"/>
        </patternFill>
      </fill>
    </dxf>
    <dxf>
      <font>
        <b/>
        <i val="0"/>
        <color theme="0" tint="0.79995117038483843"/>
      </font>
      <fill>
        <patternFill>
          <bgColor rgb="FF339933"/>
        </patternFill>
      </fill>
    </dxf>
    <dxf>
      <font>
        <b/>
        <i val="0"/>
        <color theme="0" tint="0.79995117038483843"/>
      </font>
      <fill>
        <patternFill>
          <bgColor rgb="FF339933"/>
        </patternFill>
      </fill>
    </dxf>
    <dxf>
      <font>
        <b/>
        <i val="0"/>
        <color theme="0" tint="0.79998168889431442"/>
      </font>
      <fill>
        <patternFill>
          <bgColor rgb="FFFF0000"/>
        </patternFill>
      </fill>
    </dxf>
    <dxf>
      <font>
        <b/>
        <i val="0"/>
        <color theme="0" tint="0.79998168889431442"/>
      </font>
      <fill>
        <patternFill>
          <bgColor rgb="FFFF0000"/>
        </patternFill>
      </fill>
    </dxf>
    <dxf>
      <fill>
        <patternFill>
          <bgColor rgb="FFFF0000"/>
        </patternFill>
      </fill>
    </dxf>
    <dxf>
      <font>
        <b/>
        <i val="0"/>
        <color theme="0" tint="0.79998168889431442"/>
      </font>
      <fill>
        <patternFill>
          <bgColor rgb="FFC00000"/>
        </patternFill>
      </fill>
    </dxf>
    <dxf>
      <font>
        <b/>
        <i val="0"/>
        <strike val="0"/>
        <color theme="0" tint="0.79998168889431442"/>
        <name val="Cambria"/>
        <scheme val="none"/>
      </font>
      <fill>
        <patternFill patternType="solid">
          <bgColor rgb="FF00B0F0"/>
        </patternFill>
      </fill>
    </dxf>
    <dxf>
      <font>
        <b/>
        <i val="0"/>
        <strike val="0"/>
        <color theme="1"/>
        <name val="Cambria"/>
        <scheme val="none"/>
      </font>
      <fill>
        <patternFill patternType="solid">
          <bgColor rgb="FFB2B2B2"/>
        </patternFill>
      </fill>
    </dxf>
    <dxf>
      <font>
        <b/>
        <i val="0"/>
        <strike val="0"/>
        <condense val="0"/>
        <extend val="0"/>
        <color indexed="9"/>
      </font>
      <fill>
        <patternFill>
          <bgColor rgb="FFC00000"/>
        </patternFill>
      </fill>
    </dxf>
    <dxf>
      <font>
        <b/>
        <i val="0"/>
        <color theme="0" tint="0.79998168889431442"/>
      </font>
      <fill>
        <patternFill>
          <bgColor rgb="FFC00000"/>
        </patternFill>
      </fill>
    </dxf>
    <dxf>
      <font>
        <b/>
        <i val="0"/>
        <color theme="0" tint="0.79995117038483843"/>
      </font>
      <fill>
        <patternFill>
          <bgColor rgb="FFC00000"/>
        </patternFill>
      </fill>
    </dxf>
    <dxf>
      <font>
        <b/>
        <i val="0"/>
        <color theme="0" tint="0.79998168889431442"/>
      </font>
      <fill>
        <patternFill>
          <bgColor rgb="FFC00000"/>
        </patternFill>
      </fill>
    </dxf>
    <dxf>
      <font>
        <b/>
        <i val="0"/>
      </font>
      <fill>
        <patternFill>
          <bgColor rgb="FF00FFFF"/>
        </patternFill>
      </fill>
    </dxf>
    <dxf>
      <font>
        <b/>
        <i val="0"/>
        <strike val="0"/>
        <condense val="0"/>
        <extend val="0"/>
        <color indexed="8"/>
      </font>
      <fill>
        <patternFill>
          <bgColor rgb="FF00FFFF"/>
        </patternFill>
      </fill>
    </dxf>
    <dxf>
      <font>
        <b/>
        <i val="0"/>
        <strike val="0"/>
        <color theme="1"/>
        <name val="Cambria"/>
        <scheme val="none"/>
      </font>
      <fill>
        <patternFill>
          <bgColor indexed="55"/>
        </patternFill>
      </fill>
    </dxf>
    <dxf>
      <font>
        <b/>
        <i val="0"/>
        <strike val="0"/>
        <condense val="0"/>
        <extend val="0"/>
        <color indexed="9"/>
      </font>
      <fill>
        <patternFill>
          <bgColor indexed="10"/>
        </patternFill>
      </fill>
    </dxf>
    <dxf>
      <font>
        <b/>
        <i val="0"/>
        <color theme="0" tint="0.79998168889431442"/>
      </font>
      <fill>
        <patternFill>
          <bgColor rgb="FFFF0000"/>
        </patternFill>
      </fill>
    </dxf>
    <dxf>
      <font>
        <b/>
        <i val="0"/>
        <color theme="0" tint="0.79995117038483843"/>
      </font>
      <fill>
        <patternFill>
          <bgColor rgb="FFFF0000"/>
        </patternFill>
      </fill>
    </dxf>
    <dxf>
      <font>
        <b/>
        <i val="0"/>
        <color theme="0" tint="0.79998168889431442"/>
      </font>
      <fill>
        <patternFill>
          <bgColor rgb="FFFF0000"/>
        </patternFill>
      </fill>
    </dxf>
    <dxf>
      <font>
        <b/>
        <i val="0"/>
        <color rgb="FFB2B2B2"/>
      </font>
      <fill>
        <patternFill patternType="solid">
          <bgColor rgb="FFB2B2B2"/>
        </patternFill>
      </fill>
    </dxf>
    <dxf>
      <font>
        <b/>
        <i val="0"/>
        <color rgb="FFB2B2B2"/>
      </font>
      <fill>
        <patternFill patternType="solid">
          <bgColor rgb="FFB2B2B2"/>
        </patternFill>
      </fill>
    </dxf>
    <dxf>
      <font>
        <b/>
        <i val="0"/>
        <strike val="0"/>
        <color theme="0" tint="0.79998168889431442"/>
        <name val="Cambria"/>
        <scheme val="none"/>
      </font>
      <fill>
        <patternFill patternType="solid">
          <bgColor rgb="FF00B0F0"/>
        </patternFill>
      </fill>
    </dxf>
    <dxf>
      <font>
        <b/>
        <i val="0"/>
        <strike val="0"/>
        <color theme="1"/>
        <name val="Cambria"/>
        <scheme val="none"/>
      </font>
      <fill>
        <patternFill patternType="solid">
          <bgColor rgb="FFB2B2B2"/>
        </patternFill>
      </fill>
    </dxf>
    <dxf>
      <font>
        <b/>
        <i val="0"/>
        <strike val="0"/>
        <condense val="0"/>
        <extend val="0"/>
        <color indexed="9"/>
      </font>
      <fill>
        <patternFill>
          <bgColor rgb="FFC00000"/>
        </patternFill>
      </fill>
    </dxf>
    <dxf>
      <font>
        <b/>
        <i val="0"/>
        <color theme="0" tint="0.79998168889431442"/>
      </font>
      <fill>
        <patternFill>
          <bgColor rgb="FFC00000"/>
        </patternFill>
      </fill>
    </dxf>
    <dxf>
      <font>
        <b/>
        <i val="0"/>
        <color theme="0" tint="0.79998168889431442"/>
      </font>
      <fill>
        <patternFill>
          <bgColor rgb="FFC00000"/>
        </patternFill>
      </fill>
    </dxf>
    <dxf>
      <font>
        <b/>
        <i val="0"/>
        <color theme="0" tint="0.79998168889431442"/>
      </font>
      <fill>
        <patternFill>
          <bgColor rgb="FFC00000"/>
        </patternFill>
      </fill>
    </dxf>
    <dxf>
      <font>
        <b/>
        <i val="0"/>
      </font>
      <fill>
        <patternFill>
          <bgColor rgb="FF00FFFF"/>
        </patternFill>
      </fill>
    </dxf>
    <dxf>
      <font>
        <b/>
        <i val="0"/>
        <strike val="0"/>
        <condense val="0"/>
        <extend val="0"/>
        <color indexed="8"/>
      </font>
      <fill>
        <patternFill>
          <bgColor indexed="15"/>
        </patternFill>
      </fill>
    </dxf>
    <dxf>
      <font>
        <b/>
        <i val="0"/>
        <strike val="0"/>
        <color theme="1"/>
        <name val="Cambria"/>
        <scheme val="none"/>
      </font>
      <fill>
        <patternFill>
          <bgColor indexed="55"/>
        </patternFill>
      </fill>
    </dxf>
    <dxf>
      <font>
        <b/>
        <i val="0"/>
        <strike val="0"/>
        <condense val="0"/>
        <extend val="0"/>
        <color indexed="9"/>
      </font>
      <fill>
        <patternFill>
          <bgColor indexed="10"/>
        </patternFill>
      </fill>
    </dxf>
    <dxf>
      <font>
        <b/>
        <i val="0"/>
        <color theme="0" tint="0.79998168889431442"/>
      </font>
      <fill>
        <patternFill>
          <bgColor rgb="FFFF0000"/>
        </patternFill>
      </fill>
    </dxf>
    <dxf>
      <font>
        <b/>
        <i val="0"/>
        <color theme="0" tint="0.79998168889431442"/>
      </font>
      <fill>
        <patternFill>
          <bgColor rgb="FFFF0000"/>
        </patternFill>
      </fill>
    </dxf>
    <dxf>
      <font>
        <b/>
        <i val="0"/>
        <strike val="0"/>
        <color theme="0" tint="0.79998168889431442"/>
        <name val="Cambria"/>
        <scheme val="none"/>
      </font>
      <fill>
        <patternFill patternType="solid">
          <bgColor rgb="FF00B0F0"/>
        </patternFill>
      </fill>
    </dxf>
    <dxf>
      <font>
        <b/>
        <i val="0"/>
        <strike val="0"/>
        <color theme="1"/>
        <name val="Cambria"/>
        <scheme val="none"/>
      </font>
      <fill>
        <patternFill patternType="solid">
          <bgColor rgb="FFB2B2B2"/>
        </patternFill>
      </fill>
    </dxf>
    <dxf>
      <font>
        <b/>
        <i val="0"/>
        <strike val="0"/>
        <condense val="0"/>
        <extend val="0"/>
        <color indexed="9"/>
      </font>
      <fill>
        <patternFill>
          <bgColor rgb="FFC00000"/>
        </patternFill>
      </fill>
    </dxf>
    <dxf>
      <font>
        <b/>
        <i val="0"/>
        <color theme="0" tint="0.79998168889431442"/>
      </font>
      <fill>
        <patternFill>
          <bgColor rgb="FFC00000"/>
        </patternFill>
      </fill>
    </dxf>
    <dxf>
      <font>
        <b/>
        <i val="0"/>
        <color theme="0" tint="0.79995117038483843"/>
      </font>
      <fill>
        <patternFill>
          <bgColor rgb="FFC00000"/>
        </patternFill>
      </fill>
    </dxf>
    <dxf>
      <font>
        <b/>
        <i val="0"/>
        <color theme="0" tint="0.79998168889431442"/>
      </font>
      <fill>
        <patternFill>
          <bgColor rgb="FFC00000"/>
        </patternFill>
      </fill>
    </dxf>
    <dxf>
      <font>
        <b/>
        <i val="0"/>
      </font>
      <fill>
        <patternFill>
          <bgColor rgb="FF00FFFF"/>
        </patternFill>
      </fill>
    </dxf>
    <dxf>
      <font>
        <b/>
        <i val="0"/>
        <strike val="0"/>
        <condense val="0"/>
        <extend val="0"/>
        <color indexed="8"/>
      </font>
      <fill>
        <patternFill>
          <bgColor rgb="FF00FFFF"/>
        </patternFill>
      </fill>
    </dxf>
    <dxf>
      <font>
        <b/>
        <i val="0"/>
        <strike val="0"/>
        <color theme="1"/>
        <name val="Cambria"/>
        <scheme val="none"/>
      </font>
      <fill>
        <patternFill>
          <bgColor indexed="55"/>
        </patternFill>
      </fill>
    </dxf>
    <dxf>
      <font>
        <b/>
        <i val="0"/>
        <strike val="0"/>
        <condense val="0"/>
        <extend val="0"/>
        <color indexed="9"/>
      </font>
      <fill>
        <patternFill>
          <bgColor indexed="10"/>
        </patternFill>
      </fill>
    </dxf>
    <dxf>
      <font>
        <b/>
        <i val="0"/>
        <color theme="0" tint="0.79998168889431442"/>
      </font>
      <fill>
        <patternFill>
          <bgColor rgb="FFFF0000"/>
        </patternFill>
      </fill>
    </dxf>
    <dxf>
      <font>
        <b/>
        <i val="0"/>
        <color theme="0" tint="0.79995117038483843"/>
      </font>
      <fill>
        <patternFill>
          <bgColor rgb="FFFF0000"/>
        </patternFill>
      </fill>
    </dxf>
    <dxf>
      <font>
        <b/>
        <i val="0"/>
        <color theme="0" tint="0.79998168889431442"/>
      </font>
      <fill>
        <patternFill>
          <bgColor rgb="FFFF0000"/>
        </patternFill>
      </fill>
    </dxf>
    <dxf>
      <font>
        <b/>
        <i val="0"/>
        <color rgb="FFB2B2B2"/>
      </font>
      <fill>
        <patternFill patternType="solid">
          <bgColor rgb="FFB2B2B2"/>
        </patternFill>
      </fill>
    </dxf>
    <dxf>
      <font>
        <b/>
        <i val="0"/>
        <color rgb="FFB2B2B2"/>
      </font>
      <fill>
        <patternFill patternType="solid">
          <bgColor rgb="FFB2B2B2"/>
        </patternFill>
      </fill>
    </dxf>
    <dxf>
      <font>
        <b/>
        <i val="0"/>
        <strike val="0"/>
        <color theme="0" tint="0.79998168889431442"/>
        <name val="Cambria"/>
        <scheme val="none"/>
      </font>
      <fill>
        <patternFill patternType="solid">
          <bgColor rgb="FF00B0F0"/>
        </patternFill>
      </fill>
    </dxf>
    <dxf>
      <font>
        <b/>
        <i val="0"/>
        <strike val="0"/>
        <color theme="1"/>
        <name val="Cambria"/>
        <scheme val="none"/>
      </font>
      <fill>
        <patternFill patternType="solid">
          <bgColor rgb="FFB2B2B2"/>
        </patternFill>
      </fill>
    </dxf>
    <dxf>
      <font>
        <b/>
        <i val="0"/>
        <strike val="0"/>
        <condense val="0"/>
        <extend val="0"/>
        <color indexed="9"/>
      </font>
      <fill>
        <patternFill>
          <bgColor rgb="FFC00000"/>
        </patternFill>
      </fill>
    </dxf>
    <dxf>
      <font>
        <b/>
        <i val="0"/>
        <color theme="0" tint="0.79998168889431442"/>
      </font>
      <fill>
        <patternFill>
          <bgColor rgb="FFC00000"/>
        </patternFill>
      </fill>
    </dxf>
    <dxf>
      <font>
        <b/>
        <i val="0"/>
        <color theme="0" tint="0.79998168889431442"/>
      </font>
      <fill>
        <patternFill>
          <bgColor rgb="FFC00000"/>
        </patternFill>
      </fill>
    </dxf>
    <dxf>
      <font>
        <b/>
        <i val="0"/>
        <color theme="0" tint="0.79998168889431442"/>
      </font>
      <fill>
        <patternFill>
          <bgColor rgb="FFC00000"/>
        </patternFill>
      </fill>
    </dxf>
    <dxf>
      <font>
        <b/>
        <i val="0"/>
      </font>
      <fill>
        <patternFill>
          <bgColor rgb="FF00FFFF"/>
        </patternFill>
      </fill>
    </dxf>
    <dxf>
      <font>
        <b/>
        <i val="0"/>
        <strike val="0"/>
        <condense val="0"/>
        <extend val="0"/>
        <color indexed="8"/>
      </font>
      <fill>
        <patternFill>
          <bgColor indexed="15"/>
        </patternFill>
      </fill>
    </dxf>
    <dxf>
      <font>
        <b/>
        <i val="0"/>
        <strike val="0"/>
        <color theme="1"/>
        <name val="Cambria"/>
        <scheme val="none"/>
      </font>
      <fill>
        <patternFill>
          <bgColor indexed="55"/>
        </patternFill>
      </fill>
    </dxf>
    <dxf>
      <font>
        <b/>
        <i val="0"/>
        <strike val="0"/>
        <condense val="0"/>
        <extend val="0"/>
        <color indexed="9"/>
      </font>
      <fill>
        <patternFill>
          <bgColor indexed="10"/>
        </patternFill>
      </fill>
    </dxf>
    <dxf>
      <font>
        <b/>
        <i val="0"/>
        <color theme="0" tint="0.79998168889431442"/>
      </font>
      <fill>
        <patternFill>
          <bgColor rgb="FFFF0000"/>
        </patternFill>
      </fill>
    </dxf>
    <dxf>
      <font>
        <b/>
        <i val="0"/>
        <color theme="0" tint="0.79998168889431442"/>
      </font>
      <fill>
        <patternFill>
          <bgColor rgb="FFFF0000"/>
        </patternFill>
      </fill>
    </dxf>
    <dxf>
      <font>
        <b/>
        <i val="0"/>
        <strike val="0"/>
        <color theme="0" tint="0.79998168889431442"/>
        <name val="Cambria"/>
        <scheme val="none"/>
      </font>
      <fill>
        <patternFill patternType="solid">
          <bgColor rgb="FF00B0F0"/>
        </patternFill>
      </fill>
    </dxf>
    <dxf>
      <font>
        <b/>
        <i val="0"/>
        <strike val="0"/>
        <color theme="1"/>
        <name val="Cambria"/>
        <scheme val="none"/>
      </font>
      <fill>
        <patternFill patternType="solid">
          <bgColor rgb="FFB2B2B2"/>
        </patternFill>
      </fill>
    </dxf>
    <dxf>
      <font>
        <b/>
        <i val="0"/>
        <strike val="0"/>
        <condense val="0"/>
        <extend val="0"/>
        <color indexed="9"/>
      </font>
      <fill>
        <patternFill>
          <bgColor rgb="FFC00000"/>
        </patternFill>
      </fill>
    </dxf>
    <dxf>
      <font>
        <b/>
        <i val="0"/>
        <color theme="0" tint="0.79998168889431442"/>
      </font>
      <fill>
        <patternFill>
          <bgColor rgb="FFC00000"/>
        </patternFill>
      </fill>
    </dxf>
    <dxf>
      <font>
        <b/>
        <i val="0"/>
        <color theme="0" tint="0.79995117038483843"/>
      </font>
      <fill>
        <patternFill>
          <bgColor rgb="FFC00000"/>
        </patternFill>
      </fill>
    </dxf>
    <dxf>
      <font>
        <b/>
        <i val="0"/>
        <color theme="0" tint="0.79998168889431442"/>
      </font>
      <fill>
        <patternFill>
          <bgColor rgb="FFC00000"/>
        </patternFill>
      </fill>
    </dxf>
    <dxf>
      <font>
        <b/>
        <i val="0"/>
      </font>
      <fill>
        <patternFill>
          <bgColor rgb="FF00FFFF"/>
        </patternFill>
      </fill>
    </dxf>
    <dxf>
      <font>
        <b/>
        <i val="0"/>
        <strike val="0"/>
        <condense val="0"/>
        <extend val="0"/>
        <color indexed="8"/>
      </font>
      <fill>
        <patternFill>
          <bgColor rgb="FF00FFFF"/>
        </patternFill>
      </fill>
    </dxf>
    <dxf>
      <font>
        <b/>
        <i val="0"/>
        <strike val="0"/>
        <color theme="1"/>
        <name val="Cambria"/>
        <scheme val="none"/>
      </font>
      <fill>
        <patternFill>
          <bgColor indexed="55"/>
        </patternFill>
      </fill>
    </dxf>
    <dxf>
      <font>
        <b/>
        <i val="0"/>
        <strike val="0"/>
        <condense val="0"/>
        <extend val="0"/>
        <color indexed="9"/>
      </font>
      <fill>
        <patternFill>
          <bgColor indexed="10"/>
        </patternFill>
      </fill>
    </dxf>
    <dxf>
      <font>
        <b/>
        <i val="0"/>
        <color theme="0" tint="0.79998168889431442"/>
      </font>
      <fill>
        <patternFill>
          <bgColor rgb="FFFF0000"/>
        </patternFill>
      </fill>
    </dxf>
    <dxf>
      <font>
        <b/>
        <i val="0"/>
        <color theme="0" tint="0.79995117038483843"/>
      </font>
      <fill>
        <patternFill>
          <bgColor rgb="FFFF0000"/>
        </patternFill>
      </fill>
    </dxf>
    <dxf>
      <font>
        <b/>
        <i val="0"/>
        <color theme="0" tint="0.79998168889431442"/>
      </font>
      <fill>
        <patternFill>
          <bgColor rgb="FFFF0000"/>
        </patternFill>
      </fill>
    </dxf>
    <dxf>
      <font>
        <b/>
        <i val="0"/>
        <color rgb="FFB2B2B2"/>
      </font>
      <fill>
        <patternFill patternType="solid">
          <bgColor rgb="FFB2B2B2"/>
        </patternFill>
      </fill>
    </dxf>
    <dxf>
      <font>
        <b/>
        <i val="0"/>
        <color rgb="FFB2B2B2"/>
      </font>
      <fill>
        <patternFill patternType="solid">
          <bgColor rgb="FFB2B2B2"/>
        </patternFill>
      </fill>
    </dxf>
    <dxf>
      <font>
        <b/>
        <i val="0"/>
        <strike val="0"/>
        <color theme="0" tint="0.79998168889431442"/>
        <name val="Cambria"/>
        <scheme val="none"/>
      </font>
      <fill>
        <patternFill patternType="solid">
          <bgColor rgb="FF00B0F0"/>
        </patternFill>
      </fill>
    </dxf>
    <dxf>
      <font>
        <b/>
        <i val="0"/>
        <strike val="0"/>
        <color theme="1"/>
        <name val="Cambria"/>
        <scheme val="none"/>
      </font>
      <fill>
        <patternFill patternType="solid">
          <bgColor rgb="FFB2B2B2"/>
        </patternFill>
      </fill>
    </dxf>
    <dxf>
      <font>
        <b/>
        <i val="0"/>
        <strike val="0"/>
        <condense val="0"/>
        <extend val="0"/>
        <color indexed="9"/>
      </font>
      <fill>
        <patternFill>
          <bgColor rgb="FFC00000"/>
        </patternFill>
      </fill>
    </dxf>
    <dxf>
      <font>
        <b/>
        <i val="0"/>
        <color theme="0" tint="0.79998168889431442"/>
      </font>
      <fill>
        <patternFill>
          <bgColor rgb="FFC00000"/>
        </patternFill>
      </fill>
    </dxf>
    <dxf>
      <font>
        <b/>
        <i val="0"/>
        <color theme="0" tint="0.79998168889431442"/>
      </font>
      <fill>
        <patternFill>
          <bgColor rgb="FFC00000"/>
        </patternFill>
      </fill>
    </dxf>
    <dxf>
      <font>
        <b/>
        <i val="0"/>
        <color theme="0" tint="0.79998168889431442"/>
      </font>
      <fill>
        <patternFill>
          <bgColor rgb="FFC00000"/>
        </patternFill>
      </fill>
    </dxf>
    <dxf>
      <font>
        <b/>
        <i val="0"/>
      </font>
      <fill>
        <patternFill>
          <bgColor rgb="FF00FFFF"/>
        </patternFill>
      </fill>
    </dxf>
    <dxf>
      <font>
        <b/>
        <i val="0"/>
        <strike val="0"/>
        <condense val="0"/>
        <extend val="0"/>
        <color indexed="8"/>
      </font>
      <fill>
        <patternFill>
          <bgColor indexed="15"/>
        </patternFill>
      </fill>
    </dxf>
    <dxf>
      <font>
        <b/>
        <i val="0"/>
        <strike val="0"/>
        <color theme="1"/>
        <name val="Cambria"/>
        <scheme val="none"/>
      </font>
      <fill>
        <patternFill>
          <bgColor indexed="55"/>
        </patternFill>
      </fill>
    </dxf>
    <dxf>
      <font>
        <b/>
        <i val="0"/>
        <strike val="0"/>
        <condense val="0"/>
        <extend val="0"/>
        <color indexed="9"/>
      </font>
      <fill>
        <patternFill>
          <bgColor indexed="10"/>
        </patternFill>
      </fill>
    </dxf>
    <dxf>
      <font>
        <b/>
        <i val="0"/>
        <color theme="0" tint="0.79998168889431442"/>
      </font>
      <fill>
        <patternFill>
          <bgColor rgb="FFFF0000"/>
        </patternFill>
      </fill>
    </dxf>
    <dxf>
      <font>
        <b/>
        <i val="0"/>
        <color theme="0" tint="0.79998168889431442"/>
      </font>
      <fill>
        <patternFill>
          <bgColor rgb="FFFF0000"/>
        </patternFill>
      </fill>
    </dxf>
    <dxf>
      <font>
        <b/>
        <i val="0"/>
        <strike val="0"/>
        <color theme="0" tint="0.79998168889431442"/>
        <name val="Cambria"/>
        <scheme val="none"/>
      </font>
      <fill>
        <patternFill patternType="solid">
          <bgColor rgb="FF00B0F0"/>
        </patternFill>
      </fill>
    </dxf>
    <dxf>
      <font>
        <b/>
        <i val="0"/>
        <strike val="0"/>
        <color theme="1"/>
        <name val="Cambria"/>
        <scheme val="none"/>
      </font>
      <fill>
        <patternFill patternType="solid">
          <bgColor rgb="FFB2B2B2"/>
        </patternFill>
      </fill>
    </dxf>
    <dxf>
      <font>
        <b/>
        <i val="0"/>
        <strike val="0"/>
        <condense val="0"/>
        <extend val="0"/>
        <color indexed="9"/>
      </font>
      <fill>
        <patternFill>
          <bgColor rgb="FFC00000"/>
        </patternFill>
      </fill>
    </dxf>
    <dxf>
      <font>
        <b/>
        <i val="0"/>
        <color theme="0" tint="0.79998168889431442"/>
      </font>
      <fill>
        <patternFill>
          <bgColor rgb="FFC00000"/>
        </patternFill>
      </fill>
    </dxf>
    <dxf>
      <font>
        <b/>
        <i val="0"/>
        <color theme="0" tint="0.79995117038483843"/>
      </font>
      <fill>
        <patternFill>
          <bgColor rgb="FFC00000"/>
        </patternFill>
      </fill>
    </dxf>
    <dxf>
      <font>
        <b/>
        <i val="0"/>
        <color theme="0" tint="0.79998168889431442"/>
      </font>
      <fill>
        <patternFill>
          <bgColor rgb="FFC00000"/>
        </patternFill>
      </fill>
    </dxf>
    <dxf>
      <font>
        <b/>
        <i val="0"/>
      </font>
      <fill>
        <patternFill>
          <bgColor rgb="FF00FFFF"/>
        </patternFill>
      </fill>
    </dxf>
    <dxf>
      <font>
        <b/>
        <i val="0"/>
        <strike val="0"/>
        <condense val="0"/>
        <extend val="0"/>
        <color indexed="8"/>
      </font>
      <fill>
        <patternFill>
          <bgColor rgb="FF00FFFF"/>
        </patternFill>
      </fill>
    </dxf>
    <dxf>
      <font>
        <b/>
        <i val="0"/>
        <strike val="0"/>
        <color theme="1"/>
        <name val="Cambria"/>
        <scheme val="none"/>
      </font>
      <fill>
        <patternFill>
          <bgColor indexed="55"/>
        </patternFill>
      </fill>
    </dxf>
    <dxf>
      <font>
        <b/>
        <i val="0"/>
        <strike val="0"/>
        <condense val="0"/>
        <extend val="0"/>
        <color indexed="9"/>
      </font>
      <fill>
        <patternFill>
          <bgColor indexed="10"/>
        </patternFill>
      </fill>
    </dxf>
    <dxf>
      <font>
        <b/>
        <i val="0"/>
        <color theme="0" tint="0.79998168889431442"/>
      </font>
      <fill>
        <patternFill>
          <bgColor rgb="FFFF0000"/>
        </patternFill>
      </fill>
    </dxf>
    <dxf>
      <font>
        <b/>
        <i val="0"/>
        <color theme="0" tint="0.79995117038483843"/>
      </font>
      <fill>
        <patternFill>
          <bgColor rgb="FFFF0000"/>
        </patternFill>
      </fill>
    </dxf>
    <dxf>
      <font>
        <b/>
        <i val="0"/>
        <color theme="0" tint="0.79998168889431442"/>
      </font>
      <fill>
        <patternFill>
          <bgColor rgb="FFFF0000"/>
        </patternFill>
      </fill>
    </dxf>
    <dxf>
      <font>
        <b/>
        <i val="0"/>
        <color rgb="FFB2B2B2"/>
      </font>
      <fill>
        <patternFill patternType="solid">
          <bgColor rgb="FFB2B2B2"/>
        </patternFill>
      </fill>
    </dxf>
    <dxf>
      <font>
        <b/>
        <i val="0"/>
        <color rgb="FFB2B2B2"/>
      </font>
      <fill>
        <patternFill patternType="solid">
          <bgColor rgb="FFB2B2B2"/>
        </patternFill>
      </fill>
    </dxf>
    <dxf>
      <font>
        <b/>
        <i val="0"/>
        <strike val="0"/>
        <color theme="0" tint="0.79998168889431442"/>
        <name val="Cambria"/>
        <scheme val="none"/>
      </font>
      <fill>
        <patternFill patternType="solid">
          <bgColor rgb="FF00B0F0"/>
        </patternFill>
      </fill>
    </dxf>
    <dxf>
      <font>
        <b/>
        <i val="0"/>
        <strike val="0"/>
        <color theme="1"/>
        <name val="Cambria"/>
        <scheme val="none"/>
      </font>
      <fill>
        <patternFill patternType="solid">
          <bgColor rgb="FFB2B2B2"/>
        </patternFill>
      </fill>
    </dxf>
    <dxf>
      <font>
        <b/>
        <i val="0"/>
        <strike val="0"/>
        <condense val="0"/>
        <extend val="0"/>
        <color indexed="9"/>
      </font>
      <fill>
        <patternFill>
          <bgColor rgb="FFC00000"/>
        </patternFill>
      </fill>
    </dxf>
    <dxf>
      <font>
        <b/>
        <i val="0"/>
        <color theme="0" tint="0.79998168889431442"/>
      </font>
      <fill>
        <patternFill>
          <bgColor rgb="FFC00000"/>
        </patternFill>
      </fill>
    </dxf>
    <dxf>
      <font>
        <b/>
        <i val="0"/>
        <color theme="0" tint="0.79998168889431442"/>
      </font>
      <fill>
        <patternFill>
          <bgColor rgb="FFC00000"/>
        </patternFill>
      </fill>
    </dxf>
    <dxf>
      <font>
        <b/>
        <i val="0"/>
        <color theme="0" tint="0.79998168889431442"/>
      </font>
      <fill>
        <patternFill>
          <bgColor rgb="FFC00000"/>
        </patternFill>
      </fill>
    </dxf>
    <dxf>
      <font>
        <b/>
        <i val="0"/>
      </font>
      <fill>
        <patternFill>
          <bgColor rgb="FF00FFFF"/>
        </patternFill>
      </fill>
    </dxf>
    <dxf>
      <font>
        <b/>
        <i val="0"/>
        <strike val="0"/>
        <condense val="0"/>
        <extend val="0"/>
        <color indexed="8"/>
      </font>
      <fill>
        <patternFill>
          <bgColor indexed="15"/>
        </patternFill>
      </fill>
    </dxf>
    <dxf>
      <font>
        <b/>
        <i val="0"/>
        <strike val="0"/>
        <color theme="1"/>
        <name val="Cambria"/>
        <scheme val="none"/>
      </font>
      <fill>
        <patternFill>
          <bgColor indexed="55"/>
        </patternFill>
      </fill>
    </dxf>
    <dxf>
      <font>
        <b/>
        <i val="0"/>
        <strike val="0"/>
        <condense val="0"/>
        <extend val="0"/>
        <color indexed="9"/>
      </font>
      <fill>
        <patternFill>
          <bgColor indexed="10"/>
        </patternFill>
      </fill>
    </dxf>
    <dxf>
      <font>
        <b/>
        <i val="0"/>
        <color theme="0" tint="0.79998168889431442"/>
      </font>
      <fill>
        <patternFill>
          <bgColor rgb="FFFF0000"/>
        </patternFill>
      </fill>
    </dxf>
    <dxf>
      <font>
        <b/>
        <i val="0"/>
        <color theme="0" tint="0.79998168889431442"/>
      </font>
      <fill>
        <patternFill>
          <bgColor rgb="FFFF0000"/>
        </patternFill>
      </fill>
    </dxf>
    <dxf>
      <font>
        <b/>
        <i val="0"/>
        <strike val="0"/>
        <color theme="0" tint="0.79998168889431442"/>
        <name val="Cambria"/>
        <scheme val="none"/>
      </font>
      <fill>
        <patternFill patternType="solid">
          <bgColor rgb="FF00B0F0"/>
        </patternFill>
      </fill>
    </dxf>
    <dxf>
      <font>
        <b/>
        <i val="0"/>
        <strike val="0"/>
        <color theme="1"/>
        <name val="Cambria"/>
        <scheme val="none"/>
      </font>
      <fill>
        <patternFill patternType="solid">
          <bgColor rgb="FFB2B2B2"/>
        </patternFill>
      </fill>
    </dxf>
    <dxf>
      <font>
        <b/>
        <i val="0"/>
        <strike val="0"/>
        <condense val="0"/>
        <extend val="0"/>
        <color indexed="9"/>
      </font>
      <fill>
        <patternFill>
          <bgColor rgb="FFC00000"/>
        </patternFill>
      </fill>
    </dxf>
    <dxf>
      <font>
        <b/>
        <i val="0"/>
        <color theme="0" tint="0.79998168889431442"/>
      </font>
      <fill>
        <patternFill>
          <bgColor rgb="FFC00000"/>
        </patternFill>
      </fill>
    </dxf>
    <dxf>
      <font>
        <b/>
        <i val="0"/>
        <color theme="0" tint="0.79995117038483843"/>
      </font>
      <fill>
        <patternFill>
          <bgColor rgb="FFC00000"/>
        </patternFill>
      </fill>
    </dxf>
    <dxf>
      <font>
        <b/>
        <i val="0"/>
        <color theme="0" tint="0.79998168889431442"/>
      </font>
      <fill>
        <patternFill>
          <bgColor rgb="FFC00000"/>
        </patternFill>
      </fill>
    </dxf>
    <dxf>
      <font>
        <b/>
        <i val="0"/>
      </font>
      <fill>
        <patternFill>
          <bgColor rgb="FF00FFFF"/>
        </patternFill>
      </fill>
    </dxf>
    <dxf>
      <font>
        <b/>
        <i val="0"/>
        <strike val="0"/>
        <condense val="0"/>
        <extend val="0"/>
        <color indexed="8"/>
      </font>
      <fill>
        <patternFill>
          <bgColor rgb="FF00FFFF"/>
        </patternFill>
      </fill>
    </dxf>
    <dxf>
      <font>
        <b/>
        <i val="0"/>
        <strike val="0"/>
        <color theme="1"/>
        <name val="Cambria"/>
        <scheme val="none"/>
      </font>
      <fill>
        <patternFill>
          <bgColor indexed="55"/>
        </patternFill>
      </fill>
    </dxf>
    <dxf>
      <font>
        <b/>
        <i val="0"/>
        <strike val="0"/>
        <condense val="0"/>
        <extend val="0"/>
        <color indexed="9"/>
      </font>
      <fill>
        <patternFill>
          <bgColor indexed="10"/>
        </patternFill>
      </fill>
    </dxf>
    <dxf>
      <font>
        <b/>
        <i val="0"/>
        <color theme="0" tint="0.79998168889431442"/>
      </font>
      <fill>
        <patternFill>
          <bgColor rgb="FFFF0000"/>
        </patternFill>
      </fill>
    </dxf>
    <dxf>
      <font>
        <b/>
        <i val="0"/>
        <color theme="0" tint="0.79995117038483843"/>
      </font>
      <fill>
        <patternFill>
          <bgColor rgb="FFFF0000"/>
        </patternFill>
      </fill>
    </dxf>
    <dxf>
      <font>
        <b/>
        <i val="0"/>
        <color theme="0" tint="0.79998168889431442"/>
      </font>
      <fill>
        <patternFill>
          <bgColor rgb="FFFF0000"/>
        </patternFill>
      </fill>
    </dxf>
    <dxf>
      <font>
        <b/>
        <i val="0"/>
        <color rgb="FFB2B2B2"/>
      </font>
      <fill>
        <patternFill patternType="solid">
          <bgColor rgb="FFB2B2B2"/>
        </patternFill>
      </fill>
    </dxf>
    <dxf>
      <font>
        <b/>
        <i val="0"/>
        <color rgb="FFB2B2B2"/>
      </font>
      <fill>
        <patternFill patternType="solid">
          <bgColor rgb="FFB2B2B2"/>
        </patternFill>
      </fill>
    </dxf>
    <dxf>
      <font>
        <b/>
        <i val="0"/>
        <strike val="0"/>
        <color theme="0" tint="0.79998168889431442"/>
        <name val="Cambria"/>
        <scheme val="none"/>
      </font>
      <fill>
        <patternFill patternType="solid">
          <bgColor rgb="FF00B0F0"/>
        </patternFill>
      </fill>
    </dxf>
    <dxf>
      <font>
        <b/>
        <i val="0"/>
        <strike val="0"/>
        <color theme="1"/>
        <name val="Cambria"/>
        <scheme val="none"/>
      </font>
      <fill>
        <patternFill patternType="solid">
          <bgColor rgb="FFB2B2B2"/>
        </patternFill>
      </fill>
    </dxf>
    <dxf>
      <font>
        <b/>
        <i val="0"/>
        <strike val="0"/>
        <condense val="0"/>
        <extend val="0"/>
        <color indexed="9"/>
      </font>
      <fill>
        <patternFill>
          <bgColor rgb="FFC00000"/>
        </patternFill>
      </fill>
    </dxf>
    <dxf>
      <font>
        <b/>
        <i val="0"/>
        <color theme="0" tint="0.79998168889431442"/>
      </font>
      <fill>
        <patternFill>
          <bgColor rgb="FFC00000"/>
        </patternFill>
      </fill>
    </dxf>
    <dxf>
      <font>
        <b/>
        <i val="0"/>
        <color theme="0" tint="0.79998168889431442"/>
      </font>
      <fill>
        <patternFill>
          <bgColor rgb="FFC00000"/>
        </patternFill>
      </fill>
    </dxf>
    <dxf>
      <font>
        <b/>
        <i val="0"/>
        <color theme="0" tint="0.79998168889431442"/>
      </font>
      <fill>
        <patternFill>
          <bgColor rgb="FFC00000"/>
        </patternFill>
      </fill>
    </dxf>
    <dxf>
      <font>
        <b/>
        <i val="0"/>
      </font>
      <fill>
        <patternFill>
          <bgColor rgb="FF00FFFF"/>
        </patternFill>
      </fill>
    </dxf>
    <dxf>
      <font>
        <b/>
        <i val="0"/>
        <strike val="0"/>
        <condense val="0"/>
        <extend val="0"/>
        <color indexed="8"/>
      </font>
      <fill>
        <patternFill>
          <bgColor indexed="15"/>
        </patternFill>
      </fill>
    </dxf>
    <dxf>
      <font>
        <b/>
        <i val="0"/>
        <strike val="0"/>
        <color theme="1"/>
        <name val="Cambria"/>
        <scheme val="none"/>
      </font>
      <fill>
        <patternFill>
          <bgColor indexed="55"/>
        </patternFill>
      </fill>
    </dxf>
    <dxf>
      <font>
        <b/>
        <i val="0"/>
        <strike val="0"/>
        <condense val="0"/>
        <extend val="0"/>
        <color indexed="9"/>
      </font>
      <fill>
        <patternFill>
          <bgColor indexed="10"/>
        </patternFill>
      </fill>
    </dxf>
    <dxf>
      <font>
        <b/>
        <i val="0"/>
        <color theme="0" tint="0.79998168889431442"/>
      </font>
      <fill>
        <patternFill>
          <bgColor rgb="FFFF0000"/>
        </patternFill>
      </fill>
    </dxf>
    <dxf>
      <font>
        <b/>
        <i val="0"/>
        <color theme="0" tint="0.79998168889431442"/>
      </font>
      <fill>
        <patternFill>
          <bgColor rgb="FFFF0000"/>
        </patternFill>
      </fill>
    </dxf>
    <dxf>
      <font>
        <b/>
        <i val="0"/>
        <strike val="0"/>
        <color theme="0" tint="0.79998168889431442"/>
        <name val="Cambria"/>
        <scheme val="none"/>
      </font>
      <fill>
        <patternFill patternType="solid">
          <bgColor rgb="FF00B0F0"/>
        </patternFill>
      </fill>
    </dxf>
    <dxf>
      <font>
        <b/>
        <i val="0"/>
        <strike val="0"/>
        <color theme="1"/>
        <name val="Cambria"/>
        <scheme val="none"/>
      </font>
      <fill>
        <patternFill patternType="solid">
          <bgColor rgb="FFB2B2B2"/>
        </patternFill>
      </fill>
    </dxf>
    <dxf>
      <font>
        <b/>
        <i val="0"/>
        <strike val="0"/>
        <condense val="0"/>
        <extend val="0"/>
        <color indexed="9"/>
      </font>
      <fill>
        <patternFill>
          <bgColor rgb="FFC00000"/>
        </patternFill>
      </fill>
    </dxf>
    <dxf>
      <font>
        <b/>
        <i val="0"/>
        <color theme="0" tint="0.79998168889431442"/>
      </font>
      <fill>
        <patternFill>
          <bgColor rgb="FFC00000"/>
        </patternFill>
      </fill>
    </dxf>
    <dxf>
      <font>
        <b/>
        <i val="0"/>
        <color theme="0" tint="0.79995117038483843"/>
      </font>
      <fill>
        <patternFill>
          <bgColor rgb="FFC00000"/>
        </patternFill>
      </fill>
    </dxf>
    <dxf>
      <font>
        <b/>
        <i val="0"/>
        <color theme="0" tint="0.79998168889431442"/>
      </font>
      <fill>
        <patternFill>
          <bgColor rgb="FFC00000"/>
        </patternFill>
      </fill>
    </dxf>
    <dxf>
      <font>
        <b/>
        <i val="0"/>
        <color rgb="FFB2B2B2"/>
      </font>
      <fill>
        <patternFill patternType="solid">
          <bgColor rgb="FFB2B2B2"/>
        </patternFill>
      </fill>
    </dxf>
    <dxf>
      <font>
        <b/>
        <i val="0"/>
        <color rgb="FFB2B2B2"/>
      </font>
      <fill>
        <patternFill patternType="solid">
          <bgColor rgb="FFB2B2B2"/>
        </patternFill>
      </fill>
    </dxf>
    <dxf>
      <font>
        <b/>
        <i val="0"/>
        <strike val="0"/>
        <color theme="0" tint="0.79998168889431442"/>
        <name val="Cambria"/>
        <scheme val="none"/>
      </font>
      <fill>
        <patternFill patternType="solid">
          <bgColor rgb="FF00B0F0"/>
        </patternFill>
      </fill>
    </dxf>
    <dxf>
      <font>
        <b/>
        <i val="0"/>
        <strike val="0"/>
        <color theme="1"/>
        <name val="Cambria"/>
        <scheme val="none"/>
      </font>
      <fill>
        <patternFill patternType="solid">
          <bgColor rgb="FFB2B2B2"/>
        </patternFill>
      </fill>
    </dxf>
    <dxf>
      <font>
        <b/>
        <i val="0"/>
        <strike val="0"/>
        <condense val="0"/>
        <extend val="0"/>
        <color indexed="9"/>
      </font>
      <fill>
        <patternFill>
          <bgColor rgb="FFC00000"/>
        </patternFill>
      </fill>
    </dxf>
    <dxf>
      <font>
        <b/>
        <i val="0"/>
        <color theme="0" tint="0.79998168889431442"/>
      </font>
      <fill>
        <patternFill>
          <bgColor rgb="FFC00000"/>
        </patternFill>
      </fill>
    </dxf>
    <dxf>
      <font>
        <b/>
        <i val="0"/>
        <color theme="0" tint="0.79998168889431442"/>
      </font>
      <fill>
        <patternFill>
          <bgColor rgb="FFC00000"/>
        </patternFill>
      </fill>
    </dxf>
    <dxf>
      <font>
        <b/>
        <i val="0"/>
        <color theme="0" tint="0.79998168889431442"/>
      </font>
      <fill>
        <patternFill>
          <bgColor rgb="FFC00000"/>
        </patternFill>
      </fill>
    </dxf>
    <dxf>
      <font>
        <b/>
        <i val="0"/>
      </font>
      <fill>
        <patternFill>
          <bgColor rgb="FF00FFFF"/>
        </patternFill>
      </fill>
    </dxf>
    <dxf>
      <font>
        <b/>
        <i val="0"/>
        <strike val="0"/>
        <condense val="0"/>
        <extend val="0"/>
        <color indexed="8"/>
      </font>
      <fill>
        <patternFill>
          <bgColor rgb="FF00FFFF"/>
        </patternFill>
      </fill>
    </dxf>
    <dxf>
      <font>
        <b/>
        <i val="0"/>
        <strike val="0"/>
        <color theme="1"/>
        <name val="Cambria"/>
        <scheme val="none"/>
      </font>
      <fill>
        <patternFill>
          <bgColor indexed="55"/>
        </patternFill>
      </fill>
    </dxf>
    <dxf>
      <font>
        <b/>
        <i val="0"/>
        <strike val="0"/>
        <condense val="0"/>
        <extend val="0"/>
        <color indexed="9"/>
      </font>
      <fill>
        <patternFill>
          <bgColor indexed="10"/>
        </patternFill>
      </fill>
    </dxf>
    <dxf>
      <font>
        <b/>
        <i val="0"/>
        <color theme="0" tint="0.79998168889431442"/>
      </font>
      <fill>
        <patternFill>
          <bgColor rgb="FFFF0000"/>
        </patternFill>
      </fill>
    </dxf>
    <dxf>
      <font>
        <b/>
        <i val="0"/>
        <color theme="0" tint="0.79995117038483843"/>
      </font>
      <fill>
        <patternFill>
          <bgColor rgb="FFFF0000"/>
        </patternFill>
      </fill>
    </dxf>
    <dxf>
      <font>
        <b/>
        <i val="0"/>
        <color theme="0" tint="0.79998168889431442"/>
      </font>
      <fill>
        <patternFill>
          <bgColor rgb="FFFF0000"/>
        </patternFill>
      </fill>
    </dxf>
    <dxf>
      <font>
        <b/>
        <i val="0"/>
      </font>
      <fill>
        <patternFill>
          <bgColor rgb="FF00FFFF"/>
        </patternFill>
      </fill>
    </dxf>
    <dxf>
      <font>
        <b/>
        <i val="0"/>
        <strike val="0"/>
        <condense val="0"/>
        <extend val="0"/>
        <color indexed="8"/>
      </font>
      <fill>
        <patternFill>
          <bgColor indexed="15"/>
        </patternFill>
      </fill>
    </dxf>
    <dxf>
      <font>
        <b/>
        <i val="0"/>
        <strike val="0"/>
        <color theme="1"/>
        <name val="Cambria"/>
        <scheme val="none"/>
      </font>
      <fill>
        <patternFill>
          <bgColor indexed="55"/>
        </patternFill>
      </fill>
    </dxf>
    <dxf>
      <font>
        <b/>
        <i val="0"/>
        <strike val="0"/>
        <condense val="0"/>
        <extend val="0"/>
        <color indexed="9"/>
      </font>
      <fill>
        <patternFill>
          <bgColor indexed="10"/>
        </patternFill>
      </fill>
    </dxf>
    <dxf>
      <font>
        <b/>
        <i val="0"/>
        <color theme="0" tint="0.79998168889431442"/>
      </font>
      <fill>
        <patternFill>
          <bgColor rgb="FFFF0000"/>
        </patternFill>
      </fill>
    </dxf>
    <dxf>
      <font>
        <b/>
        <i val="0"/>
        <color theme="0" tint="0.79998168889431442"/>
      </font>
      <fill>
        <patternFill>
          <bgColor rgb="FFFF0000"/>
        </patternFill>
      </fill>
    </dxf>
    <dxf>
      <font>
        <b/>
        <i val="0"/>
        <strike val="0"/>
        <color theme="0" tint="0.79998168889431442"/>
        <name val="Cambria"/>
        <scheme val="none"/>
      </font>
      <fill>
        <patternFill patternType="solid">
          <bgColor rgb="FF00B0F0"/>
        </patternFill>
      </fill>
    </dxf>
    <dxf>
      <font>
        <b/>
        <i val="0"/>
        <strike val="0"/>
        <color theme="1"/>
        <name val="Cambria"/>
        <scheme val="none"/>
      </font>
      <fill>
        <patternFill patternType="solid">
          <bgColor rgb="FFB2B2B2"/>
        </patternFill>
      </fill>
    </dxf>
    <dxf>
      <font>
        <b/>
        <i val="0"/>
        <strike val="0"/>
        <condense val="0"/>
        <extend val="0"/>
        <color indexed="9"/>
      </font>
      <fill>
        <patternFill>
          <bgColor rgb="FFC00000"/>
        </patternFill>
      </fill>
    </dxf>
    <dxf>
      <font>
        <b/>
        <i val="0"/>
        <color theme="0" tint="0.79998168889431442"/>
      </font>
      <fill>
        <patternFill>
          <bgColor rgb="FFC00000"/>
        </patternFill>
      </fill>
    </dxf>
    <dxf>
      <font>
        <b/>
        <i val="0"/>
        <color theme="0" tint="0.79995117038483843"/>
      </font>
      <fill>
        <patternFill>
          <bgColor rgb="FFC00000"/>
        </patternFill>
      </fill>
    </dxf>
    <dxf>
      <font>
        <b/>
        <i val="0"/>
        <color theme="0" tint="0.79998168889431442"/>
      </font>
      <fill>
        <patternFill>
          <bgColor rgb="FFC00000"/>
        </patternFill>
      </fill>
    </dxf>
    <dxf>
      <font>
        <b/>
        <i val="0"/>
      </font>
      <fill>
        <patternFill>
          <bgColor rgb="FF00FFFF"/>
        </patternFill>
      </fill>
    </dxf>
    <dxf>
      <font>
        <b/>
        <i val="0"/>
        <strike val="0"/>
        <condense val="0"/>
        <extend val="0"/>
        <color indexed="8"/>
      </font>
      <fill>
        <patternFill>
          <bgColor rgb="FF00FFFF"/>
        </patternFill>
      </fill>
    </dxf>
    <dxf>
      <font>
        <b/>
        <i val="0"/>
        <strike val="0"/>
        <color theme="1"/>
        <name val="Cambria"/>
        <scheme val="none"/>
      </font>
      <fill>
        <patternFill>
          <bgColor indexed="55"/>
        </patternFill>
      </fill>
    </dxf>
    <dxf>
      <font>
        <b/>
        <i val="0"/>
        <strike val="0"/>
        <condense val="0"/>
        <extend val="0"/>
        <color indexed="9"/>
      </font>
      <fill>
        <patternFill>
          <bgColor indexed="10"/>
        </patternFill>
      </fill>
    </dxf>
    <dxf>
      <font>
        <b/>
        <i val="0"/>
        <color theme="0" tint="0.79998168889431442"/>
      </font>
      <fill>
        <patternFill>
          <bgColor rgb="FFFF0000"/>
        </patternFill>
      </fill>
    </dxf>
    <dxf>
      <font>
        <b/>
        <i val="0"/>
        <color theme="0" tint="0.79995117038483843"/>
      </font>
      <fill>
        <patternFill>
          <bgColor rgb="FFFF0000"/>
        </patternFill>
      </fill>
    </dxf>
    <dxf>
      <font>
        <b/>
        <i val="0"/>
        <color theme="0" tint="0.79998168889431442"/>
      </font>
      <fill>
        <patternFill>
          <bgColor rgb="FFFF0000"/>
        </patternFill>
      </fill>
    </dxf>
    <dxf>
      <font>
        <b/>
        <i val="0"/>
        <color rgb="FFB2B2B2"/>
      </font>
      <fill>
        <patternFill patternType="solid">
          <bgColor rgb="FFB2B2B2"/>
        </patternFill>
      </fill>
    </dxf>
    <dxf>
      <font>
        <b/>
        <i val="0"/>
        <color rgb="FFB2B2B2"/>
      </font>
      <fill>
        <patternFill patternType="solid">
          <bgColor rgb="FFB2B2B2"/>
        </patternFill>
      </fill>
    </dxf>
    <dxf>
      <font>
        <b/>
        <i val="0"/>
        <strike val="0"/>
        <color theme="0" tint="0.79998168889431442"/>
        <name val="Cambria"/>
        <scheme val="none"/>
      </font>
      <fill>
        <patternFill patternType="solid">
          <bgColor rgb="FF00B0F0"/>
        </patternFill>
      </fill>
    </dxf>
    <dxf>
      <font>
        <b/>
        <i val="0"/>
        <strike val="0"/>
        <color theme="1"/>
        <name val="Cambria"/>
        <scheme val="none"/>
      </font>
      <fill>
        <patternFill patternType="solid">
          <bgColor rgb="FFB2B2B2"/>
        </patternFill>
      </fill>
    </dxf>
    <dxf>
      <font>
        <b/>
        <i val="0"/>
        <strike val="0"/>
        <condense val="0"/>
        <extend val="0"/>
        <color indexed="9"/>
      </font>
      <fill>
        <patternFill>
          <bgColor rgb="FFC00000"/>
        </patternFill>
      </fill>
    </dxf>
    <dxf>
      <font>
        <b/>
        <i val="0"/>
        <color theme="0" tint="0.79998168889431442"/>
      </font>
      <fill>
        <patternFill>
          <bgColor rgb="FFC00000"/>
        </patternFill>
      </fill>
    </dxf>
    <dxf>
      <font>
        <b/>
        <i val="0"/>
        <color theme="0" tint="0.79998168889431442"/>
      </font>
      <fill>
        <patternFill>
          <bgColor rgb="FFC00000"/>
        </patternFill>
      </fill>
    </dxf>
    <dxf>
      <font>
        <b/>
        <i val="0"/>
        <color theme="0" tint="0.79998168889431442"/>
      </font>
      <fill>
        <patternFill>
          <bgColor rgb="FFC00000"/>
        </patternFill>
      </fill>
    </dxf>
    <dxf>
      <font>
        <b/>
        <i val="0"/>
      </font>
      <fill>
        <patternFill>
          <bgColor rgb="FF00FFFF"/>
        </patternFill>
      </fill>
    </dxf>
    <dxf>
      <font>
        <b/>
        <i val="0"/>
        <strike val="0"/>
        <condense val="0"/>
        <extend val="0"/>
        <color indexed="8"/>
      </font>
      <fill>
        <patternFill>
          <bgColor indexed="15"/>
        </patternFill>
      </fill>
    </dxf>
    <dxf>
      <font>
        <b/>
        <i val="0"/>
        <strike val="0"/>
        <color theme="1"/>
        <name val="Cambria"/>
        <scheme val="none"/>
      </font>
      <fill>
        <patternFill>
          <bgColor indexed="55"/>
        </patternFill>
      </fill>
    </dxf>
    <dxf>
      <font>
        <b/>
        <i val="0"/>
        <strike val="0"/>
        <condense val="0"/>
        <extend val="0"/>
        <color indexed="9"/>
      </font>
      <fill>
        <patternFill>
          <bgColor indexed="10"/>
        </patternFill>
      </fill>
    </dxf>
    <dxf>
      <font>
        <b/>
        <i val="0"/>
        <color theme="0" tint="0.79998168889431442"/>
      </font>
      <fill>
        <patternFill>
          <bgColor rgb="FFFF0000"/>
        </patternFill>
      </fill>
    </dxf>
    <dxf>
      <font>
        <b/>
        <i val="0"/>
        <color theme="0" tint="0.79998168889431442"/>
      </font>
      <fill>
        <patternFill>
          <bgColor rgb="FFFF0000"/>
        </patternFill>
      </fill>
    </dxf>
    <dxf>
      <font>
        <b/>
        <i val="0"/>
        <color auto="1"/>
      </font>
      <fill>
        <patternFill>
          <bgColor rgb="FFB2B2B2"/>
        </patternFill>
      </fill>
      <border>
        <top style="thin">
          <color indexed="64"/>
        </top>
        <bottom style="thin">
          <color indexed="64"/>
        </bottom>
      </border>
    </dxf>
    <dxf>
      <font>
        <b/>
        <i val="0"/>
        <color theme="0" tint="0.79998168889431442"/>
      </font>
      <fill>
        <patternFill>
          <bgColor rgb="FF0070C0"/>
        </patternFill>
      </fill>
      <border>
        <top style="thin">
          <color auto="1"/>
        </top>
        <bottom style="thin">
          <color auto="1"/>
        </bottom>
      </border>
    </dxf>
    <dxf>
      <font>
        <b/>
        <i val="0"/>
        <color theme="0" tint="0.79998168889431442"/>
        <name val="Cambria"/>
        <scheme val="none"/>
      </font>
      <fill>
        <patternFill>
          <bgColor rgb="FF00B0F0"/>
        </patternFill>
      </fill>
      <border>
        <top style="thin">
          <color indexed="64"/>
        </top>
        <bottom style="thin">
          <color indexed="64"/>
        </bottom>
      </border>
    </dxf>
    <dxf>
      <font>
        <b/>
        <i val="0"/>
        <color rgb="FFC00000"/>
      </font>
      <fill>
        <patternFill patternType="solid">
          <bgColor rgb="FFB2B2B2"/>
        </patternFill>
      </fill>
    </dxf>
    <dxf>
      <font>
        <b/>
        <i val="0"/>
        <color theme="1"/>
      </font>
      <fill>
        <patternFill>
          <bgColor rgb="FF969696"/>
        </patternFill>
      </fill>
      <border>
        <bottom style="thin">
          <color auto="1"/>
        </bottom>
        <vertical/>
        <horizontal/>
      </border>
    </dxf>
    <dxf>
      <font>
        <b/>
        <i val="0"/>
        <color theme="0" tint="0.79998168889431442"/>
      </font>
      <fill>
        <patternFill>
          <bgColor rgb="FF0070C0"/>
        </patternFill>
      </fill>
      <border>
        <bottom style="thin">
          <color auto="1"/>
        </bottom>
      </border>
    </dxf>
    <dxf>
      <font>
        <b/>
        <i val="0"/>
        <color theme="0" tint="0.79998168889431442"/>
        <name val="Cambria"/>
        <scheme val="none"/>
      </font>
      <fill>
        <patternFill>
          <bgColor rgb="FF00B0F0"/>
        </patternFill>
      </fill>
      <border>
        <bottom style="thin">
          <color indexed="64"/>
        </bottom>
      </border>
    </dxf>
    <dxf>
      <font>
        <b/>
        <i val="0"/>
        <color rgb="FFFF0000"/>
      </font>
      <fill>
        <patternFill>
          <bgColor rgb="FFB2B2B2"/>
        </patternFill>
      </fill>
    </dxf>
    <dxf>
      <font>
        <b/>
        <i val="0"/>
        <color auto="1"/>
      </font>
      <fill>
        <patternFill>
          <bgColor rgb="FFB2B2B2"/>
        </patternFill>
      </fill>
      <border>
        <top style="thin">
          <color indexed="64"/>
        </top>
        <bottom style="thin">
          <color indexed="64"/>
        </bottom>
      </border>
    </dxf>
    <dxf>
      <font>
        <b/>
        <i val="0"/>
        <color theme="0" tint="0.79998168889431442"/>
      </font>
      <fill>
        <patternFill>
          <bgColor rgb="FF0070C0"/>
        </patternFill>
      </fill>
      <border>
        <top style="thin">
          <color auto="1"/>
        </top>
        <bottom style="thin">
          <color auto="1"/>
        </bottom>
      </border>
    </dxf>
    <dxf>
      <font>
        <b/>
        <i val="0"/>
        <color theme="0" tint="0.79998168889431442"/>
        <name val="Cambria"/>
        <scheme val="none"/>
      </font>
      <fill>
        <patternFill>
          <bgColor rgb="FF00B0F0"/>
        </patternFill>
      </fill>
      <border>
        <top style="thin">
          <color indexed="64"/>
        </top>
        <bottom style="thin">
          <color indexed="64"/>
        </bottom>
      </border>
    </dxf>
    <dxf>
      <font>
        <b/>
        <i val="0"/>
        <color rgb="FFC00000"/>
      </font>
      <fill>
        <patternFill patternType="solid">
          <bgColor rgb="FFB2B2B2"/>
        </patternFill>
      </fill>
    </dxf>
    <dxf>
      <font>
        <b/>
        <i val="0"/>
        <color theme="1"/>
      </font>
      <fill>
        <patternFill>
          <bgColor rgb="FF969696"/>
        </patternFill>
      </fill>
      <border>
        <bottom style="thin">
          <color auto="1"/>
        </bottom>
        <vertical/>
        <horizontal/>
      </border>
    </dxf>
    <dxf>
      <font>
        <b/>
        <i val="0"/>
        <color theme="0" tint="0.79998168889431442"/>
      </font>
      <fill>
        <patternFill>
          <bgColor rgb="FF0070C0"/>
        </patternFill>
      </fill>
      <border>
        <bottom style="thin">
          <color auto="1"/>
        </bottom>
      </border>
    </dxf>
    <dxf>
      <font>
        <b/>
        <i val="0"/>
        <color theme="0" tint="0.79998168889431442"/>
        <name val="Cambria"/>
        <scheme val="none"/>
      </font>
      <fill>
        <patternFill>
          <bgColor rgb="FF00B0F0"/>
        </patternFill>
      </fill>
      <border>
        <bottom style="thin">
          <color indexed="64"/>
        </bottom>
      </border>
    </dxf>
    <dxf>
      <font>
        <b/>
        <i val="0"/>
        <color rgb="FFFF0000"/>
      </font>
      <fill>
        <patternFill>
          <bgColor rgb="FFB2B2B2"/>
        </patternFill>
      </fill>
    </dxf>
    <dxf>
      <font>
        <b/>
        <i val="0"/>
        <color auto="1"/>
      </font>
      <fill>
        <patternFill>
          <bgColor rgb="FFB2B2B2"/>
        </patternFill>
      </fill>
      <border>
        <top style="thin">
          <color indexed="64"/>
        </top>
        <bottom style="thin">
          <color indexed="64"/>
        </bottom>
      </border>
    </dxf>
    <dxf>
      <font>
        <b/>
        <i val="0"/>
        <color theme="0" tint="0.79998168889431442"/>
      </font>
      <fill>
        <patternFill>
          <bgColor rgb="FF0070C0"/>
        </patternFill>
      </fill>
      <border>
        <top style="thin">
          <color auto="1"/>
        </top>
        <bottom style="thin">
          <color auto="1"/>
        </bottom>
      </border>
    </dxf>
    <dxf>
      <font>
        <b/>
        <i val="0"/>
        <color theme="0" tint="0.79998168889431442"/>
        <name val="Cambria"/>
        <scheme val="none"/>
      </font>
      <fill>
        <patternFill>
          <bgColor rgb="FF00B0F0"/>
        </patternFill>
      </fill>
      <border>
        <top style="thin">
          <color indexed="64"/>
        </top>
        <bottom style="thin">
          <color indexed="64"/>
        </bottom>
      </border>
    </dxf>
    <dxf>
      <font>
        <b/>
        <i val="0"/>
        <color rgb="FFC00000"/>
      </font>
      <fill>
        <patternFill patternType="solid">
          <bgColor rgb="FFB2B2B2"/>
        </patternFill>
      </fill>
    </dxf>
    <dxf>
      <font>
        <b/>
        <i val="0"/>
        <color theme="1"/>
      </font>
      <fill>
        <patternFill>
          <bgColor rgb="FF969696"/>
        </patternFill>
      </fill>
      <border>
        <bottom style="thin">
          <color auto="1"/>
        </bottom>
        <vertical/>
        <horizontal/>
      </border>
    </dxf>
    <dxf>
      <font>
        <b/>
        <i val="0"/>
        <color theme="0" tint="0.79998168889431442"/>
      </font>
      <fill>
        <patternFill>
          <bgColor rgb="FF0070C0"/>
        </patternFill>
      </fill>
      <border>
        <bottom style="thin">
          <color auto="1"/>
        </bottom>
      </border>
    </dxf>
    <dxf>
      <font>
        <b/>
        <i val="0"/>
        <color theme="0" tint="0.79998168889431442"/>
        <name val="Cambria"/>
        <scheme val="none"/>
      </font>
      <fill>
        <patternFill>
          <bgColor rgb="FF00B0F0"/>
        </patternFill>
      </fill>
      <border>
        <bottom style="thin">
          <color indexed="64"/>
        </bottom>
      </border>
    </dxf>
    <dxf>
      <font>
        <b/>
        <i val="0"/>
        <color rgb="FFFF0000"/>
      </font>
      <fill>
        <patternFill>
          <bgColor rgb="FFB2B2B2"/>
        </patternFill>
      </fill>
    </dxf>
    <dxf>
      <font>
        <b/>
        <i val="0"/>
        <color auto="1"/>
      </font>
      <fill>
        <patternFill>
          <bgColor rgb="FFB2B2B2"/>
        </patternFill>
      </fill>
      <border>
        <top style="thin">
          <color indexed="64"/>
        </top>
        <bottom style="thin">
          <color indexed="64"/>
        </bottom>
      </border>
    </dxf>
    <dxf>
      <font>
        <b/>
        <i val="0"/>
        <color theme="0" tint="0.79998168889431442"/>
      </font>
      <fill>
        <patternFill>
          <bgColor rgb="FF0070C0"/>
        </patternFill>
      </fill>
      <border>
        <top style="thin">
          <color auto="1"/>
        </top>
        <bottom style="thin">
          <color auto="1"/>
        </bottom>
      </border>
    </dxf>
    <dxf>
      <font>
        <b/>
        <i val="0"/>
        <color theme="0" tint="0.79998168889431442"/>
        <name val="Cambria"/>
        <scheme val="none"/>
      </font>
      <fill>
        <patternFill>
          <bgColor rgb="FF00B0F0"/>
        </patternFill>
      </fill>
      <border>
        <top style="thin">
          <color indexed="64"/>
        </top>
        <bottom style="thin">
          <color indexed="64"/>
        </bottom>
      </border>
    </dxf>
    <dxf>
      <font>
        <b/>
        <i val="0"/>
        <color rgb="FFC00000"/>
      </font>
      <fill>
        <patternFill patternType="solid">
          <bgColor rgb="FFB2B2B2"/>
        </patternFill>
      </fill>
    </dxf>
    <dxf>
      <font>
        <b/>
        <i val="0"/>
      </font>
      <fill>
        <patternFill>
          <bgColor rgb="FF969696"/>
        </patternFill>
      </fill>
      <border>
        <bottom style="thin">
          <color auto="1"/>
        </bottom>
        <vertical/>
        <horizontal/>
      </border>
    </dxf>
    <dxf>
      <font>
        <b/>
        <i val="0"/>
        <color theme="0" tint="0.79998168889431442"/>
      </font>
      <fill>
        <patternFill>
          <bgColor rgb="FF0070C0"/>
        </patternFill>
      </fill>
      <border>
        <bottom style="thin">
          <color auto="1"/>
        </bottom>
      </border>
    </dxf>
    <dxf>
      <font>
        <b/>
        <i val="0"/>
        <color theme="0" tint="0.79998168889431442"/>
        <name val="Cambria"/>
        <scheme val="none"/>
      </font>
      <fill>
        <patternFill>
          <bgColor rgb="FF00B0F0"/>
        </patternFill>
      </fill>
      <border>
        <bottom style="thin">
          <color indexed="64"/>
        </bottom>
      </border>
    </dxf>
    <dxf>
      <font>
        <b/>
        <i val="0"/>
        <color rgb="FFFF0000"/>
      </font>
    </dxf>
    <dxf>
      <font>
        <b/>
        <i val="0"/>
        <color auto="1"/>
      </font>
      <fill>
        <patternFill>
          <bgColor rgb="FFB2B2B2"/>
        </patternFill>
      </fill>
      <border>
        <top style="thin">
          <color indexed="64"/>
        </top>
        <bottom style="thin">
          <color indexed="64"/>
        </bottom>
      </border>
    </dxf>
    <dxf>
      <font>
        <b/>
        <i val="0"/>
        <color theme="0" tint="0.79998168889431442"/>
      </font>
      <fill>
        <patternFill>
          <bgColor rgb="FF0070C0"/>
        </patternFill>
      </fill>
      <border>
        <top style="thin">
          <color auto="1"/>
        </top>
        <bottom style="thin">
          <color auto="1"/>
        </bottom>
      </border>
    </dxf>
    <dxf>
      <font>
        <b/>
        <i val="0"/>
        <color theme="0" tint="0.79998168889431442"/>
        <name val="Cambria"/>
        <scheme val="none"/>
      </font>
      <fill>
        <patternFill>
          <bgColor rgb="FF00B0F0"/>
        </patternFill>
      </fill>
      <border>
        <top style="thin">
          <color indexed="64"/>
        </top>
        <bottom style="thin">
          <color indexed="64"/>
        </bottom>
      </border>
    </dxf>
    <dxf>
      <font>
        <b/>
        <i val="0"/>
        <color rgb="FFC00000"/>
      </font>
      <fill>
        <patternFill patternType="solid">
          <bgColor rgb="FFB2B2B2"/>
        </patternFill>
      </fill>
    </dxf>
    <dxf>
      <font>
        <b/>
        <i val="0"/>
      </font>
      <fill>
        <patternFill>
          <bgColor rgb="FF969696"/>
        </patternFill>
      </fill>
      <border>
        <bottom style="thin">
          <color auto="1"/>
        </bottom>
        <vertical/>
        <horizontal/>
      </border>
    </dxf>
    <dxf>
      <font>
        <b/>
        <i val="0"/>
        <color theme="0" tint="0.79998168889431442"/>
      </font>
      <fill>
        <patternFill>
          <bgColor rgb="FF0070C0"/>
        </patternFill>
      </fill>
      <border>
        <bottom style="thin">
          <color auto="1"/>
        </bottom>
      </border>
    </dxf>
    <dxf>
      <font>
        <b/>
        <i val="0"/>
        <color theme="0" tint="0.79998168889431442"/>
        <name val="Cambria"/>
        <scheme val="none"/>
      </font>
      <fill>
        <patternFill>
          <bgColor rgb="FF00B0F0"/>
        </patternFill>
      </fill>
      <border>
        <bottom style="thin">
          <color indexed="64"/>
        </bottom>
      </border>
    </dxf>
    <dxf>
      <font>
        <b/>
        <i val="0"/>
        <color theme="1"/>
      </font>
      <fill>
        <patternFill>
          <bgColor rgb="FFFF0000"/>
        </patternFill>
      </fill>
      <border>
        <top style="thin">
          <color auto="1"/>
        </top>
        <bottom style="thin">
          <color auto="1"/>
        </bottom>
      </border>
    </dxf>
    <dxf>
      <font>
        <b/>
        <i val="0"/>
        <color rgb="FFFF0000"/>
      </font>
      <fill>
        <patternFill>
          <bgColor rgb="FFB2B2B2"/>
        </patternFill>
      </fill>
    </dxf>
    <dxf>
      <font>
        <b/>
        <i val="0"/>
      </font>
      <fill>
        <patternFill>
          <bgColor rgb="FF969696"/>
        </patternFill>
      </fill>
      <border>
        <bottom style="thin">
          <color auto="1"/>
        </bottom>
        <vertical/>
        <horizontal/>
      </border>
    </dxf>
    <dxf>
      <font>
        <b/>
        <i val="0"/>
        <color theme="0" tint="0.79998168889431442"/>
      </font>
      <fill>
        <patternFill>
          <bgColor rgb="FF0070C0"/>
        </patternFill>
      </fill>
      <border>
        <bottom style="thin">
          <color auto="1"/>
        </bottom>
      </border>
    </dxf>
    <dxf>
      <font>
        <b/>
        <i val="0"/>
        <color theme="0" tint="0.79998168889431442"/>
        <name val="Cambria"/>
        <scheme val="none"/>
      </font>
      <fill>
        <patternFill>
          <bgColor rgb="FF00B0F0"/>
        </patternFill>
      </fill>
      <border>
        <bottom style="thin">
          <color indexed="64"/>
        </bottom>
      </border>
    </dxf>
    <dxf>
      <font>
        <b/>
        <i val="0"/>
        <color rgb="FFFF0000"/>
      </font>
    </dxf>
    <dxf>
      <font>
        <b/>
        <i val="0"/>
        <color auto="1"/>
      </font>
      <fill>
        <patternFill>
          <bgColor rgb="FFB2B2B2"/>
        </patternFill>
      </fill>
      <border>
        <top style="thin">
          <color indexed="64"/>
        </top>
        <bottom style="thin">
          <color indexed="64"/>
        </bottom>
      </border>
    </dxf>
    <dxf>
      <font>
        <b/>
        <i val="0"/>
        <color theme="0" tint="0.79998168889431442"/>
      </font>
      <fill>
        <patternFill>
          <bgColor rgb="FF0070C0"/>
        </patternFill>
      </fill>
      <border>
        <top style="thin">
          <color auto="1"/>
        </top>
        <bottom style="thin">
          <color auto="1"/>
        </bottom>
      </border>
    </dxf>
    <dxf>
      <font>
        <b/>
        <i val="0"/>
        <color theme="0" tint="0.79998168889431442"/>
        <name val="Cambria"/>
        <scheme val="none"/>
      </font>
      <fill>
        <patternFill>
          <bgColor rgb="FF00B0F0"/>
        </patternFill>
      </fill>
      <border>
        <top style="thin">
          <color indexed="64"/>
        </top>
        <bottom style="thin">
          <color indexed="64"/>
        </bottom>
      </border>
    </dxf>
    <dxf>
      <font>
        <b/>
        <i val="0"/>
        <color rgb="FFC00000"/>
      </font>
      <fill>
        <patternFill patternType="solid">
          <bgColor rgb="FFB2B2B2"/>
        </patternFill>
      </fill>
    </dxf>
    <dxf>
      <font>
        <color auto="1"/>
      </font>
      <fill>
        <patternFill>
          <bgColor rgb="FFB2B2B2"/>
        </patternFill>
      </fill>
    </dxf>
    <dxf>
      <font>
        <b/>
        <i val="0"/>
      </font>
      <fill>
        <patternFill>
          <bgColor rgb="FF969696"/>
        </patternFill>
      </fill>
      <border>
        <bottom style="thin">
          <color auto="1"/>
        </bottom>
        <vertical/>
        <horizontal/>
      </border>
    </dxf>
    <dxf>
      <font>
        <b/>
        <i val="0"/>
        <color theme="0" tint="0.79998168889431442"/>
      </font>
      <fill>
        <patternFill>
          <bgColor rgb="FF0070C0"/>
        </patternFill>
      </fill>
      <border>
        <bottom style="thin">
          <color auto="1"/>
        </bottom>
      </border>
    </dxf>
    <dxf>
      <font>
        <b/>
        <i val="0"/>
        <color theme="0" tint="0.79998168889431442"/>
        <name val="Cambria"/>
        <scheme val="none"/>
      </font>
      <fill>
        <patternFill>
          <bgColor rgb="FF00B0F0"/>
        </patternFill>
      </fill>
      <border>
        <bottom style="thin">
          <color indexed="64"/>
        </bottom>
      </border>
    </dxf>
    <dxf>
      <font>
        <b/>
        <i val="0"/>
        <color theme="1"/>
      </font>
      <fill>
        <patternFill>
          <bgColor rgb="FFFF0000"/>
        </patternFill>
      </fill>
      <border>
        <top style="thin">
          <color auto="1"/>
        </top>
        <bottom style="thin">
          <color auto="1"/>
        </bottom>
      </border>
    </dxf>
    <dxf>
      <font>
        <b/>
        <i val="0"/>
        <color rgb="FFFF0000"/>
      </font>
      <fill>
        <patternFill>
          <bgColor rgb="FFB2B2B2"/>
        </patternFill>
      </fill>
    </dxf>
    <dxf>
      <font>
        <b/>
        <i val="0"/>
      </font>
      <fill>
        <patternFill>
          <bgColor rgb="FF969696"/>
        </patternFill>
      </fill>
      <border>
        <bottom style="thin">
          <color auto="1"/>
        </bottom>
        <vertical/>
        <horizontal/>
      </border>
    </dxf>
    <dxf>
      <font>
        <b/>
        <i val="0"/>
        <color theme="0" tint="0.79998168889431442"/>
      </font>
      <fill>
        <patternFill>
          <bgColor rgb="FF0070C0"/>
        </patternFill>
      </fill>
      <border>
        <bottom style="thin">
          <color auto="1"/>
        </bottom>
      </border>
    </dxf>
    <dxf>
      <font>
        <b/>
        <i val="0"/>
        <color theme="0" tint="0.79998168889431442"/>
        <name val="Cambria"/>
        <scheme val="none"/>
      </font>
      <fill>
        <patternFill>
          <bgColor rgb="FF00B0F0"/>
        </patternFill>
      </fill>
      <border>
        <bottom style="thin">
          <color indexed="64"/>
        </bottom>
      </border>
    </dxf>
    <dxf>
      <font>
        <b/>
        <i val="0"/>
        <color rgb="FFFF0000"/>
      </font>
    </dxf>
    <dxf>
      <font>
        <b/>
        <i val="0"/>
      </font>
      <fill>
        <patternFill>
          <bgColor rgb="FF969696"/>
        </patternFill>
      </fill>
      <border>
        <bottom style="thin">
          <color auto="1"/>
        </bottom>
        <vertical/>
        <horizontal/>
      </border>
    </dxf>
    <dxf>
      <font>
        <b/>
        <i val="0"/>
        <color theme="0" tint="0.79998168889431442"/>
      </font>
      <fill>
        <patternFill>
          <bgColor rgb="FF0070C0"/>
        </patternFill>
      </fill>
      <border>
        <bottom style="thin">
          <color auto="1"/>
        </bottom>
      </border>
    </dxf>
    <dxf>
      <font>
        <b/>
        <i val="0"/>
        <color theme="0" tint="0.79998168889431442"/>
        <name val="Cambria"/>
        <scheme val="none"/>
      </font>
      <fill>
        <patternFill>
          <bgColor rgb="FF00B0F0"/>
        </patternFill>
      </fill>
      <border>
        <bottom style="thin">
          <color indexed="64"/>
        </bottom>
      </border>
    </dxf>
    <dxf>
      <font>
        <b/>
        <i val="0"/>
        <color rgb="FFFF0000"/>
      </font>
    </dxf>
    <dxf>
      <font>
        <b/>
        <i val="0"/>
        <color auto="1"/>
      </font>
      <fill>
        <patternFill>
          <bgColor rgb="FFB2B2B2"/>
        </patternFill>
      </fill>
      <border>
        <top style="thin">
          <color indexed="64"/>
        </top>
        <bottom style="thin">
          <color indexed="64"/>
        </bottom>
      </border>
    </dxf>
    <dxf>
      <font>
        <b/>
        <i val="0"/>
        <color theme="0" tint="0.79998168889431442"/>
      </font>
      <fill>
        <patternFill>
          <bgColor rgb="FF0070C0"/>
        </patternFill>
      </fill>
      <border>
        <top style="thin">
          <color auto="1"/>
        </top>
        <bottom style="thin">
          <color auto="1"/>
        </bottom>
      </border>
    </dxf>
    <dxf>
      <font>
        <b/>
        <i val="0"/>
        <color theme="0" tint="0.79998168889431442"/>
        <name val="Cambria"/>
        <scheme val="none"/>
      </font>
      <fill>
        <patternFill>
          <bgColor rgb="FF00B0F0"/>
        </patternFill>
      </fill>
      <border>
        <top style="thin">
          <color indexed="64"/>
        </top>
        <bottom style="thin">
          <color indexed="64"/>
        </bottom>
      </border>
    </dxf>
    <dxf>
      <font>
        <b/>
        <i val="0"/>
        <color rgb="FFC00000"/>
      </font>
      <fill>
        <patternFill patternType="solid">
          <bgColor rgb="FFB2B2B2"/>
        </patternFill>
      </fill>
    </dxf>
    <dxf>
      <font>
        <b/>
        <i val="0"/>
        <color auto="1"/>
      </font>
      <fill>
        <patternFill>
          <bgColor rgb="FFB2B2B2"/>
        </patternFill>
      </fill>
      <border>
        <top style="thin">
          <color indexed="64"/>
        </top>
        <bottom style="thin">
          <color indexed="64"/>
        </bottom>
      </border>
    </dxf>
    <dxf>
      <font>
        <b/>
        <i val="0"/>
        <color theme="0" tint="0.79998168889431442"/>
      </font>
      <fill>
        <patternFill>
          <bgColor rgb="FF0070C0"/>
        </patternFill>
      </fill>
      <border>
        <top style="thin">
          <color auto="1"/>
        </top>
        <bottom style="thin">
          <color auto="1"/>
        </bottom>
      </border>
    </dxf>
    <dxf>
      <font>
        <b/>
        <i val="0"/>
        <color theme="0" tint="0.79998168889431442"/>
        <name val="Cambria"/>
        <scheme val="none"/>
      </font>
      <fill>
        <patternFill>
          <bgColor rgb="FF00B0F0"/>
        </patternFill>
      </fill>
      <border>
        <top style="thin">
          <color indexed="64"/>
        </top>
        <bottom style="thin">
          <color indexed="64"/>
        </bottom>
      </border>
    </dxf>
    <dxf>
      <font>
        <b/>
        <i val="0"/>
        <color rgb="FFC00000"/>
      </font>
      <fill>
        <patternFill patternType="solid">
          <bgColor rgb="FFB2B2B2"/>
        </patternFill>
      </fill>
    </dxf>
    <dxf>
      <font>
        <b/>
        <i val="0"/>
      </font>
      <fill>
        <patternFill>
          <bgColor rgb="FF969696"/>
        </patternFill>
      </fill>
      <border>
        <bottom style="thin">
          <color auto="1"/>
        </bottom>
        <vertical/>
        <horizontal/>
      </border>
    </dxf>
    <dxf>
      <font>
        <b/>
        <i val="0"/>
        <color theme="0" tint="0.79998168889431442"/>
      </font>
      <fill>
        <patternFill>
          <bgColor rgb="FF0070C0"/>
        </patternFill>
      </fill>
      <border>
        <bottom style="thin">
          <color auto="1"/>
        </bottom>
      </border>
    </dxf>
    <dxf>
      <font>
        <b/>
        <i val="0"/>
        <color theme="0" tint="0.79998168889431442"/>
        <name val="Cambria"/>
        <scheme val="none"/>
      </font>
      <fill>
        <patternFill>
          <bgColor rgb="FF00B0F0"/>
        </patternFill>
      </fill>
      <border>
        <bottom style="thin">
          <color indexed="64"/>
        </bottom>
      </border>
    </dxf>
    <dxf>
      <font>
        <b/>
        <i val="0"/>
        <color rgb="FFFF0000"/>
      </font>
    </dxf>
    <dxf>
      <font>
        <b/>
        <i val="0"/>
        <color auto="1"/>
      </font>
      <fill>
        <patternFill>
          <bgColor rgb="FFB2B2B2"/>
        </patternFill>
      </fill>
      <border>
        <top style="thin">
          <color indexed="64"/>
        </top>
        <bottom style="thin">
          <color indexed="64"/>
        </bottom>
      </border>
    </dxf>
    <dxf>
      <font>
        <b/>
        <i val="0"/>
        <color theme="0" tint="0.79998168889431442"/>
      </font>
      <fill>
        <patternFill>
          <bgColor rgb="FF0070C0"/>
        </patternFill>
      </fill>
      <border>
        <top style="thin">
          <color auto="1"/>
        </top>
        <bottom style="thin">
          <color auto="1"/>
        </bottom>
      </border>
    </dxf>
    <dxf>
      <font>
        <b/>
        <i val="0"/>
        <color theme="0" tint="0.79998168889431442"/>
        <name val="Cambria"/>
        <scheme val="none"/>
      </font>
      <fill>
        <patternFill>
          <bgColor rgb="FF00B0F0"/>
        </patternFill>
      </fill>
      <border>
        <top style="thin">
          <color indexed="64"/>
        </top>
        <bottom style="thin">
          <color indexed="64"/>
        </bottom>
      </border>
    </dxf>
    <dxf>
      <font>
        <b/>
        <i val="0"/>
        <color rgb="FFC00000"/>
      </font>
      <fill>
        <patternFill patternType="solid">
          <bgColor rgb="FFB2B2B2"/>
        </patternFill>
      </fill>
    </dxf>
    <dxf>
      <font>
        <b/>
        <i val="0"/>
      </font>
      <fill>
        <patternFill>
          <bgColor rgb="FF969696"/>
        </patternFill>
      </fill>
      <border>
        <bottom style="thin">
          <color auto="1"/>
        </bottom>
        <vertical/>
        <horizontal/>
      </border>
    </dxf>
    <dxf>
      <font>
        <b/>
        <i val="0"/>
        <color theme="0" tint="0.79998168889431442"/>
      </font>
      <fill>
        <patternFill>
          <bgColor rgb="FF0070C0"/>
        </patternFill>
      </fill>
      <border>
        <bottom style="thin">
          <color auto="1"/>
        </bottom>
      </border>
    </dxf>
    <dxf>
      <font>
        <b/>
        <i val="0"/>
        <color theme="0" tint="0.79998168889431442"/>
        <name val="Cambria"/>
        <scheme val="none"/>
      </font>
      <fill>
        <patternFill>
          <bgColor rgb="FF00B0F0"/>
        </patternFill>
      </fill>
      <border>
        <bottom style="thin">
          <color indexed="64"/>
        </bottom>
      </border>
    </dxf>
    <dxf>
      <font>
        <b/>
        <i val="0"/>
        <color rgb="FFFF0000"/>
      </font>
    </dxf>
    <dxf>
      <font>
        <b/>
        <i val="0"/>
        <color auto="1"/>
      </font>
      <fill>
        <patternFill>
          <bgColor rgb="FFB2B2B2"/>
        </patternFill>
      </fill>
      <border>
        <top style="thin">
          <color indexed="64"/>
        </top>
        <bottom style="thin">
          <color indexed="64"/>
        </bottom>
      </border>
    </dxf>
    <dxf>
      <font>
        <b/>
        <i val="0"/>
        <color theme="0" tint="0.79998168889431442"/>
      </font>
      <fill>
        <patternFill>
          <bgColor rgb="FF0070C0"/>
        </patternFill>
      </fill>
      <border>
        <top style="thin">
          <color auto="1"/>
        </top>
        <bottom style="thin">
          <color auto="1"/>
        </bottom>
      </border>
    </dxf>
    <dxf>
      <font>
        <b/>
        <i val="0"/>
        <color theme="0" tint="0.79998168889431442"/>
        <name val="Cambria"/>
        <scheme val="none"/>
      </font>
      <fill>
        <patternFill>
          <bgColor rgb="FF00B0F0"/>
        </patternFill>
      </fill>
      <border>
        <top style="thin">
          <color indexed="64"/>
        </top>
        <bottom style="thin">
          <color indexed="64"/>
        </bottom>
      </border>
    </dxf>
    <dxf>
      <font>
        <b/>
        <i val="0"/>
        <color rgb="FFC00000"/>
      </font>
      <fill>
        <patternFill patternType="solid">
          <bgColor rgb="FFB2B2B2"/>
        </patternFill>
      </fill>
    </dxf>
    <dxf>
      <font>
        <b/>
        <i val="0"/>
      </font>
      <fill>
        <patternFill>
          <bgColor rgb="FF969696"/>
        </patternFill>
      </fill>
      <border>
        <bottom style="thin">
          <color auto="1"/>
        </bottom>
        <vertical/>
        <horizontal/>
      </border>
    </dxf>
    <dxf>
      <font>
        <b/>
        <i val="0"/>
        <color theme="0" tint="0.79998168889431442"/>
      </font>
      <fill>
        <patternFill>
          <bgColor rgb="FF0070C0"/>
        </patternFill>
      </fill>
      <border>
        <bottom style="thin">
          <color auto="1"/>
        </bottom>
      </border>
    </dxf>
    <dxf>
      <font>
        <b/>
        <i val="0"/>
        <color theme="0" tint="0.79998168889431442"/>
        <name val="Cambria"/>
        <scheme val="none"/>
      </font>
      <fill>
        <patternFill>
          <bgColor rgb="FF00B0F0"/>
        </patternFill>
      </fill>
      <border>
        <bottom style="thin">
          <color indexed="64"/>
        </bottom>
      </border>
    </dxf>
    <dxf>
      <font>
        <b/>
        <i val="0"/>
        <color rgb="FFFF0000"/>
      </font>
    </dxf>
    <dxf>
      <font>
        <b/>
        <i val="0"/>
        <color auto="1"/>
      </font>
      <fill>
        <patternFill>
          <bgColor rgb="FFB2B2B2"/>
        </patternFill>
      </fill>
      <border>
        <top style="thin">
          <color indexed="64"/>
        </top>
        <bottom style="thin">
          <color indexed="64"/>
        </bottom>
      </border>
    </dxf>
    <dxf>
      <font>
        <b/>
        <i val="0"/>
        <color theme="0" tint="0.79998168889431442"/>
      </font>
      <fill>
        <patternFill>
          <bgColor rgb="FF0070C0"/>
        </patternFill>
      </fill>
      <border>
        <top style="thin">
          <color auto="1"/>
        </top>
        <bottom style="thin">
          <color auto="1"/>
        </bottom>
      </border>
    </dxf>
    <dxf>
      <font>
        <b/>
        <i val="0"/>
        <color theme="0" tint="0.79998168889431442"/>
        <name val="Cambria"/>
        <scheme val="none"/>
      </font>
      <fill>
        <patternFill>
          <bgColor rgb="FF00B0F0"/>
        </patternFill>
      </fill>
      <border>
        <top style="thin">
          <color indexed="64"/>
        </top>
        <bottom style="thin">
          <color indexed="64"/>
        </bottom>
      </border>
    </dxf>
    <dxf>
      <font>
        <b/>
        <i val="0"/>
        <color rgb="FFC00000"/>
      </font>
      <fill>
        <patternFill patternType="solid">
          <bgColor rgb="FFB2B2B2"/>
        </patternFill>
      </fill>
    </dxf>
    <dxf>
      <font>
        <b/>
        <i val="0"/>
      </font>
      <fill>
        <patternFill>
          <bgColor rgb="FF969696"/>
        </patternFill>
      </fill>
      <border>
        <bottom style="thin">
          <color auto="1"/>
        </bottom>
        <vertical/>
        <horizontal/>
      </border>
    </dxf>
    <dxf>
      <font>
        <b/>
        <i val="0"/>
        <color theme="0" tint="0.79998168889431442"/>
      </font>
      <fill>
        <patternFill>
          <bgColor rgb="FF0070C0"/>
        </patternFill>
      </fill>
      <border>
        <bottom style="thin">
          <color auto="1"/>
        </bottom>
      </border>
    </dxf>
    <dxf>
      <font>
        <b/>
        <i val="0"/>
        <color theme="0" tint="0.79998168889431442"/>
        <name val="Cambria"/>
        <scheme val="none"/>
      </font>
      <fill>
        <patternFill>
          <bgColor rgb="FF00B0F0"/>
        </patternFill>
      </fill>
      <border>
        <bottom style="thin">
          <color indexed="64"/>
        </bottom>
      </border>
    </dxf>
    <dxf>
      <font>
        <b/>
        <i val="0"/>
        <color rgb="FFFF0000"/>
      </font>
    </dxf>
    <dxf>
      <font>
        <b/>
        <i val="0"/>
        <color auto="1"/>
      </font>
      <fill>
        <patternFill>
          <bgColor rgb="FFB2B2B2"/>
        </patternFill>
      </fill>
      <border>
        <top style="thin">
          <color indexed="64"/>
        </top>
        <bottom style="thin">
          <color indexed="64"/>
        </bottom>
      </border>
    </dxf>
    <dxf>
      <font>
        <b/>
        <i val="0"/>
        <color theme="0" tint="0.79998168889431442"/>
      </font>
      <fill>
        <patternFill>
          <bgColor rgb="FF0070C0"/>
        </patternFill>
      </fill>
      <border>
        <top style="thin">
          <color auto="1"/>
        </top>
        <bottom style="thin">
          <color auto="1"/>
        </bottom>
      </border>
    </dxf>
    <dxf>
      <font>
        <b/>
        <i val="0"/>
        <color theme="0" tint="0.79998168889431442"/>
        <name val="Cambria"/>
        <scheme val="none"/>
      </font>
      <fill>
        <patternFill>
          <bgColor rgb="FF00B0F0"/>
        </patternFill>
      </fill>
      <border>
        <top style="thin">
          <color indexed="64"/>
        </top>
        <bottom style="thin">
          <color indexed="64"/>
        </bottom>
      </border>
    </dxf>
    <dxf>
      <font>
        <b/>
        <i val="0"/>
        <color rgb="FFC00000"/>
      </font>
      <fill>
        <patternFill patternType="solid">
          <bgColor rgb="FFB2B2B2"/>
        </patternFill>
      </fill>
    </dxf>
    <dxf>
      <font>
        <b/>
        <i val="0"/>
      </font>
      <fill>
        <patternFill>
          <bgColor rgb="FF969696"/>
        </patternFill>
      </fill>
      <border>
        <bottom style="thin">
          <color auto="1"/>
        </bottom>
        <vertical/>
        <horizontal/>
      </border>
    </dxf>
    <dxf>
      <font>
        <b/>
        <i val="0"/>
        <color theme="0" tint="0.79998168889431442"/>
      </font>
      <fill>
        <patternFill>
          <bgColor rgb="FF0070C0"/>
        </patternFill>
      </fill>
      <border>
        <bottom style="thin">
          <color auto="1"/>
        </bottom>
      </border>
    </dxf>
    <dxf>
      <font>
        <b/>
        <i val="0"/>
        <color theme="0" tint="0.79998168889431442"/>
        <name val="Cambria"/>
        <scheme val="none"/>
      </font>
      <fill>
        <patternFill>
          <bgColor rgb="FF00B0F0"/>
        </patternFill>
      </fill>
      <border>
        <bottom style="thin">
          <color indexed="64"/>
        </bottom>
      </border>
    </dxf>
    <dxf>
      <font>
        <b/>
        <i val="0"/>
        <color rgb="FFFF0000"/>
      </font>
    </dxf>
    <dxf>
      <font>
        <b/>
        <i val="0"/>
        <color auto="1"/>
      </font>
      <fill>
        <patternFill>
          <bgColor rgb="FFB2B2B2"/>
        </patternFill>
      </fill>
      <border>
        <top style="thin">
          <color indexed="64"/>
        </top>
        <bottom style="thin">
          <color indexed="64"/>
        </bottom>
      </border>
    </dxf>
    <dxf>
      <font>
        <b/>
        <i val="0"/>
        <color theme="0" tint="0.79998168889431442"/>
      </font>
      <fill>
        <patternFill>
          <bgColor rgb="FF0070C0"/>
        </patternFill>
      </fill>
      <border>
        <top style="thin">
          <color auto="1"/>
        </top>
        <bottom style="thin">
          <color auto="1"/>
        </bottom>
      </border>
    </dxf>
    <dxf>
      <font>
        <b/>
        <i val="0"/>
        <color theme="0" tint="0.79998168889431442"/>
        <name val="Cambria"/>
        <scheme val="none"/>
      </font>
      <fill>
        <patternFill>
          <bgColor rgb="FF00B0F0"/>
        </patternFill>
      </fill>
      <border>
        <top style="thin">
          <color indexed="64"/>
        </top>
        <bottom style="thin">
          <color indexed="64"/>
        </bottom>
      </border>
    </dxf>
    <dxf>
      <font>
        <b/>
        <i val="0"/>
        <color rgb="FFC00000"/>
      </font>
      <fill>
        <patternFill patternType="solid">
          <bgColor rgb="FFB2B2B2"/>
        </patternFill>
      </fill>
    </dxf>
    <dxf>
      <font>
        <b/>
        <i val="0"/>
        <color auto="1"/>
      </font>
      <fill>
        <patternFill>
          <bgColor rgb="FFB2B2B2"/>
        </patternFill>
      </fill>
      <border>
        <top style="thin">
          <color indexed="64"/>
        </top>
        <bottom style="thin">
          <color indexed="64"/>
        </bottom>
      </border>
    </dxf>
    <dxf>
      <font>
        <b/>
        <i val="0"/>
        <color theme="0" tint="0.79998168889431442"/>
      </font>
      <fill>
        <patternFill>
          <bgColor rgb="FF0070C0"/>
        </patternFill>
      </fill>
      <border>
        <top style="thin">
          <color auto="1"/>
        </top>
        <bottom style="thin">
          <color auto="1"/>
        </bottom>
      </border>
    </dxf>
    <dxf>
      <font>
        <b/>
        <i val="0"/>
        <color theme="0" tint="0.79998168889431442"/>
        <name val="Cambria"/>
        <scheme val="none"/>
      </font>
      <fill>
        <patternFill>
          <bgColor rgb="FF00B0F0"/>
        </patternFill>
      </fill>
      <border>
        <top style="thin">
          <color indexed="64"/>
        </top>
        <bottom style="thin">
          <color indexed="64"/>
        </bottom>
      </border>
    </dxf>
    <dxf>
      <font>
        <b/>
        <i val="0"/>
        <color rgb="FFC00000"/>
      </font>
      <fill>
        <patternFill patternType="solid">
          <bgColor rgb="FFB2B2B2"/>
        </patternFill>
      </fill>
    </dxf>
    <dxf>
      <font>
        <b/>
        <i val="0"/>
        <color theme="1"/>
      </font>
      <fill>
        <patternFill>
          <bgColor rgb="FF969696"/>
        </patternFill>
      </fill>
      <border>
        <bottom style="thin">
          <color auto="1"/>
        </bottom>
        <vertical/>
        <horizontal/>
      </border>
    </dxf>
    <dxf>
      <font>
        <b/>
        <i val="0"/>
        <color theme="0" tint="0.79998168889431442"/>
      </font>
      <fill>
        <patternFill>
          <bgColor rgb="FF0070C0"/>
        </patternFill>
      </fill>
      <border>
        <bottom style="thin">
          <color auto="1"/>
        </bottom>
      </border>
    </dxf>
    <dxf>
      <font>
        <b/>
        <i val="0"/>
        <color theme="0" tint="0.79998168889431442"/>
        <name val="Cambria"/>
        <scheme val="none"/>
      </font>
      <fill>
        <patternFill>
          <bgColor rgb="FF00B0F0"/>
        </patternFill>
      </fill>
      <border>
        <bottom style="thin">
          <color indexed="64"/>
        </bottom>
      </border>
    </dxf>
    <dxf>
      <font>
        <b/>
        <i val="0"/>
        <color rgb="FFFF0000"/>
      </font>
      <fill>
        <patternFill>
          <bgColor rgb="FFB2B2B2"/>
        </patternFill>
      </fill>
    </dxf>
    <dxf>
      <font>
        <b/>
        <i val="0"/>
        <color auto="1"/>
      </font>
      <fill>
        <patternFill>
          <bgColor rgb="FFB2B2B2"/>
        </patternFill>
      </fill>
      <border>
        <top style="thin">
          <color indexed="64"/>
        </top>
        <bottom style="thin">
          <color indexed="64"/>
        </bottom>
      </border>
    </dxf>
    <dxf>
      <font>
        <b/>
        <i val="0"/>
        <color theme="0" tint="0.79998168889431442"/>
      </font>
      <fill>
        <patternFill>
          <bgColor rgb="FF0070C0"/>
        </patternFill>
      </fill>
      <border>
        <top style="thin">
          <color auto="1"/>
        </top>
        <bottom style="thin">
          <color auto="1"/>
        </bottom>
      </border>
    </dxf>
    <dxf>
      <font>
        <b/>
        <i val="0"/>
        <color theme="0" tint="0.79998168889431442"/>
        <name val="Cambria"/>
        <scheme val="none"/>
      </font>
      <fill>
        <patternFill>
          <bgColor rgb="FF00B0F0"/>
        </patternFill>
      </fill>
      <border>
        <top style="thin">
          <color indexed="64"/>
        </top>
        <bottom style="thin">
          <color indexed="64"/>
        </bottom>
      </border>
    </dxf>
    <dxf>
      <font>
        <b/>
        <i val="0"/>
        <color theme="1"/>
      </font>
      <fill>
        <patternFill>
          <bgColor rgb="FFFF0000"/>
        </patternFill>
      </fill>
      <border>
        <top style="thin">
          <color auto="1"/>
        </top>
        <bottom style="thin">
          <color auto="1"/>
        </bottom>
      </border>
    </dxf>
    <dxf>
      <font>
        <b/>
        <i val="0"/>
        <color rgb="FFC00000"/>
      </font>
      <fill>
        <patternFill patternType="solid">
          <bgColor rgb="FFB2B2B2"/>
        </patternFill>
      </fill>
    </dxf>
    <dxf>
      <font>
        <b/>
        <i val="0"/>
      </font>
      <fill>
        <patternFill>
          <bgColor rgb="FFB2B2B2"/>
        </patternFill>
      </fill>
    </dxf>
    <dxf>
      <font>
        <b/>
        <i val="0"/>
      </font>
      <fill>
        <patternFill>
          <bgColor rgb="FF969696"/>
        </patternFill>
      </fill>
      <border>
        <bottom style="thin">
          <color auto="1"/>
        </bottom>
        <vertical/>
        <horizontal/>
      </border>
    </dxf>
    <dxf>
      <font>
        <b/>
        <i val="0"/>
        <color theme="0" tint="0.79998168889431442"/>
      </font>
      <fill>
        <patternFill>
          <bgColor rgb="FF0070C0"/>
        </patternFill>
      </fill>
      <border>
        <bottom style="thin">
          <color auto="1"/>
        </bottom>
      </border>
    </dxf>
    <dxf>
      <font>
        <b/>
        <i val="0"/>
        <color theme="0" tint="0.79998168889431442"/>
        <name val="Cambria"/>
        <scheme val="none"/>
      </font>
      <fill>
        <patternFill>
          <bgColor rgb="FF00B0F0"/>
        </patternFill>
      </fill>
      <border>
        <bottom style="thin">
          <color indexed="64"/>
        </bottom>
      </border>
    </dxf>
    <dxf>
      <font>
        <b/>
        <i val="0"/>
        <color theme="1"/>
      </font>
      <fill>
        <patternFill>
          <bgColor rgb="FFFF0000"/>
        </patternFill>
      </fill>
      <border>
        <top style="thin">
          <color auto="1"/>
        </top>
        <bottom style="thin">
          <color auto="1"/>
        </bottom>
      </border>
    </dxf>
    <dxf>
      <font>
        <b/>
        <i val="0"/>
        <color rgb="FFFF0000"/>
      </font>
      <fill>
        <patternFill>
          <bgColor rgb="FFB2B2B2"/>
        </patternFill>
      </fill>
    </dxf>
    <dxf>
      <font>
        <b/>
        <i val="0"/>
        <color auto="1"/>
      </font>
      <fill>
        <patternFill>
          <bgColor rgb="FFB2B2B2"/>
        </patternFill>
      </fill>
      <border>
        <top style="thin">
          <color indexed="64"/>
        </top>
        <bottom style="thin">
          <color indexed="64"/>
        </bottom>
      </border>
    </dxf>
    <dxf>
      <font>
        <b/>
        <i val="0"/>
        <color theme="0" tint="0.79998168889431442"/>
      </font>
      <fill>
        <patternFill>
          <bgColor rgb="FF0070C0"/>
        </patternFill>
      </fill>
      <border>
        <top style="thin">
          <color auto="1"/>
        </top>
        <bottom style="thin">
          <color auto="1"/>
        </bottom>
      </border>
    </dxf>
    <dxf>
      <font>
        <b/>
        <i val="0"/>
        <color theme="0" tint="0.79998168889431442"/>
        <name val="Cambria"/>
        <scheme val="none"/>
      </font>
      <fill>
        <patternFill>
          <bgColor rgb="FF00B0F0"/>
        </patternFill>
      </fill>
      <border>
        <top style="thin">
          <color indexed="64"/>
        </top>
        <bottom style="thin">
          <color indexed="64"/>
        </bottom>
      </border>
    </dxf>
    <dxf>
      <font>
        <b/>
        <i val="0"/>
        <color rgb="FFC00000"/>
      </font>
      <fill>
        <patternFill patternType="solid">
          <bgColor rgb="FFB2B2B2"/>
        </patternFill>
      </fill>
    </dxf>
    <dxf>
      <font>
        <b/>
        <i val="0"/>
      </font>
      <fill>
        <patternFill>
          <bgColor rgb="FF969696"/>
        </patternFill>
      </fill>
      <border>
        <bottom style="thin">
          <color auto="1"/>
        </bottom>
        <vertical/>
        <horizontal/>
      </border>
    </dxf>
    <dxf>
      <font>
        <b/>
        <i val="0"/>
        <color theme="0" tint="0.79998168889431442"/>
      </font>
      <fill>
        <patternFill>
          <bgColor rgb="FF0070C0"/>
        </patternFill>
      </fill>
      <border>
        <bottom style="thin">
          <color auto="1"/>
        </bottom>
      </border>
    </dxf>
    <dxf>
      <font>
        <b/>
        <i val="0"/>
        <color theme="0" tint="0.79998168889431442"/>
        <name val="Cambria"/>
        <scheme val="none"/>
      </font>
      <fill>
        <patternFill>
          <bgColor rgb="FF00B0F0"/>
        </patternFill>
      </fill>
      <border>
        <bottom style="thin">
          <color indexed="64"/>
        </bottom>
      </border>
    </dxf>
    <dxf>
      <font>
        <b/>
        <i val="0"/>
        <color rgb="FFFF0000"/>
      </font>
    </dxf>
    <dxf>
      <font>
        <b/>
        <i val="0"/>
      </font>
      <fill>
        <patternFill>
          <bgColor rgb="FF969696"/>
        </patternFill>
      </fill>
      <border>
        <top style="thin">
          <color auto="1"/>
        </top>
        <bottom style="thin">
          <color auto="1"/>
        </bottom>
        <vertical/>
        <horizontal/>
      </border>
    </dxf>
    <dxf>
      <font>
        <b/>
        <i val="0"/>
        <color theme="0" tint="0.79998168889431442"/>
      </font>
      <fill>
        <patternFill>
          <bgColor rgb="FF0070C0"/>
        </patternFill>
      </fill>
      <border>
        <bottom style="thin">
          <color auto="1"/>
        </bottom>
      </border>
    </dxf>
    <dxf>
      <font>
        <b/>
        <i val="0"/>
        <color theme="0" tint="0.79998168889431442"/>
        <name val="Cambria"/>
        <scheme val="none"/>
      </font>
      <fill>
        <patternFill>
          <bgColor rgb="FF00B0F0"/>
        </patternFill>
      </fill>
      <border>
        <bottom style="thin">
          <color indexed="64"/>
        </bottom>
      </border>
    </dxf>
    <dxf>
      <font>
        <b/>
        <i val="0"/>
        <color rgb="FFFF0000"/>
      </font>
      <fill>
        <patternFill>
          <bgColor rgb="FFB2B2B2"/>
        </patternFill>
      </fill>
    </dxf>
    <dxf>
      <font>
        <b/>
        <i val="0"/>
        <color auto="1"/>
      </font>
      <fill>
        <patternFill>
          <bgColor rgb="FFB2B2B2"/>
        </patternFill>
      </fill>
      <border>
        <top style="thin">
          <color indexed="64"/>
        </top>
        <bottom style="thin">
          <color indexed="64"/>
        </bottom>
      </border>
    </dxf>
    <dxf>
      <font>
        <b/>
        <i val="0"/>
        <color theme="0" tint="0.79998168889431442"/>
      </font>
      <fill>
        <patternFill>
          <bgColor rgb="FF0070C0"/>
        </patternFill>
      </fill>
      <border>
        <top style="thin">
          <color auto="1"/>
        </top>
        <bottom style="thin">
          <color auto="1"/>
        </bottom>
      </border>
    </dxf>
    <dxf>
      <font>
        <b/>
        <i val="0"/>
        <color theme="0" tint="0.79998168889431442"/>
        <name val="Cambria"/>
        <scheme val="none"/>
      </font>
      <fill>
        <patternFill>
          <bgColor rgb="FF00B0F0"/>
        </patternFill>
      </fill>
      <border>
        <top style="thin">
          <color indexed="64"/>
        </top>
        <bottom style="thin">
          <color indexed="64"/>
        </bottom>
      </border>
    </dxf>
    <dxf>
      <font>
        <b/>
        <i val="0"/>
        <color rgb="FFC00000"/>
      </font>
      <fill>
        <patternFill patternType="solid">
          <bgColor rgb="FFB2B2B2"/>
        </patternFill>
      </fill>
    </dxf>
    <dxf>
      <font>
        <b/>
        <i val="0"/>
      </font>
      <fill>
        <patternFill>
          <bgColor rgb="FF969696"/>
        </patternFill>
      </fill>
      <border>
        <bottom style="thin">
          <color auto="1"/>
        </bottom>
        <vertical/>
        <horizontal/>
      </border>
    </dxf>
    <dxf>
      <font>
        <b/>
        <i val="0"/>
        <color theme="0" tint="0.79998168889431442"/>
      </font>
      <fill>
        <patternFill>
          <bgColor rgb="FF0070C0"/>
        </patternFill>
      </fill>
      <border>
        <bottom style="thin">
          <color auto="1"/>
        </bottom>
      </border>
    </dxf>
    <dxf>
      <font>
        <b/>
        <i val="0"/>
        <color theme="0" tint="0.79998168889431442"/>
        <name val="Cambria"/>
        <scheme val="none"/>
      </font>
      <fill>
        <patternFill>
          <bgColor rgb="FF00B0F0"/>
        </patternFill>
      </fill>
      <border>
        <bottom style="thin">
          <color indexed="64"/>
        </bottom>
      </border>
    </dxf>
    <dxf>
      <font>
        <b/>
        <i val="0"/>
        <color rgb="FFFF0000"/>
      </font>
      <fill>
        <patternFill>
          <bgColor rgb="FFB2B2B2"/>
        </patternFill>
      </fill>
    </dxf>
    <dxf>
      <font>
        <b/>
        <i val="0"/>
      </font>
      <fill>
        <patternFill>
          <bgColor rgb="FFB2B2B2"/>
        </patternFill>
      </fill>
    </dxf>
    <dxf>
      <font>
        <b/>
        <i val="0"/>
        <color theme="0" tint="0.79998168889431442"/>
      </font>
      <fill>
        <patternFill>
          <bgColor rgb="FF006600"/>
        </patternFill>
      </fill>
    </dxf>
    <dxf>
      <font>
        <b/>
        <i val="0"/>
        <color theme="0" tint="0.79998168889431442"/>
      </font>
      <fill>
        <patternFill>
          <bgColor rgb="FFC00000"/>
        </patternFill>
      </fill>
    </dxf>
    <dxf>
      <font>
        <b/>
        <i val="0"/>
        <strike val="0"/>
        <color theme="1"/>
        <name val="Cambria"/>
        <scheme val="none"/>
      </font>
      <fill>
        <patternFill>
          <bgColor indexed="55"/>
        </patternFill>
      </fill>
    </dxf>
    <dxf>
      <font>
        <b/>
        <i val="0"/>
        <color theme="1"/>
      </font>
      <fill>
        <patternFill>
          <bgColor theme="0" tint="-0.24994659260841701"/>
        </patternFill>
      </fill>
    </dxf>
    <dxf>
      <font>
        <b/>
        <i val="0"/>
        <strike val="0"/>
        <color theme="1"/>
        <name val="Cambria"/>
        <scheme val="none"/>
      </font>
      <fill>
        <patternFill>
          <bgColor indexed="17"/>
        </patternFill>
      </fill>
    </dxf>
    <dxf>
      <font>
        <b/>
        <i val="0"/>
        <color theme="0" tint="0.79995117038483843"/>
      </font>
      <fill>
        <patternFill>
          <bgColor rgb="FFFF0000"/>
        </patternFill>
      </fill>
    </dxf>
    <dxf>
      <font>
        <b/>
        <i val="0"/>
        <strike val="0"/>
        <color theme="1"/>
        <name val="Cambria"/>
        <scheme val="none"/>
      </font>
      <fill>
        <patternFill>
          <bgColor theme="0" tint="-0.24994659260841701"/>
        </patternFill>
      </fill>
    </dxf>
    <dxf>
      <font>
        <b/>
        <i val="0"/>
        <color theme="1"/>
      </font>
      <fill>
        <patternFill>
          <bgColor theme="0" tint="-0.24994659260841701"/>
        </patternFill>
      </fill>
    </dxf>
    <dxf>
      <font>
        <b/>
        <i val="0"/>
        <strike val="0"/>
        <color theme="1"/>
        <name val="Cambria"/>
        <scheme val="none"/>
      </font>
      <fill>
        <patternFill>
          <bgColor indexed="17"/>
        </patternFill>
      </fill>
    </dxf>
    <dxf>
      <font>
        <b/>
        <i val="0"/>
        <color theme="0" tint="0.79995117038483843"/>
      </font>
      <fill>
        <patternFill>
          <bgColor rgb="FFFF0000"/>
        </patternFill>
      </fill>
    </dxf>
    <dxf>
      <font>
        <b/>
        <i val="0"/>
        <color theme="0" tint="0.79998168889431442"/>
      </font>
      <fill>
        <patternFill>
          <bgColor rgb="FF006600"/>
        </patternFill>
      </fill>
    </dxf>
    <dxf>
      <font>
        <b/>
        <i val="0"/>
        <color theme="0" tint="0.79998168889431442"/>
      </font>
      <fill>
        <patternFill>
          <bgColor rgb="FFC00000"/>
        </patternFill>
      </fill>
    </dxf>
    <dxf>
      <font>
        <b/>
        <i val="0"/>
        <strike val="0"/>
        <color theme="1"/>
        <name val="Cambria"/>
        <scheme val="none"/>
      </font>
      <fill>
        <patternFill>
          <bgColor indexed="55"/>
        </patternFill>
      </fill>
    </dxf>
    <dxf>
      <font>
        <b/>
        <i val="0"/>
        <color theme="1"/>
      </font>
      <fill>
        <patternFill>
          <bgColor theme="0" tint="-0.24994659260841701"/>
        </patternFill>
      </fill>
    </dxf>
    <dxf>
      <font>
        <b/>
        <i val="0"/>
        <strike val="0"/>
        <color theme="1"/>
        <name val="Cambria"/>
        <scheme val="none"/>
      </font>
      <fill>
        <patternFill>
          <bgColor indexed="17"/>
        </patternFill>
      </fill>
    </dxf>
    <dxf>
      <font>
        <b/>
        <i val="0"/>
        <color theme="0" tint="0.79995117038483843"/>
      </font>
      <fill>
        <patternFill>
          <bgColor rgb="FFFF0000"/>
        </patternFill>
      </fill>
    </dxf>
    <dxf>
      <font>
        <b/>
        <i val="0"/>
        <color rgb="FFFF6600"/>
      </font>
      <fill>
        <patternFill patternType="solid">
          <bgColor theme="1"/>
        </patternFill>
      </fill>
    </dxf>
    <dxf>
      <font>
        <b/>
        <i val="0"/>
        <color rgb="FFFF6600"/>
      </font>
      <fill>
        <patternFill patternType="solid">
          <bgColor theme="1"/>
        </patternFill>
      </fill>
    </dxf>
    <dxf>
      <font>
        <b/>
        <i val="0"/>
        <color theme="1"/>
      </font>
      <fill>
        <patternFill patternType="solid">
          <bgColor rgb="FFB2B2B2"/>
        </patternFill>
      </fill>
    </dxf>
    <dxf>
      <font>
        <b/>
        <i val="0"/>
        <color rgb="FF008080"/>
      </font>
      <fill>
        <patternFill patternType="solid">
          <bgColor rgb="FFB2B2B2"/>
        </patternFill>
      </fill>
    </dxf>
    <dxf>
      <font>
        <b/>
        <i val="0"/>
        <color rgb="FF993300"/>
      </font>
      <fill>
        <patternFill patternType="solid">
          <bgColor rgb="FFB2B2B2"/>
        </patternFill>
      </fill>
    </dxf>
    <dxf>
      <font>
        <b/>
        <i val="0"/>
        <color rgb="FF7030A0"/>
      </font>
      <fill>
        <patternFill patternType="solid">
          <bgColor rgb="FFB2B2B2"/>
        </patternFill>
      </fill>
    </dxf>
    <dxf>
      <font>
        <b/>
        <i val="0"/>
        <color rgb="FFFFFF00"/>
      </font>
      <fill>
        <patternFill patternType="solid">
          <bgColor rgb="FFB2B2B2"/>
        </patternFill>
      </fill>
    </dxf>
    <dxf>
      <font>
        <b/>
        <i val="0"/>
        <color theme="0" tint="0.79998168889431442"/>
      </font>
      <fill>
        <patternFill patternType="solid">
          <bgColor rgb="FFB2B2B2"/>
        </patternFill>
      </fill>
    </dxf>
    <dxf>
      <font>
        <b/>
        <i val="0"/>
        <color rgb="FF000080"/>
      </font>
      <fill>
        <patternFill patternType="solid">
          <bgColor rgb="FFB2B2B2"/>
        </patternFill>
      </fill>
    </dxf>
    <dxf>
      <font>
        <b/>
        <i val="0"/>
        <color rgb="FF0000FF"/>
      </font>
      <fill>
        <patternFill patternType="solid">
          <bgColor rgb="FFB2B2B2"/>
        </patternFill>
      </fill>
    </dxf>
    <dxf>
      <font>
        <b/>
        <i val="0"/>
        <color rgb="FF0070C0"/>
        <name val="Cambria"/>
        <scheme val="none"/>
      </font>
      <fill>
        <patternFill patternType="solid">
          <bgColor rgb="FFB2B2B2"/>
        </patternFill>
      </fill>
    </dxf>
    <dxf>
      <font>
        <b/>
        <i val="0"/>
        <strike val="0"/>
        <color theme="0" tint="0.79998168889431442"/>
        <name val="Cambria"/>
        <scheme val="none"/>
      </font>
      <fill>
        <patternFill>
          <bgColor rgb="FF008000"/>
        </patternFill>
      </fill>
    </dxf>
    <dxf>
      <font>
        <b/>
        <i val="0"/>
        <color theme="0" tint="0.79998168889431442"/>
      </font>
      <fill>
        <patternFill>
          <bgColor rgb="FFC00000"/>
        </patternFill>
      </fill>
    </dxf>
    <dxf>
      <font>
        <b/>
        <i val="0"/>
        <color rgb="FFFF6600"/>
      </font>
      <fill>
        <patternFill>
          <bgColor theme="1"/>
        </patternFill>
      </fill>
    </dxf>
    <dxf>
      <font>
        <b/>
        <i val="0"/>
        <color rgb="FF008080"/>
      </font>
      <fill>
        <patternFill patternType="solid">
          <bgColor theme="1" tint="0.499984740745262"/>
        </patternFill>
      </fill>
    </dxf>
    <dxf>
      <font>
        <b/>
        <i val="0"/>
        <color rgb="FF993300"/>
      </font>
      <fill>
        <patternFill patternType="solid">
          <bgColor theme="1" tint="0.499984740745262"/>
        </patternFill>
      </fill>
    </dxf>
    <dxf>
      <font>
        <b/>
        <i val="0"/>
        <color rgb="FF7030A0"/>
      </font>
      <fill>
        <patternFill patternType="solid">
          <bgColor theme="1" tint="0.499984740745262"/>
        </patternFill>
      </fill>
    </dxf>
    <dxf>
      <font>
        <b/>
        <i val="0"/>
        <color rgb="FFFFFF00"/>
      </font>
      <fill>
        <patternFill patternType="solid">
          <bgColor theme="1" tint="0.499984740745262"/>
        </patternFill>
      </fill>
    </dxf>
    <dxf>
      <font>
        <b/>
        <i val="0"/>
        <color theme="0" tint="0.79998168889431442"/>
      </font>
      <fill>
        <patternFill patternType="solid">
          <bgColor theme="1" tint="0.499984740745262"/>
        </patternFill>
      </fill>
    </dxf>
    <dxf>
      <font>
        <b/>
        <i val="0"/>
        <color rgb="FF000080"/>
      </font>
      <fill>
        <patternFill patternType="solid">
          <bgColor theme="1" tint="0.499984740745262"/>
        </patternFill>
      </fill>
    </dxf>
    <dxf>
      <font>
        <b/>
        <i val="0"/>
        <color rgb="FF0000FF"/>
      </font>
      <fill>
        <patternFill patternType="solid">
          <bgColor theme="1" tint="0.499984740745262"/>
        </patternFill>
      </fill>
    </dxf>
    <dxf>
      <font>
        <b/>
        <i val="0"/>
        <color rgb="FF0070C0"/>
        <name val="Cambria"/>
        <scheme val="none"/>
      </font>
      <fill>
        <patternFill patternType="solid">
          <bgColor theme="1" tint="0.499984740745262"/>
        </patternFill>
      </fill>
    </dxf>
    <dxf>
      <font>
        <b/>
        <i val="0"/>
        <strike val="0"/>
        <color theme="0" tint="0.79998168889431442"/>
        <name val="Cambria"/>
        <scheme val="none"/>
      </font>
      <fill>
        <patternFill>
          <bgColor rgb="FF006600"/>
        </patternFill>
      </fill>
    </dxf>
    <dxf>
      <font>
        <b/>
        <i val="0"/>
        <color theme="0" tint="0.79998168889431442"/>
      </font>
      <fill>
        <patternFill>
          <bgColor rgb="FFFF0000"/>
        </patternFill>
      </fill>
    </dxf>
    <dxf>
      <font>
        <b/>
        <i val="0"/>
        <color theme="1"/>
      </font>
      <fill>
        <patternFill patternType="solid">
          <bgColor theme="1" tint="0.499984740745262"/>
        </patternFill>
      </fill>
    </dxf>
    <dxf>
      <font>
        <b/>
        <i val="0"/>
        <color rgb="FFFF6600"/>
      </font>
      <fill>
        <patternFill>
          <bgColor theme="1"/>
        </patternFill>
      </fill>
    </dxf>
    <dxf>
      <font>
        <b/>
        <i val="0"/>
        <color rgb="FFFF6600"/>
      </font>
      <fill>
        <patternFill patternType="solid">
          <bgColor theme="1"/>
        </patternFill>
      </fill>
    </dxf>
    <dxf>
      <font>
        <b/>
        <i val="0"/>
        <color rgb="FFFF6600"/>
      </font>
      <fill>
        <patternFill patternType="solid">
          <bgColor theme="1"/>
        </patternFill>
      </fill>
    </dxf>
    <dxf>
      <font>
        <b/>
        <i val="0"/>
        <color theme="1"/>
      </font>
      <fill>
        <patternFill patternType="solid">
          <bgColor rgb="FFB2B2B2"/>
        </patternFill>
      </fill>
    </dxf>
    <dxf>
      <font>
        <b/>
        <i val="0"/>
        <color rgb="FF008080"/>
      </font>
      <fill>
        <patternFill patternType="solid">
          <bgColor rgb="FFB2B2B2"/>
        </patternFill>
      </fill>
    </dxf>
    <dxf>
      <font>
        <b/>
        <i val="0"/>
        <color rgb="FF993300"/>
      </font>
      <fill>
        <patternFill patternType="solid">
          <bgColor rgb="FFB2B2B2"/>
        </patternFill>
      </fill>
    </dxf>
    <dxf>
      <font>
        <b/>
        <i val="0"/>
        <color rgb="FF7030A0"/>
      </font>
      <fill>
        <patternFill patternType="solid">
          <bgColor rgb="FFB2B2B2"/>
        </patternFill>
      </fill>
    </dxf>
    <dxf>
      <font>
        <b/>
        <i val="0"/>
        <color rgb="FFFFFF00"/>
      </font>
      <fill>
        <patternFill patternType="solid">
          <bgColor rgb="FFB2B2B2"/>
        </patternFill>
      </fill>
    </dxf>
    <dxf>
      <font>
        <b/>
        <i val="0"/>
        <color theme="0" tint="0.79998168889431442"/>
      </font>
      <fill>
        <patternFill patternType="solid">
          <bgColor rgb="FFB2B2B2"/>
        </patternFill>
      </fill>
    </dxf>
    <dxf>
      <font>
        <b/>
        <i val="0"/>
        <color rgb="FF000080"/>
      </font>
      <fill>
        <patternFill patternType="solid">
          <bgColor rgb="FFB2B2B2"/>
        </patternFill>
      </fill>
    </dxf>
    <dxf>
      <font>
        <b/>
        <i val="0"/>
        <color rgb="FF0000FF"/>
      </font>
      <fill>
        <patternFill patternType="solid">
          <bgColor rgb="FFB2B2B2"/>
        </patternFill>
      </fill>
    </dxf>
    <dxf>
      <font>
        <b/>
        <i val="0"/>
        <color rgb="FF0070C0"/>
        <name val="Cambria"/>
        <scheme val="none"/>
      </font>
      <fill>
        <patternFill patternType="solid">
          <bgColor rgb="FFB2B2B2"/>
        </patternFill>
      </fill>
    </dxf>
    <dxf>
      <font>
        <b/>
        <i val="0"/>
        <strike val="0"/>
        <color theme="0" tint="0.79998168889431442"/>
        <name val="Cambria"/>
        <scheme val="none"/>
      </font>
      <fill>
        <patternFill>
          <bgColor rgb="FF008000"/>
        </patternFill>
      </fill>
    </dxf>
    <dxf>
      <font>
        <b/>
        <i val="0"/>
        <color theme="0" tint="0.79998168889431442"/>
      </font>
      <fill>
        <patternFill>
          <bgColor rgb="FFC00000"/>
        </patternFill>
      </fill>
    </dxf>
    <dxf>
      <font>
        <b/>
        <i val="0"/>
        <color theme="1"/>
      </font>
      <fill>
        <patternFill patternType="solid">
          <bgColor theme="1" tint="0.499984740745262"/>
        </patternFill>
      </fill>
    </dxf>
    <dxf>
      <font>
        <b/>
        <i val="0"/>
        <color rgb="FFFF6600"/>
      </font>
      <fill>
        <patternFill>
          <bgColor theme="1"/>
        </patternFill>
      </fill>
    </dxf>
    <dxf>
      <font>
        <b/>
        <i val="0"/>
        <color rgb="FF008080"/>
      </font>
      <fill>
        <patternFill patternType="solid">
          <bgColor theme="1" tint="0.499984740745262"/>
        </patternFill>
      </fill>
    </dxf>
    <dxf>
      <font>
        <b/>
        <i val="0"/>
        <color rgb="FF993300"/>
      </font>
      <fill>
        <patternFill patternType="solid">
          <bgColor theme="1" tint="0.499984740745262"/>
        </patternFill>
      </fill>
    </dxf>
    <dxf>
      <font>
        <b/>
        <i val="0"/>
        <color rgb="FF7030A0"/>
      </font>
      <fill>
        <patternFill patternType="solid">
          <bgColor theme="1" tint="0.499984740745262"/>
        </patternFill>
      </fill>
    </dxf>
    <dxf>
      <font>
        <b/>
        <i val="0"/>
        <color rgb="FFFFFF00"/>
      </font>
      <fill>
        <patternFill patternType="solid">
          <bgColor theme="1" tint="0.499984740745262"/>
        </patternFill>
      </fill>
    </dxf>
    <dxf>
      <font>
        <b/>
        <i val="0"/>
        <color theme="0" tint="0.79998168889431442"/>
      </font>
      <fill>
        <patternFill patternType="solid">
          <bgColor theme="1" tint="0.499984740745262"/>
        </patternFill>
      </fill>
    </dxf>
    <dxf>
      <font>
        <b/>
        <i val="0"/>
        <color rgb="FF000080"/>
      </font>
      <fill>
        <patternFill patternType="solid">
          <bgColor theme="1" tint="0.499984740745262"/>
        </patternFill>
      </fill>
    </dxf>
    <dxf>
      <font>
        <b/>
        <i val="0"/>
        <color rgb="FF0000FF"/>
      </font>
      <fill>
        <patternFill patternType="solid">
          <bgColor theme="1" tint="0.499984740745262"/>
        </patternFill>
      </fill>
    </dxf>
    <dxf>
      <font>
        <b/>
        <i val="0"/>
        <color rgb="FF0070C0"/>
        <name val="Cambria"/>
        <scheme val="none"/>
      </font>
      <fill>
        <patternFill patternType="solid">
          <bgColor theme="1" tint="0.499984740745262"/>
        </patternFill>
      </fill>
    </dxf>
    <dxf>
      <font>
        <b/>
        <i val="0"/>
        <strike val="0"/>
        <color theme="0" tint="0.79998168889431442"/>
        <name val="Cambria"/>
        <scheme val="none"/>
      </font>
      <fill>
        <patternFill>
          <bgColor rgb="FF006600"/>
        </patternFill>
      </fill>
    </dxf>
    <dxf>
      <font>
        <b/>
        <i val="0"/>
        <color theme="0" tint="0.79998168889431442"/>
      </font>
      <fill>
        <patternFill>
          <bgColor rgb="FFFF0000"/>
        </patternFill>
      </fill>
    </dxf>
    <dxf>
      <font>
        <b/>
        <i val="0"/>
        <color rgb="FFFF6600"/>
      </font>
      <fill>
        <patternFill>
          <bgColor theme="1"/>
        </patternFill>
      </fill>
    </dxf>
    <dxf>
      <font>
        <b/>
        <i val="0"/>
        <color rgb="FFFF6600"/>
      </font>
      <fill>
        <patternFill patternType="solid">
          <bgColor theme="1"/>
        </patternFill>
      </fill>
    </dxf>
    <dxf>
      <font>
        <b/>
        <i val="0"/>
        <color rgb="FFFF6600"/>
      </font>
      <fill>
        <patternFill patternType="solid">
          <bgColor theme="1"/>
        </patternFill>
      </fill>
    </dxf>
    <dxf>
      <font>
        <b/>
        <i val="0"/>
        <color theme="1"/>
      </font>
      <fill>
        <patternFill patternType="solid">
          <bgColor rgb="FFB2B2B2"/>
        </patternFill>
      </fill>
    </dxf>
    <dxf>
      <font>
        <b/>
        <i val="0"/>
        <color rgb="FF008080"/>
      </font>
      <fill>
        <patternFill patternType="solid">
          <bgColor rgb="FFB2B2B2"/>
        </patternFill>
      </fill>
    </dxf>
    <dxf>
      <font>
        <b/>
        <i val="0"/>
        <color rgb="FF993300"/>
      </font>
      <fill>
        <patternFill patternType="solid">
          <bgColor rgb="FFB2B2B2"/>
        </patternFill>
      </fill>
    </dxf>
    <dxf>
      <font>
        <b/>
        <i val="0"/>
        <color rgb="FF7030A0"/>
      </font>
      <fill>
        <patternFill patternType="solid">
          <bgColor rgb="FFB2B2B2"/>
        </patternFill>
      </fill>
    </dxf>
    <dxf>
      <font>
        <b/>
        <i val="0"/>
        <color rgb="FFFFFF00"/>
      </font>
      <fill>
        <patternFill patternType="solid">
          <bgColor rgb="FFB2B2B2"/>
        </patternFill>
      </fill>
    </dxf>
    <dxf>
      <font>
        <b/>
        <i val="0"/>
        <color theme="0" tint="0.79998168889431442"/>
      </font>
      <fill>
        <patternFill patternType="solid">
          <bgColor rgb="FFB2B2B2"/>
        </patternFill>
      </fill>
    </dxf>
    <dxf>
      <font>
        <b/>
        <i val="0"/>
        <color rgb="FF000080"/>
      </font>
      <fill>
        <patternFill patternType="solid">
          <bgColor rgb="FFB2B2B2"/>
        </patternFill>
      </fill>
    </dxf>
    <dxf>
      <font>
        <b/>
        <i val="0"/>
        <color rgb="FF0000FF"/>
      </font>
      <fill>
        <patternFill patternType="solid">
          <bgColor rgb="FFB2B2B2"/>
        </patternFill>
      </fill>
    </dxf>
    <dxf>
      <font>
        <b/>
        <i val="0"/>
        <color rgb="FF0070C0"/>
        <name val="Cambria"/>
        <scheme val="none"/>
      </font>
      <fill>
        <patternFill patternType="solid">
          <bgColor rgb="FFB2B2B2"/>
        </patternFill>
      </fill>
    </dxf>
    <dxf>
      <font>
        <b/>
        <i val="0"/>
        <strike val="0"/>
        <color theme="0" tint="0.79998168889431442"/>
        <name val="Cambria"/>
        <scheme val="none"/>
      </font>
      <fill>
        <patternFill>
          <bgColor rgb="FF008000"/>
        </patternFill>
      </fill>
    </dxf>
    <dxf>
      <font>
        <b/>
        <i val="0"/>
        <color theme="0" tint="0.79998168889431442"/>
      </font>
      <fill>
        <patternFill>
          <bgColor rgb="FFC00000"/>
        </patternFill>
      </fill>
    </dxf>
    <dxf>
      <font>
        <b/>
        <i val="0"/>
        <color rgb="FFFF6600"/>
      </font>
      <fill>
        <patternFill>
          <bgColor theme="1"/>
        </patternFill>
      </fill>
    </dxf>
    <dxf>
      <font>
        <b/>
        <i val="0"/>
        <color theme="1"/>
      </font>
      <fill>
        <patternFill patternType="solid">
          <bgColor theme="1" tint="0.499984740745262"/>
        </patternFill>
      </fill>
    </dxf>
    <dxf>
      <font>
        <b/>
        <i val="0"/>
        <color rgb="FFFF6600"/>
      </font>
      <fill>
        <patternFill>
          <bgColor theme="1"/>
        </patternFill>
      </fill>
    </dxf>
    <dxf>
      <font>
        <b/>
        <i val="0"/>
        <color rgb="FF008080"/>
      </font>
      <fill>
        <patternFill patternType="solid">
          <bgColor theme="1" tint="0.499984740745262"/>
        </patternFill>
      </fill>
    </dxf>
    <dxf>
      <font>
        <b/>
        <i val="0"/>
        <color rgb="FF993300"/>
      </font>
      <fill>
        <patternFill patternType="solid">
          <bgColor theme="1" tint="0.499984740745262"/>
        </patternFill>
      </fill>
    </dxf>
    <dxf>
      <font>
        <b/>
        <i val="0"/>
        <color rgb="FF7030A0"/>
      </font>
      <fill>
        <patternFill patternType="solid">
          <bgColor theme="1" tint="0.499984740745262"/>
        </patternFill>
      </fill>
    </dxf>
    <dxf>
      <font>
        <b/>
        <i val="0"/>
        <color rgb="FFFFFF00"/>
      </font>
      <fill>
        <patternFill patternType="solid">
          <bgColor theme="1" tint="0.499984740745262"/>
        </patternFill>
      </fill>
    </dxf>
    <dxf>
      <font>
        <b/>
        <i val="0"/>
        <color theme="0" tint="0.79998168889431442"/>
      </font>
      <fill>
        <patternFill patternType="solid">
          <bgColor theme="1" tint="0.499984740745262"/>
        </patternFill>
      </fill>
    </dxf>
    <dxf>
      <font>
        <b/>
        <i val="0"/>
        <color rgb="FF000080"/>
      </font>
      <fill>
        <patternFill patternType="solid">
          <bgColor theme="1" tint="0.499984740745262"/>
        </patternFill>
      </fill>
    </dxf>
    <dxf>
      <font>
        <b/>
        <i val="0"/>
        <color rgb="FF0000FF"/>
      </font>
      <fill>
        <patternFill patternType="solid">
          <bgColor theme="1" tint="0.499984740745262"/>
        </patternFill>
      </fill>
    </dxf>
    <dxf>
      <font>
        <b/>
        <i val="0"/>
        <color rgb="FF0070C0"/>
        <name val="Cambria"/>
        <scheme val="none"/>
      </font>
      <fill>
        <patternFill patternType="solid">
          <bgColor theme="1" tint="0.499984740745262"/>
        </patternFill>
      </fill>
    </dxf>
    <dxf>
      <font>
        <b/>
        <i val="0"/>
        <strike val="0"/>
        <color theme="0" tint="0.79998168889431442"/>
        <name val="Cambria"/>
        <scheme val="none"/>
      </font>
      <fill>
        <patternFill>
          <bgColor rgb="FF006600"/>
        </patternFill>
      </fill>
    </dxf>
    <dxf>
      <font>
        <b/>
        <i val="0"/>
        <color theme="0" tint="0.79998168889431442"/>
      </font>
      <fill>
        <patternFill>
          <bgColor rgb="FFFF0000"/>
        </patternFill>
      </fill>
    </dxf>
    <dxf>
      <font>
        <b/>
        <i val="0"/>
        <color rgb="FFFF6600"/>
      </font>
      <fill>
        <patternFill>
          <bgColor theme="1"/>
        </patternFill>
      </fill>
    </dxf>
    <dxf>
      <font>
        <b/>
        <i val="0"/>
        <color theme="1"/>
      </font>
      <fill>
        <patternFill patternType="solid">
          <bgColor theme="1" tint="0.499984740745262"/>
        </patternFill>
      </fill>
    </dxf>
    <dxf>
      <font>
        <b/>
        <i val="0"/>
        <color rgb="FFFF6600"/>
      </font>
      <fill>
        <patternFill>
          <bgColor theme="1"/>
        </patternFill>
      </fill>
    </dxf>
    <dxf>
      <font>
        <b/>
        <i val="0"/>
        <color rgb="FF008080"/>
      </font>
      <fill>
        <patternFill patternType="solid">
          <bgColor theme="1" tint="0.499984740745262"/>
        </patternFill>
      </fill>
    </dxf>
    <dxf>
      <font>
        <b/>
        <i val="0"/>
        <color rgb="FF993300"/>
      </font>
      <fill>
        <patternFill patternType="solid">
          <bgColor theme="1" tint="0.499984740745262"/>
        </patternFill>
      </fill>
    </dxf>
    <dxf>
      <font>
        <b/>
        <i val="0"/>
        <color rgb="FF7030A0"/>
      </font>
      <fill>
        <patternFill patternType="solid">
          <bgColor theme="1" tint="0.499984740745262"/>
        </patternFill>
      </fill>
    </dxf>
    <dxf>
      <font>
        <b/>
        <i val="0"/>
        <color rgb="FFFFFF00"/>
      </font>
      <fill>
        <patternFill patternType="solid">
          <bgColor theme="1" tint="0.499984740745262"/>
        </patternFill>
      </fill>
    </dxf>
    <dxf>
      <font>
        <b/>
        <i val="0"/>
        <color theme="0" tint="0.79998168889431442"/>
      </font>
      <fill>
        <patternFill patternType="solid">
          <bgColor theme="1" tint="0.499984740745262"/>
        </patternFill>
      </fill>
    </dxf>
    <dxf>
      <font>
        <b/>
        <i val="0"/>
        <color rgb="FF000080"/>
      </font>
      <fill>
        <patternFill patternType="solid">
          <bgColor theme="1" tint="0.499984740745262"/>
        </patternFill>
      </fill>
    </dxf>
    <dxf>
      <font>
        <b/>
        <i val="0"/>
        <color rgb="FF0000FF"/>
      </font>
      <fill>
        <patternFill patternType="solid">
          <bgColor theme="1" tint="0.499984740745262"/>
        </patternFill>
      </fill>
    </dxf>
    <dxf>
      <font>
        <b/>
        <i val="0"/>
        <color rgb="FF0070C0"/>
        <name val="Cambria"/>
        <scheme val="none"/>
      </font>
      <fill>
        <patternFill patternType="solid">
          <bgColor theme="1" tint="0.499984740745262"/>
        </patternFill>
      </fill>
    </dxf>
    <dxf>
      <font>
        <b/>
        <i val="0"/>
        <strike val="0"/>
        <color theme="0" tint="0.79998168889431442"/>
        <name val="Cambria"/>
        <scheme val="none"/>
      </font>
      <fill>
        <patternFill>
          <bgColor rgb="FF006600"/>
        </patternFill>
      </fill>
    </dxf>
    <dxf>
      <font>
        <b/>
        <i val="0"/>
        <color theme="0" tint="0.79998168889431442"/>
      </font>
      <fill>
        <patternFill>
          <bgColor rgb="FFFF0000"/>
        </patternFill>
      </fill>
    </dxf>
    <dxf>
      <font>
        <b/>
        <i val="0"/>
        <color rgb="FFFF6600"/>
      </font>
      <fill>
        <patternFill patternType="solid">
          <bgColor theme="1"/>
        </patternFill>
      </fill>
    </dxf>
    <dxf>
      <font>
        <b/>
        <i val="0"/>
        <color rgb="FFFF6600"/>
      </font>
      <fill>
        <patternFill patternType="solid">
          <bgColor theme="1"/>
        </patternFill>
      </fill>
    </dxf>
    <dxf>
      <font>
        <b/>
        <i val="0"/>
        <color theme="1"/>
      </font>
      <fill>
        <patternFill patternType="solid">
          <bgColor rgb="FFB2B2B2"/>
        </patternFill>
      </fill>
    </dxf>
    <dxf>
      <font>
        <b/>
        <i val="0"/>
        <color rgb="FF008080"/>
      </font>
      <fill>
        <patternFill patternType="solid">
          <bgColor rgb="FFB2B2B2"/>
        </patternFill>
      </fill>
    </dxf>
    <dxf>
      <font>
        <b/>
        <i val="0"/>
        <color rgb="FF993300"/>
      </font>
      <fill>
        <patternFill patternType="solid">
          <bgColor rgb="FFB2B2B2"/>
        </patternFill>
      </fill>
    </dxf>
    <dxf>
      <font>
        <b/>
        <i val="0"/>
        <color rgb="FF7030A0"/>
      </font>
      <fill>
        <patternFill patternType="solid">
          <bgColor rgb="FFB2B2B2"/>
        </patternFill>
      </fill>
    </dxf>
    <dxf>
      <font>
        <b/>
        <i val="0"/>
        <color rgb="FFFFFF00"/>
      </font>
      <fill>
        <patternFill patternType="solid">
          <bgColor rgb="FFB2B2B2"/>
        </patternFill>
      </fill>
    </dxf>
    <dxf>
      <font>
        <b/>
        <i val="0"/>
        <color theme="0" tint="0.79998168889431442"/>
      </font>
      <fill>
        <patternFill patternType="solid">
          <bgColor rgb="FFB2B2B2"/>
        </patternFill>
      </fill>
    </dxf>
    <dxf>
      <font>
        <b/>
        <i val="0"/>
        <color rgb="FF000080"/>
      </font>
      <fill>
        <patternFill patternType="solid">
          <bgColor rgb="FFB2B2B2"/>
        </patternFill>
      </fill>
    </dxf>
    <dxf>
      <font>
        <b/>
        <i val="0"/>
        <color rgb="FF0000FF"/>
      </font>
      <fill>
        <patternFill patternType="solid">
          <bgColor rgb="FFB2B2B2"/>
        </patternFill>
      </fill>
    </dxf>
    <dxf>
      <font>
        <b/>
        <i val="0"/>
        <color rgb="FF0070C0"/>
        <name val="Cambria"/>
        <scheme val="none"/>
      </font>
      <fill>
        <patternFill patternType="solid">
          <bgColor rgb="FFB2B2B2"/>
        </patternFill>
      </fill>
    </dxf>
    <dxf>
      <font>
        <b/>
        <i val="0"/>
        <strike val="0"/>
        <color theme="0" tint="0.79998168889431442"/>
        <name val="Cambria"/>
        <scheme val="none"/>
      </font>
      <fill>
        <patternFill>
          <bgColor rgb="FF008000"/>
        </patternFill>
      </fill>
    </dxf>
    <dxf>
      <font>
        <b/>
        <i val="0"/>
        <color theme="0" tint="0.79998168889431442"/>
      </font>
      <fill>
        <patternFill>
          <bgColor rgb="FFC00000"/>
        </patternFill>
      </fill>
    </dxf>
    <dxf>
      <font>
        <b/>
        <i val="0"/>
        <color rgb="FFFF6600"/>
      </font>
      <fill>
        <patternFill>
          <bgColor theme="1"/>
        </patternFill>
      </fill>
    </dxf>
    <dxf>
      <font>
        <b/>
        <i val="0"/>
        <color theme="1"/>
      </font>
      <fill>
        <patternFill patternType="solid">
          <bgColor theme="1" tint="0.499984740745262"/>
        </patternFill>
      </fill>
    </dxf>
    <dxf>
      <font>
        <b/>
        <i val="0"/>
        <color rgb="FFFF6600"/>
      </font>
      <fill>
        <patternFill>
          <bgColor theme="1"/>
        </patternFill>
      </fill>
    </dxf>
    <dxf>
      <font>
        <b/>
        <i val="0"/>
        <color rgb="FF008080"/>
      </font>
      <fill>
        <patternFill patternType="solid">
          <bgColor theme="1" tint="0.499984740745262"/>
        </patternFill>
      </fill>
    </dxf>
    <dxf>
      <font>
        <b/>
        <i val="0"/>
        <color rgb="FF993300"/>
      </font>
      <fill>
        <patternFill patternType="solid">
          <bgColor theme="1" tint="0.499984740745262"/>
        </patternFill>
      </fill>
    </dxf>
    <dxf>
      <font>
        <b/>
        <i val="0"/>
        <color rgb="FF7030A0"/>
      </font>
      <fill>
        <patternFill patternType="solid">
          <bgColor theme="1" tint="0.499984740745262"/>
        </patternFill>
      </fill>
    </dxf>
    <dxf>
      <font>
        <b/>
        <i val="0"/>
        <color rgb="FFFFFF00"/>
      </font>
      <fill>
        <patternFill patternType="solid">
          <bgColor theme="1" tint="0.499984740745262"/>
        </patternFill>
      </fill>
    </dxf>
    <dxf>
      <font>
        <b/>
        <i val="0"/>
        <color theme="0" tint="0.79998168889431442"/>
      </font>
      <fill>
        <patternFill patternType="solid">
          <bgColor theme="1" tint="0.499984740745262"/>
        </patternFill>
      </fill>
    </dxf>
    <dxf>
      <font>
        <b/>
        <i val="0"/>
        <color rgb="FF000080"/>
      </font>
      <fill>
        <patternFill patternType="solid">
          <bgColor theme="1" tint="0.499984740745262"/>
        </patternFill>
      </fill>
    </dxf>
    <dxf>
      <font>
        <b/>
        <i val="0"/>
        <color rgb="FF0000FF"/>
      </font>
      <fill>
        <patternFill patternType="solid">
          <bgColor theme="1" tint="0.499984740745262"/>
        </patternFill>
      </fill>
    </dxf>
    <dxf>
      <font>
        <b/>
        <i val="0"/>
        <color rgb="FF0070C0"/>
        <name val="Cambria"/>
        <scheme val="none"/>
      </font>
      <fill>
        <patternFill patternType="solid">
          <bgColor theme="1" tint="0.499984740745262"/>
        </patternFill>
      </fill>
    </dxf>
    <dxf>
      <font>
        <b/>
        <i val="0"/>
        <strike val="0"/>
        <color theme="0" tint="0.79998168889431442"/>
        <name val="Cambria"/>
        <scheme val="none"/>
      </font>
      <fill>
        <patternFill>
          <bgColor rgb="FF006600"/>
        </patternFill>
      </fill>
    </dxf>
    <dxf>
      <font>
        <b/>
        <i val="0"/>
        <color theme="0" tint="0.79998168889431442"/>
      </font>
      <fill>
        <patternFill>
          <bgColor rgb="FFFF0000"/>
        </patternFill>
      </fill>
    </dxf>
    <dxf>
      <font>
        <b/>
        <i val="0"/>
        <color rgb="FFFF6600"/>
      </font>
      <fill>
        <patternFill patternType="solid">
          <bgColor theme="1"/>
        </patternFill>
      </fill>
    </dxf>
    <dxf>
      <font>
        <b/>
        <i val="0"/>
        <color rgb="FFFF6600"/>
      </font>
      <fill>
        <patternFill patternType="solid">
          <bgColor theme="1"/>
        </patternFill>
      </fill>
    </dxf>
    <dxf>
      <font>
        <b/>
        <i val="0"/>
        <color theme="1"/>
      </font>
      <fill>
        <patternFill patternType="solid">
          <bgColor rgb="FFB2B2B2"/>
        </patternFill>
      </fill>
    </dxf>
    <dxf>
      <font>
        <b/>
        <i val="0"/>
        <color rgb="FF008080"/>
      </font>
      <fill>
        <patternFill patternType="solid">
          <bgColor rgb="FFB2B2B2"/>
        </patternFill>
      </fill>
    </dxf>
    <dxf>
      <font>
        <b/>
        <i val="0"/>
        <color rgb="FF993300"/>
      </font>
      <fill>
        <patternFill patternType="solid">
          <bgColor rgb="FFB2B2B2"/>
        </patternFill>
      </fill>
    </dxf>
    <dxf>
      <font>
        <b/>
        <i val="0"/>
        <color rgb="FF7030A0"/>
      </font>
      <fill>
        <patternFill patternType="solid">
          <bgColor rgb="FFB2B2B2"/>
        </patternFill>
      </fill>
    </dxf>
    <dxf>
      <font>
        <b/>
        <i val="0"/>
        <color rgb="FFFFFF00"/>
      </font>
      <fill>
        <patternFill patternType="solid">
          <bgColor rgb="FFB2B2B2"/>
        </patternFill>
      </fill>
    </dxf>
    <dxf>
      <font>
        <b/>
        <i val="0"/>
        <color theme="0" tint="0.79998168889431442"/>
      </font>
      <fill>
        <patternFill patternType="solid">
          <bgColor rgb="FFB2B2B2"/>
        </patternFill>
      </fill>
    </dxf>
    <dxf>
      <font>
        <b/>
        <i val="0"/>
        <color rgb="FF000080"/>
      </font>
      <fill>
        <patternFill patternType="solid">
          <bgColor rgb="FFB2B2B2"/>
        </patternFill>
      </fill>
    </dxf>
    <dxf>
      <font>
        <b/>
        <i val="0"/>
        <color rgb="FF0000FF"/>
      </font>
      <fill>
        <patternFill patternType="solid">
          <bgColor rgb="FFB2B2B2"/>
        </patternFill>
      </fill>
    </dxf>
    <dxf>
      <font>
        <b/>
        <i val="0"/>
        <color rgb="FF0070C0"/>
        <name val="Cambria"/>
        <scheme val="none"/>
      </font>
      <fill>
        <patternFill patternType="solid">
          <bgColor rgb="FFB2B2B2"/>
        </patternFill>
      </fill>
    </dxf>
    <dxf>
      <font>
        <b/>
        <i val="0"/>
        <strike val="0"/>
        <color theme="0" tint="0.79998168889431442"/>
        <name val="Cambria"/>
        <scheme val="none"/>
      </font>
      <fill>
        <patternFill>
          <bgColor rgb="FF008000"/>
        </patternFill>
      </fill>
    </dxf>
    <dxf>
      <font>
        <b/>
        <i val="0"/>
        <color theme="0" tint="0.79998168889431442"/>
      </font>
      <fill>
        <patternFill>
          <bgColor rgb="FFC00000"/>
        </patternFill>
      </fill>
    </dxf>
    <dxf>
      <font>
        <b/>
        <i val="0"/>
        <color rgb="FFFF6600"/>
      </font>
      <fill>
        <patternFill>
          <bgColor theme="1"/>
        </patternFill>
      </fill>
    </dxf>
    <dxf>
      <font>
        <b/>
        <i val="0"/>
        <color rgb="FFFF6600"/>
      </font>
      <fill>
        <patternFill>
          <bgColor theme="1"/>
        </patternFill>
      </fill>
    </dxf>
    <dxf>
      <font>
        <b/>
        <i val="0"/>
        <color theme="1"/>
      </font>
      <fill>
        <patternFill patternType="solid">
          <bgColor theme="1" tint="0.499984740745262"/>
        </patternFill>
      </fill>
    </dxf>
    <dxf>
      <font>
        <b/>
        <i val="0"/>
        <color rgb="FF008080"/>
      </font>
      <fill>
        <patternFill patternType="solid">
          <bgColor theme="1" tint="0.499984740745262"/>
        </patternFill>
      </fill>
    </dxf>
    <dxf>
      <font>
        <b/>
        <i val="0"/>
        <color rgb="FF993300"/>
      </font>
      <fill>
        <patternFill patternType="solid">
          <bgColor theme="1" tint="0.499984740745262"/>
        </patternFill>
      </fill>
    </dxf>
    <dxf>
      <font>
        <b/>
        <i val="0"/>
        <color rgb="FF7030A0"/>
      </font>
      <fill>
        <patternFill patternType="solid">
          <bgColor theme="1" tint="0.499984740745262"/>
        </patternFill>
      </fill>
    </dxf>
    <dxf>
      <font>
        <b/>
        <i val="0"/>
        <color rgb="FFFFFF00"/>
      </font>
      <fill>
        <patternFill patternType="solid">
          <bgColor theme="1" tint="0.499984740745262"/>
        </patternFill>
      </fill>
    </dxf>
    <dxf>
      <font>
        <b/>
        <i val="0"/>
        <color theme="0" tint="0.79998168889431442"/>
      </font>
      <fill>
        <patternFill patternType="solid">
          <bgColor theme="1" tint="0.499984740745262"/>
        </patternFill>
      </fill>
    </dxf>
    <dxf>
      <font>
        <b/>
        <i val="0"/>
        <color rgb="FF000080"/>
      </font>
      <fill>
        <patternFill patternType="solid">
          <bgColor theme="1" tint="0.499984740745262"/>
        </patternFill>
      </fill>
    </dxf>
    <dxf>
      <font>
        <b/>
        <i val="0"/>
        <color rgb="FF0000FF"/>
      </font>
      <fill>
        <patternFill patternType="solid">
          <bgColor theme="1" tint="0.499984740745262"/>
        </patternFill>
      </fill>
    </dxf>
    <dxf>
      <font>
        <b/>
        <i val="0"/>
        <color rgb="FF0070C0"/>
        <name val="Cambria"/>
        <scheme val="none"/>
      </font>
      <fill>
        <patternFill patternType="solid">
          <bgColor theme="1" tint="0.499984740745262"/>
        </patternFill>
      </fill>
    </dxf>
    <dxf>
      <font>
        <b/>
        <i val="0"/>
        <strike val="0"/>
        <color theme="0" tint="0.79998168889431442"/>
        <name val="Cambria"/>
        <scheme val="none"/>
      </font>
      <fill>
        <patternFill>
          <bgColor rgb="FF006600"/>
        </patternFill>
      </fill>
    </dxf>
    <dxf>
      <font>
        <b/>
        <i val="0"/>
        <color theme="0" tint="0.79998168889431442"/>
      </font>
      <fill>
        <patternFill>
          <bgColor rgb="FFFF0000"/>
        </patternFill>
      </fill>
    </dxf>
    <dxf>
      <font>
        <b/>
        <i val="0"/>
        <color theme="0" tint="0.79998168889431442"/>
      </font>
      <fill>
        <patternFill>
          <bgColor theme="1"/>
        </patternFill>
      </fill>
    </dxf>
    <dxf>
      <font>
        <b/>
        <i val="0"/>
        <color rgb="FFB2B2B2"/>
      </font>
      <fill>
        <patternFill>
          <bgColor rgb="FFB2B2B2"/>
        </patternFill>
      </fill>
    </dxf>
    <dxf>
      <font>
        <color rgb="FFB2B2B2"/>
      </font>
      <fill>
        <patternFill>
          <bgColor rgb="FFB2B2B2"/>
        </patternFill>
      </fill>
    </dxf>
    <dxf>
      <font>
        <b/>
        <i val="0"/>
        <color rgb="FFB2B2B2"/>
      </font>
      <fill>
        <patternFill>
          <bgColor rgb="FFB2B2B2"/>
        </patternFill>
      </fill>
    </dxf>
    <dxf>
      <font>
        <color rgb="FFB2B2B2"/>
      </font>
      <fill>
        <patternFill>
          <bgColor rgb="FFB2B2B2"/>
        </patternFill>
      </fill>
    </dxf>
    <dxf>
      <font>
        <b/>
        <i val="0"/>
        <color rgb="FFB2B2B2"/>
      </font>
      <fill>
        <patternFill>
          <bgColor rgb="FFB2B2B2"/>
        </patternFill>
      </fill>
    </dxf>
    <dxf>
      <font>
        <color rgb="FFB2B2B2"/>
      </font>
      <fill>
        <patternFill>
          <bgColor rgb="FFB2B2B2"/>
        </patternFill>
      </fill>
    </dxf>
    <dxf>
      <font>
        <b/>
        <i val="0"/>
        <color rgb="FFB2B2B2"/>
      </font>
      <fill>
        <patternFill>
          <bgColor rgb="FFB2B2B2"/>
        </patternFill>
      </fill>
    </dxf>
    <dxf>
      <font>
        <color rgb="FFB2B2B2"/>
      </font>
      <fill>
        <patternFill>
          <bgColor rgb="FFB2B2B2"/>
        </patternFill>
      </fill>
    </dxf>
    <dxf>
      <font>
        <b/>
        <i val="0"/>
        <color rgb="FFB2B2B2"/>
      </font>
      <fill>
        <patternFill>
          <bgColor rgb="FFB2B2B2"/>
        </patternFill>
      </fill>
    </dxf>
    <dxf>
      <font>
        <color rgb="FFB2B2B2"/>
      </font>
      <fill>
        <patternFill>
          <bgColor rgb="FFB2B2B2"/>
        </patternFill>
      </fill>
    </dxf>
    <dxf>
      <font>
        <b/>
        <i val="0"/>
        <color rgb="FFB2B2B2"/>
      </font>
      <fill>
        <patternFill>
          <bgColor rgb="FFB2B2B2"/>
        </patternFill>
      </fill>
    </dxf>
    <dxf>
      <font>
        <color rgb="FFB2B2B2"/>
      </font>
      <fill>
        <patternFill>
          <bgColor rgb="FFB2B2B2"/>
        </patternFill>
      </fill>
    </dxf>
    <dxf>
      <font>
        <b/>
        <i val="0"/>
        <color rgb="FFB2B2B2"/>
      </font>
      <fill>
        <patternFill>
          <bgColor rgb="FFB2B2B2"/>
        </patternFill>
      </fill>
    </dxf>
    <dxf>
      <font>
        <color rgb="FFB2B2B2"/>
      </font>
      <fill>
        <patternFill>
          <bgColor rgb="FFB2B2B2"/>
        </patternFill>
      </fill>
    </dxf>
    <dxf>
      <font>
        <b/>
        <i val="0"/>
        <color rgb="FFB2B2B2"/>
      </font>
      <fill>
        <patternFill>
          <bgColor rgb="FFB2B2B2"/>
        </patternFill>
      </fill>
    </dxf>
    <dxf>
      <font>
        <color rgb="FFB2B2B2"/>
      </font>
      <fill>
        <patternFill>
          <bgColor rgb="FFB2B2B2"/>
        </patternFill>
      </fill>
    </dxf>
    <dxf>
      <font>
        <b/>
        <i val="0"/>
        <color rgb="FFB2B2B2"/>
      </font>
      <fill>
        <patternFill>
          <bgColor rgb="FFB2B2B2"/>
        </patternFill>
      </fill>
    </dxf>
    <dxf>
      <font>
        <color rgb="FFB2B2B2"/>
      </font>
      <fill>
        <patternFill>
          <bgColor rgb="FFB2B2B2"/>
        </patternFill>
      </fill>
    </dxf>
    <dxf>
      <font>
        <b/>
        <i val="0"/>
        <color rgb="FFB2B2B2"/>
      </font>
      <fill>
        <patternFill>
          <bgColor rgb="FFB2B2B2"/>
        </patternFill>
      </fill>
    </dxf>
    <dxf>
      <font>
        <color rgb="FFB2B2B2"/>
      </font>
      <fill>
        <patternFill>
          <bgColor rgb="FFB2B2B2"/>
        </patternFill>
      </fill>
    </dxf>
    <dxf>
      <font>
        <b/>
        <i val="0"/>
        <color rgb="FFB2B2B2"/>
      </font>
      <fill>
        <patternFill>
          <bgColor rgb="FFB2B2B2"/>
        </patternFill>
      </fill>
    </dxf>
    <dxf>
      <font>
        <color rgb="FFB2B2B2"/>
      </font>
      <fill>
        <patternFill>
          <bgColor rgb="FFB2B2B2"/>
        </patternFill>
      </fill>
    </dxf>
    <dxf>
      <font>
        <b/>
        <i val="0"/>
        <color rgb="FFB2B2B2"/>
      </font>
      <fill>
        <patternFill>
          <bgColor rgb="FFB2B2B2"/>
        </patternFill>
      </fill>
    </dxf>
    <dxf>
      <font>
        <color rgb="FFB2B2B2"/>
      </font>
      <fill>
        <patternFill>
          <bgColor rgb="FFB2B2B2"/>
        </patternFill>
      </fill>
    </dxf>
    <dxf>
      <font>
        <b/>
        <i val="0"/>
        <color rgb="FFB2B2B2"/>
      </font>
      <fill>
        <patternFill>
          <bgColor rgb="FFB2B2B2"/>
        </patternFill>
      </fill>
    </dxf>
    <dxf>
      <font>
        <color rgb="FFB2B2B2"/>
      </font>
      <fill>
        <patternFill>
          <bgColor rgb="FFB2B2B2"/>
        </patternFill>
      </fill>
    </dxf>
    <dxf>
      <font>
        <b/>
        <i val="0"/>
        <color rgb="FFB2B2B2"/>
      </font>
      <fill>
        <patternFill>
          <bgColor rgb="FFB2B2B2"/>
        </patternFill>
      </fill>
    </dxf>
    <dxf>
      <font>
        <color rgb="FFB2B2B2"/>
      </font>
      <fill>
        <patternFill>
          <bgColor rgb="FFB2B2B2"/>
        </patternFill>
      </fill>
    </dxf>
    <dxf>
      <font>
        <b/>
        <i val="0"/>
        <color theme="1"/>
      </font>
      <fill>
        <patternFill patternType="solid">
          <bgColor rgb="FF969696"/>
        </patternFill>
      </fill>
    </dxf>
    <dxf>
      <font>
        <b/>
        <i val="0"/>
        <color rgb="FF008080"/>
      </font>
      <fill>
        <patternFill patternType="solid">
          <bgColor rgb="FF969696"/>
        </patternFill>
      </fill>
    </dxf>
    <dxf>
      <font>
        <b/>
        <i val="0"/>
        <color rgb="FF993300"/>
      </font>
      <fill>
        <patternFill patternType="solid">
          <bgColor rgb="FF969696"/>
        </patternFill>
      </fill>
    </dxf>
    <dxf>
      <font>
        <b/>
        <i val="0"/>
        <color rgb="FF7030A0"/>
      </font>
      <fill>
        <patternFill patternType="solid">
          <bgColor rgb="FF969696"/>
        </patternFill>
      </fill>
    </dxf>
    <dxf>
      <font>
        <b/>
        <i val="0"/>
        <color rgb="FFFFFF00"/>
      </font>
      <fill>
        <patternFill patternType="solid">
          <bgColor rgb="FF969696"/>
        </patternFill>
      </fill>
    </dxf>
    <dxf>
      <font>
        <b/>
        <i val="0"/>
        <color theme="0" tint="0.79998168889431442"/>
      </font>
      <fill>
        <patternFill patternType="solid">
          <bgColor rgb="FF969696"/>
        </patternFill>
      </fill>
    </dxf>
    <dxf>
      <font>
        <b/>
        <i val="0"/>
        <color rgb="FF000080"/>
      </font>
      <fill>
        <patternFill patternType="solid">
          <bgColor rgb="FF969696"/>
        </patternFill>
      </fill>
    </dxf>
    <dxf>
      <font>
        <b/>
        <i val="0"/>
        <color rgb="FF0000FF"/>
      </font>
      <fill>
        <patternFill patternType="solid">
          <bgColor rgb="FF969696"/>
        </patternFill>
      </fill>
    </dxf>
    <dxf>
      <font>
        <b/>
        <i val="0"/>
        <color rgb="FF0070C0"/>
      </font>
      <fill>
        <patternFill patternType="solid">
          <bgColor rgb="FF969696"/>
        </patternFill>
      </fill>
    </dxf>
    <dxf>
      <font>
        <b/>
        <i val="0"/>
        <strike val="0"/>
        <color theme="0" tint="0.79998168889431442"/>
        <name val="Cambria"/>
        <scheme val="none"/>
      </font>
      <fill>
        <patternFill>
          <bgColor rgb="FF006600"/>
        </patternFill>
      </fill>
    </dxf>
    <dxf>
      <font>
        <b/>
        <i val="0"/>
        <color theme="0" tint="0.79998168889431442"/>
      </font>
      <fill>
        <patternFill>
          <bgColor rgb="FFC00000"/>
        </patternFill>
      </fill>
    </dxf>
    <dxf>
      <font>
        <b/>
        <i val="0"/>
        <color theme="1"/>
      </font>
      <fill>
        <patternFill patternType="solid">
          <bgColor rgb="FFB2B2B2"/>
        </patternFill>
      </fill>
    </dxf>
    <dxf>
      <font>
        <b/>
        <i val="0"/>
        <color rgb="FF008080"/>
      </font>
      <fill>
        <patternFill patternType="solid">
          <bgColor rgb="FFB2B2B2"/>
        </patternFill>
      </fill>
    </dxf>
    <dxf>
      <font>
        <b/>
        <i val="0"/>
        <color rgb="FF993300"/>
      </font>
      <fill>
        <patternFill patternType="solid">
          <bgColor rgb="FFB2B2B2"/>
        </patternFill>
      </fill>
    </dxf>
    <dxf>
      <font>
        <b/>
        <i val="0"/>
        <color rgb="FF7030A0"/>
      </font>
      <fill>
        <patternFill patternType="solid">
          <bgColor rgb="FFB2B2B2"/>
        </patternFill>
      </fill>
    </dxf>
    <dxf>
      <font>
        <b/>
        <i val="0"/>
        <color rgb="FFFFFF00"/>
      </font>
      <fill>
        <patternFill patternType="solid">
          <bgColor rgb="FFB2B2B2"/>
        </patternFill>
      </fill>
    </dxf>
    <dxf>
      <font>
        <b/>
        <i val="0"/>
        <color theme="0" tint="0.79998168889431442"/>
      </font>
      <fill>
        <patternFill patternType="solid">
          <bgColor rgb="FFB2B2B2"/>
        </patternFill>
      </fill>
    </dxf>
    <dxf>
      <font>
        <b/>
        <i val="0"/>
        <color rgb="FF000080"/>
      </font>
      <fill>
        <patternFill patternType="solid">
          <bgColor rgb="FFB2B2B2"/>
        </patternFill>
      </fill>
    </dxf>
    <dxf>
      <font>
        <b/>
        <i val="0"/>
        <color rgb="FF0000FF"/>
      </font>
      <fill>
        <patternFill patternType="solid">
          <bgColor rgb="FFB2B2B2"/>
        </patternFill>
      </fill>
    </dxf>
    <dxf>
      <font>
        <b/>
        <i val="0"/>
        <color rgb="FF0070C0"/>
      </font>
      <fill>
        <patternFill patternType="solid">
          <bgColor rgb="FFB2B2B2"/>
        </patternFill>
      </fill>
    </dxf>
    <dxf>
      <font>
        <b/>
        <i val="0"/>
        <strike val="0"/>
        <color theme="0" tint="0.79998168889431442"/>
        <name val="Cambria"/>
        <scheme val="none"/>
      </font>
      <fill>
        <patternFill>
          <bgColor rgb="FF00B050"/>
        </patternFill>
      </fill>
    </dxf>
    <dxf>
      <font>
        <b/>
        <i val="0"/>
        <color theme="0" tint="0.79998168889431442"/>
      </font>
      <fill>
        <patternFill>
          <bgColor rgb="FFFF0000"/>
        </patternFill>
      </fill>
    </dxf>
    <dxf>
      <font>
        <b/>
        <i val="0"/>
        <color theme="1"/>
      </font>
      <fill>
        <patternFill patternType="solid">
          <bgColor rgb="FF969696"/>
        </patternFill>
      </fill>
    </dxf>
    <dxf>
      <font>
        <b/>
        <i val="0"/>
        <color rgb="FF008080"/>
      </font>
      <fill>
        <patternFill patternType="solid">
          <bgColor rgb="FF969696"/>
        </patternFill>
      </fill>
    </dxf>
    <dxf>
      <font>
        <b/>
        <i val="0"/>
        <color rgb="FF993300"/>
      </font>
      <fill>
        <patternFill patternType="solid">
          <bgColor rgb="FF969696"/>
        </patternFill>
      </fill>
    </dxf>
    <dxf>
      <font>
        <b/>
        <i val="0"/>
        <color rgb="FF7030A0"/>
      </font>
      <fill>
        <patternFill patternType="solid">
          <bgColor rgb="FF969696"/>
        </patternFill>
      </fill>
    </dxf>
    <dxf>
      <font>
        <b/>
        <i val="0"/>
        <color rgb="FFFFFF00"/>
      </font>
      <fill>
        <patternFill patternType="solid">
          <bgColor rgb="FF969696"/>
        </patternFill>
      </fill>
    </dxf>
    <dxf>
      <font>
        <b/>
        <i val="0"/>
        <color theme="0" tint="0.79998168889431442"/>
      </font>
      <fill>
        <patternFill patternType="solid">
          <bgColor rgb="FF969696"/>
        </patternFill>
      </fill>
    </dxf>
    <dxf>
      <font>
        <b/>
        <i val="0"/>
        <color rgb="FF000080"/>
      </font>
      <fill>
        <patternFill patternType="solid">
          <bgColor rgb="FF969696"/>
        </patternFill>
      </fill>
    </dxf>
    <dxf>
      <font>
        <b/>
        <i val="0"/>
        <color rgb="FF0000FF"/>
      </font>
      <fill>
        <patternFill patternType="solid">
          <bgColor rgb="FF969696"/>
        </patternFill>
      </fill>
    </dxf>
    <dxf>
      <font>
        <b/>
        <i val="0"/>
        <color rgb="FF0070C0"/>
      </font>
      <fill>
        <patternFill patternType="solid">
          <bgColor rgb="FF969696"/>
        </patternFill>
      </fill>
    </dxf>
    <dxf>
      <font>
        <b/>
        <i val="0"/>
        <strike val="0"/>
        <color theme="0" tint="0.79998168889431442"/>
        <name val="Cambria"/>
        <scheme val="none"/>
      </font>
      <fill>
        <patternFill>
          <bgColor rgb="FF006600"/>
        </patternFill>
      </fill>
    </dxf>
    <dxf>
      <font>
        <b/>
        <i val="0"/>
        <color theme="0" tint="0.79998168889431442"/>
      </font>
      <fill>
        <patternFill>
          <bgColor rgb="FFC00000"/>
        </patternFill>
      </fill>
    </dxf>
    <dxf>
      <font>
        <b/>
        <i val="0"/>
        <color theme="1"/>
      </font>
      <fill>
        <patternFill patternType="solid">
          <bgColor rgb="FFB2B2B2"/>
        </patternFill>
      </fill>
    </dxf>
    <dxf>
      <font>
        <b/>
        <i val="0"/>
        <color rgb="FF008080"/>
      </font>
      <fill>
        <patternFill patternType="solid">
          <bgColor rgb="FFB2B2B2"/>
        </patternFill>
      </fill>
    </dxf>
    <dxf>
      <font>
        <b/>
        <i val="0"/>
        <color rgb="FF993300"/>
      </font>
      <fill>
        <patternFill patternType="solid">
          <bgColor rgb="FFB2B2B2"/>
        </patternFill>
      </fill>
    </dxf>
    <dxf>
      <font>
        <b/>
        <i val="0"/>
        <color rgb="FF7030A0"/>
      </font>
      <fill>
        <patternFill patternType="solid">
          <bgColor rgb="FFB2B2B2"/>
        </patternFill>
      </fill>
    </dxf>
    <dxf>
      <font>
        <b/>
        <i val="0"/>
        <color rgb="FFFFFF00"/>
      </font>
      <fill>
        <patternFill patternType="solid">
          <bgColor rgb="FFB2B2B2"/>
        </patternFill>
      </fill>
    </dxf>
    <dxf>
      <font>
        <b/>
        <i val="0"/>
        <color theme="0" tint="0.79998168889431442"/>
      </font>
      <fill>
        <patternFill patternType="solid">
          <bgColor rgb="FFB2B2B2"/>
        </patternFill>
      </fill>
    </dxf>
    <dxf>
      <font>
        <b/>
        <i val="0"/>
        <color rgb="FF000080"/>
      </font>
      <fill>
        <patternFill patternType="solid">
          <bgColor rgb="FFB2B2B2"/>
        </patternFill>
      </fill>
    </dxf>
    <dxf>
      <font>
        <b/>
        <i val="0"/>
        <color rgb="FF0000FF"/>
      </font>
      <fill>
        <patternFill patternType="solid">
          <bgColor rgb="FFB2B2B2"/>
        </patternFill>
      </fill>
    </dxf>
    <dxf>
      <font>
        <b/>
        <i val="0"/>
        <color rgb="FF0070C0"/>
      </font>
      <fill>
        <patternFill patternType="solid">
          <bgColor rgb="FFB2B2B2"/>
        </patternFill>
      </fill>
    </dxf>
    <dxf>
      <font>
        <b/>
        <i val="0"/>
        <strike val="0"/>
        <color theme="0" tint="0.79998168889431442"/>
        <name val="Cambria"/>
        <scheme val="none"/>
      </font>
      <fill>
        <patternFill>
          <bgColor rgb="FF00B050"/>
        </patternFill>
      </fill>
    </dxf>
    <dxf>
      <font>
        <b/>
        <i val="0"/>
        <color theme="0" tint="0.79998168889431442"/>
      </font>
      <fill>
        <patternFill>
          <bgColor rgb="FFFF0000"/>
        </patternFill>
      </fill>
    </dxf>
    <dxf>
      <font>
        <b/>
        <i val="0"/>
        <color theme="1"/>
      </font>
      <fill>
        <patternFill patternType="solid">
          <bgColor rgb="FF969696"/>
        </patternFill>
      </fill>
    </dxf>
    <dxf>
      <font>
        <b/>
        <i val="0"/>
        <color rgb="FF008080"/>
      </font>
      <fill>
        <patternFill patternType="solid">
          <bgColor rgb="FF969696"/>
        </patternFill>
      </fill>
    </dxf>
    <dxf>
      <font>
        <b/>
        <i val="0"/>
        <color rgb="FF993300"/>
      </font>
      <fill>
        <patternFill patternType="solid">
          <bgColor rgb="FF969696"/>
        </patternFill>
      </fill>
    </dxf>
    <dxf>
      <font>
        <b/>
        <i val="0"/>
        <color rgb="FF7030A0"/>
      </font>
      <fill>
        <patternFill patternType="solid">
          <bgColor rgb="FF969696"/>
        </patternFill>
      </fill>
    </dxf>
    <dxf>
      <font>
        <b/>
        <i val="0"/>
        <color rgb="FFFFFF00"/>
      </font>
      <fill>
        <patternFill patternType="solid">
          <bgColor rgb="FF969696"/>
        </patternFill>
      </fill>
    </dxf>
    <dxf>
      <font>
        <b/>
        <i val="0"/>
        <color theme="0" tint="0.79998168889431442"/>
      </font>
      <fill>
        <patternFill patternType="solid">
          <bgColor rgb="FF969696"/>
        </patternFill>
      </fill>
    </dxf>
    <dxf>
      <font>
        <b/>
        <i val="0"/>
        <color rgb="FF000080"/>
      </font>
      <fill>
        <patternFill patternType="solid">
          <bgColor rgb="FF969696"/>
        </patternFill>
      </fill>
    </dxf>
    <dxf>
      <font>
        <b/>
        <i val="0"/>
        <color rgb="FF0000FF"/>
      </font>
      <fill>
        <patternFill patternType="solid">
          <bgColor rgb="FF969696"/>
        </patternFill>
      </fill>
    </dxf>
    <dxf>
      <font>
        <b/>
        <i val="0"/>
        <color rgb="FF0070C0"/>
      </font>
      <fill>
        <patternFill patternType="solid">
          <bgColor rgb="FF969696"/>
        </patternFill>
      </fill>
    </dxf>
    <dxf>
      <font>
        <b/>
        <i val="0"/>
        <strike val="0"/>
        <color theme="0" tint="0.79998168889431442"/>
        <name val="Cambria"/>
        <scheme val="none"/>
      </font>
      <fill>
        <patternFill>
          <bgColor rgb="FF006600"/>
        </patternFill>
      </fill>
    </dxf>
    <dxf>
      <font>
        <b/>
        <i val="0"/>
        <color theme="0" tint="0.79998168889431442"/>
      </font>
      <fill>
        <patternFill>
          <bgColor rgb="FFC00000"/>
        </patternFill>
      </fill>
    </dxf>
    <dxf>
      <font>
        <b/>
        <i val="0"/>
        <color theme="1"/>
      </font>
      <fill>
        <patternFill patternType="solid">
          <bgColor rgb="FFB2B2B2"/>
        </patternFill>
      </fill>
    </dxf>
    <dxf>
      <font>
        <b/>
        <i val="0"/>
        <color rgb="FF008080"/>
      </font>
      <fill>
        <patternFill patternType="solid">
          <bgColor rgb="FFB2B2B2"/>
        </patternFill>
      </fill>
    </dxf>
    <dxf>
      <font>
        <b/>
        <i val="0"/>
        <color rgb="FF993300"/>
      </font>
      <fill>
        <patternFill patternType="solid">
          <bgColor rgb="FFB2B2B2"/>
        </patternFill>
      </fill>
    </dxf>
    <dxf>
      <font>
        <b/>
        <i val="0"/>
        <color rgb="FF7030A0"/>
      </font>
      <fill>
        <patternFill patternType="solid">
          <bgColor rgb="FFB2B2B2"/>
        </patternFill>
      </fill>
    </dxf>
    <dxf>
      <font>
        <b/>
        <i val="0"/>
        <color rgb="FFFFFF00"/>
      </font>
      <fill>
        <patternFill patternType="solid">
          <bgColor rgb="FFB2B2B2"/>
        </patternFill>
      </fill>
    </dxf>
    <dxf>
      <font>
        <b/>
        <i val="0"/>
        <color theme="0" tint="0.79998168889431442"/>
      </font>
      <fill>
        <patternFill patternType="solid">
          <bgColor rgb="FFB2B2B2"/>
        </patternFill>
      </fill>
    </dxf>
    <dxf>
      <font>
        <b/>
        <i val="0"/>
        <color rgb="FF000080"/>
      </font>
      <fill>
        <patternFill patternType="solid">
          <bgColor rgb="FFB2B2B2"/>
        </patternFill>
      </fill>
    </dxf>
    <dxf>
      <font>
        <b/>
        <i val="0"/>
        <color rgb="FF0000FF"/>
      </font>
      <fill>
        <patternFill patternType="solid">
          <bgColor rgb="FFB2B2B2"/>
        </patternFill>
      </fill>
    </dxf>
    <dxf>
      <font>
        <b/>
        <i val="0"/>
        <color rgb="FF0070C0"/>
      </font>
      <fill>
        <patternFill patternType="solid">
          <bgColor rgb="FFB2B2B2"/>
        </patternFill>
      </fill>
    </dxf>
    <dxf>
      <font>
        <b/>
        <i val="0"/>
        <strike val="0"/>
        <color theme="0" tint="0.79998168889431442"/>
        <name val="Cambria"/>
        <scheme val="none"/>
      </font>
      <fill>
        <patternFill>
          <bgColor rgb="FF00B050"/>
        </patternFill>
      </fill>
    </dxf>
    <dxf>
      <font>
        <b/>
        <i val="0"/>
        <color theme="0" tint="0.79998168889431442"/>
      </font>
      <fill>
        <patternFill>
          <bgColor rgb="FFFF0000"/>
        </patternFill>
      </fill>
    </dxf>
    <dxf>
      <font>
        <b/>
        <i val="0"/>
        <color rgb="FF993300"/>
      </font>
      <fill>
        <patternFill patternType="solid">
          <bgColor rgb="FF969696"/>
        </patternFill>
      </fill>
    </dxf>
    <dxf>
      <font>
        <b/>
        <i val="0"/>
        <color rgb="FF008080"/>
      </font>
      <fill>
        <patternFill patternType="solid">
          <bgColor rgb="FF969696"/>
        </patternFill>
      </fill>
    </dxf>
    <dxf>
      <font>
        <b/>
        <i val="0"/>
        <color rgb="FF7030A0"/>
      </font>
      <fill>
        <patternFill patternType="solid">
          <bgColor rgb="FF969696"/>
        </patternFill>
      </fill>
    </dxf>
    <dxf>
      <font>
        <b/>
        <i val="0"/>
        <color rgb="FFFFFF00"/>
      </font>
      <fill>
        <patternFill patternType="solid">
          <bgColor rgb="FF969696"/>
        </patternFill>
      </fill>
    </dxf>
    <dxf>
      <font>
        <b/>
        <i val="0"/>
        <color theme="0" tint="0.79998168889431442"/>
      </font>
      <fill>
        <patternFill patternType="solid">
          <bgColor rgb="FF969696"/>
        </patternFill>
      </fill>
    </dxf>
    <dxf>
      <font>
        <b/>
        <i val="0"/>
        <color rgb="FF000080"/>
      </font>
      <fill>
        <patternFill patternType="solid">
          <bgColor rgb="FF969696"/>
        </patternFill>
      </fill>
    </dxf>
    <dxf>
      <font>
        <b/>
        <i val="0"/>
        <color theme="1"/>
      </font>
      <fill>
        <patternFill patternType="solid">
          <bgColor rgb="FF969696"/>
        </patternFill>
      </fill>
    </dxf>
    <dxf>
      <font>
        <b/>
        <i val="0"/>
        <color rgb="FF0000FF"/>
      </font>
      <fill>
        <patternFill patternType="solid">
          <bgColor rgb="FF969696"/>
        </patternFill>
      </fill>
    </dxf>
    <dxf>
      <font>
        <b/>
        <i val="0"/>
        <color rgb="FF0070C0"/>
      </font>
      <fill>
        <patternFill patternType="solid">
          <bgColor rgb="FF969696"/>
        </patternFill>
      </fill>
    </dxf>
    <dxf>
      <font>
        <b/>
        <i val="0"/>
        <strike val="0"/>
        <color theme="0" tint="0.79998168889431442"/>
        <name val="Cambria"/>
        <scheme val="none"/>
      </font>
      <fill>
        <patternFill>
          <bgColor rgb="FF006600"/>
        </patternFill>
      </fill>
    </dxf>
    <dxf>
      <font>
        <b/>
        <i val="0"/>
        <color theme="0" tint="0.79998168889431442"/>
      </font>
      <fill>
        <patternFill>
          <bgColor rgb="FFC00000"/>
        </patternFill>
      </fill>
    </dxf>
    <dxf>
      <font>
        <b/>
        <i val="0"/>
        <color theme="1"/>
      </font>
      <fill>
        <patternFill patternType="solid">
          <bgColor rgb="FFB2B2B2"/>
        </patternFill>
      </fill>
    </dxf>
    <dxf>
      <font>
        <b/>
        <i val="0"/>
        <color rgb="FF008080"/>
      </font>
      <fill>
        <patternFill patternType="solid">
          <bgColor rgb="FFB2B2B2"/>
        </patternFill>
      </fill>
    </dxf>
    <dxf>
      <font>
        <b/>
        <i val="0"/>
        <color rgb="FF993300"/>
      </font>
      <fill>
        <patternFill patternType="solid">
          <bgColor rgb="FFB2B2B2"/>
        </patternFill>
      </fill>
    </dxf>
    <dxf>
      <font>
        <b/>
        <i val="0"/>
        <color rgb="FF7030A0"/>
      </font>
      <fill>
        <patternFill patternType="solid">
          <bgColor rgb="FFB2B2B2"/>
        </patternFill>
      </fill>
    </dxf>
    <dxf>
      <font>
        <b/>
        <i val="0"/>
        <color rgb="FFFFFF00"/>
      </font>
      <fill>
        <patternFill patternType="solid">
          <bgColor rgb="FFB2B2B2"/>
        </patternFill>
      </fill>
    </dxf>
    <dxf>
      <font>
        <b/>
        <i val="0"/>
        <color theme="0" tint="0.79998168889431442"/>
      </font>
      <fill>
        <patternFill patternType="solid">
          <bgColor rgb="FFB2B2B2"/>
        </patternFill>
      </fill>
    </dxf>
    <dxf>
      <font>
        <b/>
        <i val="0"/>
        <color rgb="FF000080"/>
      </font>
      <fill>
        <patternFill patternType="solid">
          <bgColor rgb="FFB2B2B2"/>
        </patternFill>
      </fill>
    </dxf>
    <dxf>
      <font>
        <b/>
        <i val="0"/>
        <color rgb="FF0000FF"/>
      </font>
      <fill>
        <patternFill patternType="solid">
          <bgColor rgb="FFB2B2B2"/>
        </patternFill>
      </fill>
    </dxf>
    <dxf>
      <font>
        <b/>
        <i val="0"/>
        <color rgb="FF0070C0"/>
      </font>
      <fill>
        <patternFill patternType="solid">
          <bgColor rgb="FFB2B2B2"/>
        </patternFill>
      </fill>
    </dxf>
    <dxf>
      <font>
        <b/>
        <i val="0"/>
        <strike val="0"/>
        <color theme="0" tint="0.79998168889431442"/>
        <name val="Cambria"/>
        <scheme val="none"/>
      </font>
      <fill>
        <patternFill>
          <bgColor rgb="FF00B050"/>
        </patternFill>
      </fill>
    </dxf>
    <dxf>
      <font>
        <b/>
        <i val="0"/>
        <color theme="0" tint="0.79998168889431442"/>
      </font>
      <fill>
        <patternFill>
          <bgColor rgb="FFFF0000"/>
        </patternFill>
      </fill>
    </dxf>
    <dxf>
      <font>
        <b/>
        <i val="0"/>
        <color theme="1"/>
      </font>
      <fill>
        <patternFill patternType="solid">
          <bgColor rgb="FF969696"/>
        </patternFill>
      </fill>
    </dxf>
    <dxf>
      <font>
        <b/>
        <i val="0"/>
        <color rgb="FF008080"/>
      </font>
      <fill>
        <patternFill patternType="solid">
          <bgColor rgb="FF969696"/>
        </patternFill>
      </fill>
    </dxf>
    <dxf>
      <font>
        <b/>
        <i val="0"/>
        <color rgb="FF993300"/>
      </font>
      <fill>
        <patternFill patternType="solid">
          <bgColor rgb="FF969696"/>
        </patternFill>
      </fill>
    </dxf>
    <dxf>
      <font>
        <b/>
        <i val="0"/>
        <color rgb="FF7030A0"/>
      </font>
      <fill>
        <patternFill patternType="solid">
          <bgColor rgb="FF969696"/>
        </patternFill>
      </fill>
    </dxf>
    <dxf>
      <font>
        <b/>
        <i val="0"/>
        <color rgb="FFFFFF00"/>
      </font>
      <fill>
        <patternFill patternType="solid">
          <bgColor rgb="FF969696"/>
        </patternFill>
      </fill>
    </dxf>
    <dxf>
      <font>
        <b/>
        <i val="0"/>
        <color theme="0" tint="0.79998168889431442"/>
      </font>
      <fill>
        <patternFill patternType="solid">
          <bgColor rgb="FF969696"/>
        </patternFill>
      </fill>
    </dxf>
    <dxf>
      <font>
        <b/>
        <i val="0"/>
        <color rgb="FF000080"/>
      </font>
      <fill>
        <patternFill patternType="solid">
          <bgColor rgb="FF969696"/>
        </patternFill>
      </fill>
    </dxf>
    <dxf>
      <font>
        <b/>
        <i val="0"/>
        <color rgb="FF0000FF"/>
      </font>
      <fill>
        <patternFill patternType="solid">
          <bgColor rgb="FF969696"/>
        </patternFill>
      </fill>
    </dxf>
    <dxf>
      <font>
        <b/>
        <i val="0"/>
        <color rgb="FF0070C0"/>
      </font>
      <fill>
        <patternFill patternType="solid">
          <bgColor rgb="FF969696"/>
        </patternFill>
      </fill>
    </dxf>
    <dxf>
      <font>
        <b/>
        <i val="0"/>
        <strike val="0"/>
        <color theme="0" tint="0.79998168889431442"/>
        <name val="Cambria"/>
        <scheme val="none"/>
      </font>
      <fill>
        <patternFill>
          <bgColor rgb="FF006600"/>
        </patternFill>
      </fill>
    </dxf>
    <dxf>
      <font>
        <b/>
        <i val="0"/>
        <color theme="0" tint="0.79998168889431442"/>
      </font>
      <fill>
        <patternFill>
          <bgColor rgb="FFC00000"/>
        </patternFill>
      </fill>
    </dxf>
    <dxf>
      <font>
        <b/>
        <i val="0"/>
        <color theme="0" tint="0.79998168889431442"/>
      </font>
      <fill>
        <patternFill>
          <bgColor rgb="FFFF0000"/>
        </patternFill>
      </fill>
    </dxf>
    <dxf>
      <font>
        <b/>
        <i val="0"/>
        <color theme="0" tint="0.79995117038483843"/>
      </font>
      <fill>
        <patternFill>
          <bgColor rgb="FF339933"/>
        </patternFill>
      </fill>
    </dxf>
    <dxf>
      <fill>
        <patternFill>
          <bgColor rgb="FFFF0000"/>
        </patternFill>
      </fill>
    </dxf>
    <dxf>
      <fill>
        <patternFill>
          <bgColor theme="1"/>
        </patternFill>
      </fill>
    </dxf>
    <dxf>
      <font>
        <b/>
        <i val="0"/>
      </font>
      <fill>
        <patternFill>
          <bgColor rgb="FFFF0000"/>
        </patternFill>
      </fill>
    </dxf>
    <dxf>
      <font>
        <b/>
        <i val="0"/>
        <color theme="0" tint="0.79998168889431442"/>
      </font>
      <fill>
        <patternFill>
          <bgColor rgb="FFFF0000"/>
        </patternFill>
      </fill>
    </dxf>
    <dxf>
      <font>
        <b/>
        <i val="0"/>
        <color theme="0" tint="0.79998168889431442"/>
      </font>
      <fill>
        <patternFill>
          <bgColor rgb="FFFF0000"/>
        </patternFill>
      </fill>
    </dxf>
    <dxf>
      <font>
        <b/>
        <i val="0"/>
        <color theme="1"/>
      </font>
      <fill>
        <patternFill patternType="solid">
          <bgColor rgb="FFB2B2B2"/>
        </patternFill>
      </fill>
    </dxf>
    <dxf>
      <font>
        <b/>
        <i val="0"/>
        <color theme="1"/>
      </font>
      <fill>
        <patternFill patternType="solid">
          <bgColor rgb="FF969696"/>
        </patternFill>
      </fill>
    </dxf>
    <dxf>
      <font>
        <b/>
        <i val="0"/>
        <color rgb="FF008080"/>
      </font>
      <fill>
        <patternFill patternType="solid">
          <bgColor rgb="FF969696"/>
        </patternFill>
      </fill>
    </dxf>
    <dxf>
      <font>
        <b/>
        <i val="0"/>
        <color rgb="FF993300"/>
      </font>
      <fill>
        <patternFill patternType="solid">
          <bgColor rgb="FF969696"/>
        </patternFill>
      </fill>
    </dxf>
    <dxf>
      <font>
        <b/>
        <i val="0"/>
        <color rgb="FF7030A0"/>
      </font>
      <fill>
        <patternFill patternType="solid">
          <bgColor rgb="FF969696"/>
        </patternFill>
      </fill>
    </dxf>
    <dxf>
      <font>
        <b/>
        <i val="0"/>
        <color rgb="FFFFFF00"/>
      </font>
      <fill>
        <patternFill patternType="solid">
          <bgColor rgb="FF969696"/>
        </patternFill>
      </fill>
    </dxf>
    <dxf>
      <font>
        <b/>
        <i val="0"/>
        <color theme="0" tint="0.79998168889431442"/>
      </font>
      <fill>
        <patternFill patternType="solid">
          <bgColor rgb="FF969696"/>
        </patternFill>
      </fill>
    </dxf>
    <dxf>
      <font>
        <b/>
        <i val="0"/>
        <color rgb="FF000080"/>
      </font>
      <fill>
        <patternFill patternType="solid">
          <bgColor rgb="FF969696"/>
        </patternFill>
      </fill>
    </dxf>
    <dxf>
      <font>
        <b/>
        <i val="0"/>
        <color rgb="FF0000FF"/>
      </font>
      <fill>
        <patternFill patternType="solid">
          <bgColor rgb="FF969696"/>
        </patternFill>
      </fill>
    </dxf>
    <dxf>
      <font>
        <b/>
        <i val="0"/>
        <color rgb="FF00FFFF"/>
      </font>
      <fill>
        <patternFill patternType="solid">
          <bgColor rgb="FF969696"/>
        </patternFill>
      </fill>
    </dxf>
    <dxf>
      <font>
        <b/>
        <i val="0"/>
        <strike val="0"/>
        <color theme="0" tint="0.79998168889431442"/>
        <name val="Cambria"/>
        <scheme val="none"/>
      </font>
      <fill>
        <patternFill>
          <bgColor rgb="FF006600"/>
        </patternFill>
      </fill>
    </dxf>
    <dxf>
      <font>
        <b/>
        <i val="0"/>
        <color theme="0" tint="0.79998168889431442"/>
      </font>
      <fill>
        <patternFill>
          <bgColor rgb="FFFF0000"/>
        </patternFill>
      </fill>
    </dxf>
    <dxf>
      <font>
        <b/>
        <i val="0"/>
        <color theme="0" tint="0.79998168889431442"/>
      </font>
      <fill>
        <patternFill>
          <bgColor rgb="FFFF0000"/>
        </patternFill>
      </fill>
    </dxf>
    <dxf>
      <font>
        <b/>
        <i val="0"/>
        <strike val="0"/>
        <color theme="0" tint="0.79998168889431442"/>
        <name val="Cambria"/>
        <scheme val="none"/>
      </font>
      <fill>
        <patternFill>
          <bgColor rgb="FF00B050"/>
        </patternFill>
      </fill>
    </dxf>
    <dxf>
      <font>
        <b/>
        <i val="0"/>
        <color rgb="FF00FFFF"/>
      </font>
      <fill>
        <patternFill patternType="solid">
          <bgColor rgb="FFB2B2B2"/>
        </patternFill>
      </fill>
    </dxf>
    <dxf>
      <font>
        <b/>
        <i val="0"/>
        <color rgb="FF0000FF"/>
      </font>
      <fill>
        <patternFill patternType="solid">
          <bgColor rgb="FFB2B2B2"/>
        </patternFill>
      </fill>
    </dxf>
    <dxf>
      <font>
        <b/>
        <i val="0"/>
        <color rgb="FF000080"/>
      </font>
      <fill>
        <patternFill patternType="solid">
          <bgColor rgb="FFB2B2B2"/>
        </patternFill>
      </fill>
    </dxf>
    <dxf>
      <font>
        <b/>
        <i val="0"/>
        <color theme="0" tint="0.79998168889431442"/>
      </font>
      <fill>
        <patternFill patternType="solid">
          <bgColor rgb="FFB2B2B2"/>
        </patternFill>
      </fill>
    </dxf>
    <dxf>
      <font>
        <b/>
        <i val="0"/>
        <color rgb="FF7030A0"/>
      </font>
      <fill>
        <patternFill patternType="solid">
          <bgColor rgb="FFB2B2B2"/>
        </patternFill>
      </fill>
    </dxf>
    <dxf>
      <font>
        <b/>
        <i val="0"/>
        <color rgb="FFFFFF00"/>
      </font>
      <fill>
        <patternFill patternType="solid">
          <bgColor rgb="FFB2B2B2"/>
        </patternFill>
      </fill>
    </dxf>
    <dxf>
      <font>
        <b/>
        <i val="0"/>
        <color rgb="FF993300"/>
      </font>
      <fill>
        <patternFill patternType="solid">
          <bgColor rgb="FFB2B2B2"/>
        </patternFill>
      </fill>
    </dxf>
    <dxf>
      <font>
        <b/>
        <i val="0"/>
        <color rgb="FF008080"/>
      </font>
      <fill>
        <patternFill patternType="solid">
          <bgColor rgb="FFB2B2B2"/>
        </patternFill>
      </fill>
    </dxf>
    <dxf>
      <font>
        <b/>
        <i val="0"/>
        <color theme="1"/>
      </font>
      <fill>
        <patternFill patternType="solid">
          <bgColor rgb="FFB2B2B2"/>
        </patternFill>
      </fill>
    </dxf>
    <dxf>
      <font>
        <b/>
        <i val="0"/>
        <color theme="0" tint="0.79998168889431442"/>
      </font>
      <fill>
        <patternFill patternType="solid">
          <bgColor rgb="FF969696"/>
        </patternFill>
      </fill>
    </dxf>
    <dxf>
      <font>
        <b/>
        <i val="0"/>
        <color rgb="FF7030A0"/>
      </font>
      <fill>
        <patternFill patternType="solid">
          <bgColor rgb="FF969696"/>
        </patternFill>
      </fill>
    </dxf>
    <dxf>
      <font>
        <b/>
        <i val="0"/>
        <color rgb="FF993300"/>
      </font>
      <fill>
        <patternFill patternType="solid">
          <bgColor rgb="FF969696"/>
        </patternFill>
      </fill>
    </dxf>
    <dxf>
      <font>
        <b/>
        <i val="0"/>
        <color theme="1"/>
      </font>
      <fill>
        <patternFill patternType="solid">
          <bgColor rgb="FF969696"/>
        </patternFill>
      </fill>
    </dxf>
    <dxf>
      <font>
        <b/>
        <i val="0"/>
        <color rgb="FF008080"/>
      </font>
      <fill>
        <patternFill patternType="solid">
          <bgColor rgb="FF969696"/>
        </patternFill>
      </fill>
    </dxf>
    <dxf>
      <font>
        <b/>
        <i val="0"/>
        <color rgb="FF00FFFF"/>
      </font>
      <fill>
        <patternFill patternType="solid">
          <bgColor rgb="FF969696"/>
        </patternFill>
      </fill>
    </dxf>
    <dxf>
      <font>
        <b/>
        <i val="0"/>
        <color rgb="FF000080"/>
      </font>
      <fill>
        <patternFill patternType="solid">
          <bgColor rgb="FF969696"/>
        </patternFill>
      </fill>
    </dxf>
    <dxf>
      <font>
        <b/>
        <i val="0"/>
        <color rgb="FF0000FF"/>
      </font>
      <fill>
        <patternFill patternType="solid">
          <bgColor rgb="FF969696"/>
        </patternFill>
      </fill>
    </dxf>
    <dxf>
      <font>
        <b/>
        <i val="0"/>
        <strike val="0"/>
        <color theme="0" tint="0.79998168889431442"/>
        <name val="Cambria"/>
        <scheme val="none"/>
      </font>
      <fill>
        <patternFill>
          <bgColor rgb="FF006600"/>
        </patternFill>
      </fill>
    </dxf>
    <dxf>
      <font>
        <b/>
        <i val="0"/>
        <color theme="0" tint="0.79998168889431442"/>
      </font>
      <fill>
        <patternFill>
          <bgColor rgb="FFFF0000"/>
        </patternFill>
      </fill>
    </dxf>
    <dxf>
      <font>
        <b/>
        <i val="0"/>
        <color rgb="FFFFFF00"/>
      </font>
      <fill>
        <patternFill patternType="solid">
          <bgColor rgb="FF969696"/>
        </patternFill>
      </fill>
    </dxf>
    <dxf>
      <font>
        <b/>
        <i val="0"/>
        <color theme="0" tint="0.79998168889431442"/>
      </font>
      <fill>
        <patternFill>
          <bgColor rgb="FFFF0000"/>
        </patternFill>
      </fill>
    </dxf>
    <dxf>
      <font>
        <b/>
        <i val="0"/>
      </font>
      <fill>
        <patternFill>
          <bgColor rgb="FFFF0000"/>
        </patternFill>
      </fill>
    </dxf>
    <dxf>
      <font>
        <b/>
        <i val="0"/>
        <color theme="0" tint="0.79998168889431442"/>
      </font>
      <fill>
        <patternFill>
          <bgColor rgb="FFFF0000"/>
        </patternFill>
      </fill>
    </dxf>
    <dxf>
      <font>
        <b/>
        <i val="0"/>
        <color theme="1"/>
      </font>
      <fill>
        <patternFill patternType="solid">
          <bgColor rgb="FF969696"/>
        </patternFill>
      </fill>
    </dxf>
    <dxf>
      <font>
        <b/>
        <i val="0"/>
        <color rgb="FF008080"/>
      </font>
      <fill>
        <patternFill patternType="solid">
          <bgColor rgb="FF969696"/>
        </patternFill>
      </fill>
    </dxf>
    <dxf>
      <font>
        <b/>
        <i val="0"/>
        <color rgb="FF993300"/>
      </font>
      <fill>
        <patternFill patternType="solid">
          <bgColor rgb="FF969696"/>
        </patternFill>
      </fill>
    </dxf>
    <dxf>
      <font>
        <b/>
        <i val="0"/>
        <color rgb="FF7030A0"/>
      </font>
      <fill>
        <patternFill patternType="solid">
          <bgColor rgb="FF969696"/>
        </patternFill>
      </fill>
    </dxf>
    <dxf>
      <font>
        <b/>
        <i val="0"/>
        <color rgb="FFFFFF00"/>
      </font>
      <fill>
        <patternFill patternType="solid">
          <bgColor rgb="FF969696"/>
        </patternFill>
      </fill>
    </dxf>
    <dxf>
      <font>
        <b/>
        <i val="0"/>
        <color theme="0" tint="0.79998168889431442"/>
      </font>
      <fill>
        <patternFill patternType="solid">
          <bgColor rgb="FF969696"/>
        </patternFill>
      </fill>
    </dxf>
    <dxf>
      <font>
        <b/>
        <i val="0"/>
        <color rgb="FF000080"/>
      </font>
      <fill>
        <patternFill patternType="solid">
          <bgColor rgb="FF969696"/>
        </patternFill>
      </fill>
    </dxf>
    <dxf>
      <font>
        <b/>
        <i val="0"/>
        <color rgb="FF0000FF"/>
      </font>
      <fill>
        <patternFill patternType="solid">
          <bgColor rgb="FF969696"/>
        </patternFill>
      </fill>
    </dxf>
    <dxf>
      <font>
        <b/>
        <i val="0"/>
        <color rgb="FF0070C0"/>
      </font>
      <fill>
        <patternFill patternType="solid">
          <bgColor rgb="FF969696"/>
        </patternFill>
      </fill>
    </dxf>
    <dxf>
      <font>
        <b/>
        <i val="0"/>
        <color theme="0" tint="0.79998168889431442"/>
      </font>
      <fill>
        <patternFill>
          <bgColor rgb="FFFF0000"/>
        </patternFill>
      </fill>
    </dxf>
    <dxf>
      <font>
        <b/>
        <i val="0"/>
        <color theme="1"/>
      </font>
      <fill>
        <patternFill patternType="solid">
          <bgColor rgb="FFB2B2B2"/>
        </patternFill>
      </fill>
    </dxf>
    <dxf>
      <font>
        <b/>
        <i val="0"/>
        <color rgb="FF008080"/>
      </font>
      <fill>
        <patternFill patternType="solid">
          <bgColor rgb="FFB2B2B2"/>
        </patternFill>
      </fill>
    </dxf>
    <dxf>
      <font>
        <b/>
        <i val="0"/>
        <color rgb="FF993300"/>
      </font>
      <fill>
        <patternFill patternType="solid">
          <bgColor rgb="FFB2B2B2"/>
        </patternFill>
      </fill>
    </dxf>
    <dxf>
      <font>
        <b/>
        <i val="0"/>
        <color rgb="FF7030A0"/>
      </font>
      <fill>
        <patternFill patternType="solid">
          <bgColor rgb="FFB2B2B2"/>
        </patternFill>
      </fill>
    </dxf>
    <dxf>
      <font>
        <b/>
        <i val="0"/>
        <color rgb="FFFFFF00"/>
      </font>
      <fill>
        <patternFill patternType="solid">
          <bgColor rgb="FFB2B2B2"/>
        </patternFill>
      </fill>
    </dxf>
    <dxf>
      <font>
        <b/>
        <i val="0"/>
        <color theme="0" tint="0.79998168889431442"/>
      </font>
      <fill>
        <patternFill patternType="solid">
          <bgColor rgb="FFB2B2B2"/>
        </patternFill>
      </fill>
    </dxf>
    <dxf>
      <font>
        <b/>
        <i val="0"/>
        <color rgb="FF000080"/>
      </font>
      <fill>
        <patternFill patternType="solid">
          <bgColor rgb="FFB2B2B2"/>
        </patternFill>
      </fill>
    </dxf>
    <dxf>
      <font>
        <b/>
        <i val="0"/>
        <color rgb="FF0000FF"/>
      </font>
      <fill>
        <patternFill patternType="solid">
          <bgColor rgb="FFB2B2B2"/>
        </patternFill>
      </fill>
    </dxf>
    <dxf>
      <font>
        <b/>
        <i val="0"/>
        <color rgb="FF0070C0"/>
      </font>
      <fill>
        <patternFill patternType="solid">
          <bgColor rgb="FFB2B2B2"/>
        </patternFill>
      </fill>
    </dxf>
    <dxf>
      <font>
        <b/>
        <i val="0"/>
        <color theme="0" tint="0.79998168889431442"/>
      </font>
      <fill>
        <patternFill>
          <bgColor rgb="FFFF0000"/>
        </patternFill>
      </fill>
    </dxf>
    <dxf>
      <font>
        <b/>
        <i val="0"/>
        <color theme="1"/>
      </font>
      <fill>
        <patternFill patternType="solid">
          <bgColor rgb="FF969696"/>
        </patternFill>
      </fill>
    </dxf>
    <dxf>
      <font>
        <b/>
        <i val="0"/>
        <color rgb="FF008080"/>
      </font>
      <fill>
        <patternFill patternType="solid">
          <bgColor rgb="FF969696"/>
        </patternFill>
      </fill>
    </dxf>
    <dxf>
      <font>
        <b/>
        <i val="0"/>
        <color rgb="FF993300"/>
      </font>
      <fill>
        <patternFill patternType="solid">
          <bgColor rgb="FF969696"/>
        </patternFill>
      </fill>
    </dxf>
    <dxf>
      <font>
        <b/>
        <i val="0"/>
        <color rgb="FF7030A0"/>
      </font>
      <fill>
        <patternFill patternType="solid">
          <bgColor rgb="FF969696"/>
        </patternFill>
      </fill>
    </dxf>
    <dxf>
      <font>
        <b/>
        <i val="0"/>
        <color rgb="FFFFFF00"/>
      </font>
      <fill>
        <patternFill patternType="solid">
          <bgColor rgb="FF969696"/>
        </patternFill>
      </fill>
    </dxf>
    <dxf>
      <font>
        <b/>
        <i val="0"/>
        <color theme="0" tint="0.79998168889431442"/>
      </font>
      <fill>
        <patternFill patternType="solid">
          <bgColor rgb="FF969696"/>
        </patternFill>
      </fill>
    </dxf>
    <dxf>
      <font>
        <b/>
        <i val="0"/>
        <color rgb="FF000080"/>
      </font>
      <fill>
        <patternFill patternType="solid">
          <bgColor rgb="FF969696"/>
        </patternFill>
      </fill>
    </dxf>
    <dxf>
      <font>
        <b/>
        <i val="0"/>
        <color rgb="FF0000FF"/>
      </font>
      <fill>
        <patternFill patternType="solid">
          <bgColor rgb="FF969696"/>
        </patternFill>
      </fill>
    </dxf>
    <dxf>
      <font>
        <b/>
        <i val="0"/>
        <color rgb="FF0070C0"/>
      </font>
      <fill>
        <patternFill patternType="solid">
          <bgColor rgb="FF969696"/>
        </patternFill>
      </fill>
    </dxf>
    <dxf>
      <font>
        <b/>
        <i val="0"/>
        <color theme="0" tint="0.79998168889431442"/>
      </font>
      <fill>
        <patternFill>
          <bgColor rgb="FFFF0000"/>
        </patternFill>
      </fill>
    </dxf>
    <dxf>
      <font>
        <b/>
        <i val="0"/>
        <color theme="1"/>
      </font>
      <fill>
        <patternFill patternType="solid">
          <bgColor rgb="FFB2B2B2"/>
        </patternFill>
      </fill>
    </dxf>
    <dxf>
      <font>
        <b/>
        <i val="0"/>
        <color rgb="FF008080"/>
      </font>
      <fill>
        <patternFill patternType="solid">
          <bgColor rgb="FFB2B2B2"/>
        </patternFill>
      </fill>
    </dxf>
    <dxf>
      <font>
        <b/>
        <i val="0"/>
        <color rgb="FF993300"/>
      </font>
      <fill>
        <patternFill patternType="solid">
          <bgColor rgb="FFB2B2B2"/>
        </patternFill>
      </fill>
    </dxf>
    <dxf>
      <font>
        <b/>
        <i val="0"/>
        <color rgb="FF7030A0"/>
      </font>
      <fill>
        <patternFill patternType="solid">
          <bgColor rgb="FFB2B2B2"/>
        </patternFill>
      </fill>
    </dxf>
    <dxf>
      <font>
        <b/>
        <i val="0"/>
        <color rgb="FFFFFF00"/>
      </font>
      <fill>
        <patternFill patternType="solid">
          <bgColor rgb="FFB2B2B2"/>
        </patternFill>
      </fill>
    </dxf>
    <dxf>
      <font>
        <b/>
        <i val="0"/>
        <color theme="0" tint="0.79998168889431442"/>
      </font>
      <fill>
        <patternFill patternType="solid">
          <bgColor rgb="FFB2B2B2"/>
        </patternFill>
      </fill>
    </dxf>
    <dxf>
      <font>
        <b/>
        <i val="0"/>
        <color rgb="FF000080"/>
      </font>
      <fill>
        <patternFill patternType="solid">
          <bgColor rgb="FFB2B2B2"/>
        </patternFill>
      </fill>
    </dxf>
    <dxf>
      <font>
        <b/>
        <i val="0"/>
        <color rgb="FF0000FF"/>
      </font>
      <fill>
        <patternFill patternType="solid">
          <bgColor rgb="FFB2B2B2"/>
        </patternFill>
      </fill>
    </dxf>
    <dxf>
      <font>
        <b/>
        <i val="0"/>
        <color rgb="FF0070C0"/>
      </font>
      <fill>
        <patternFill patternType="solid">
          <bgColor rgb="FFB2B2B2"/>
        </patternFill>
      </fill>
    </dxf>
    <dxf>
      <font>
        <b/>
        <i val="0"/>
        <color theme="0" tint="0.79998168889431442"/>
      </font>
      <fill>
        <patternFill>
          <bgColor rgb="FFFF0000"/>
        </patternFill>
      </fill>
    </dxf>
    <dxf>
      <font>
        <b/>
        <i val="0"/>
        <color theme="1"/>
      </font>
      <fill>
        <patternFill patternType="solid">
          <bgColor rgb="FF969696"/>
        </patternFill>
      </fill>
    </dxf>
    <dxf>
      <font>
        <b/>
        <i val="0"/>
        <color rgb="FF008080"/>
      </font>
      <fill>
        <patternFill patternType="solid">
          <bgColor rgb="FF969696"/>
        </patternFill>
      </fill>
    </dxf>
    <dxf>
      <font>
        <b/>
        <i val="0"/>
        <color rgb="FF993300"/>
      </font>
      <fill>
        <patternFill patternType="solid">
          <bgColor rgb="FF969696"/>
        </patternFill>
      </fill>
    </dxf>
    <dxf>
      <font>
        <b/>
        <i val="0"/>
        <color rgb="FF7030A0"/>
      </font>
      <fill>
        <patternFill patternType="solid">
          <bgColor rgb="FF969696"/>
        </patternFill>
      </fill>
    </dxf>
    <dxf>
      <font>
        <b/>
        <i val="0"/>
        <color rgb="FFFFFF00"/>
      </font>
      <fill>
        <patternFill patternType="solid">
          <bgColor rgb="FF969696"/>
        </patternFill>
      </fill>
    </dxf>
    <dxf>
      <font>
        <b/>
        <i val="0"/>
        <color theme="0" tint="0.79998168889431442"/>
      </font>
      <fill>
        <patternFill patternType="solid">
          <bgColor rgb="FF969696"/>
        </patternFill>
      </fill>
    </dxf>
    <dxf>
      <font>
        <b/>
        <i val="0"/>
        <color rgb="FF000080"/>
      </font>
      <fill>
        <patternFill patternType="solid">
          <bgColor rgb="FF969696"/>
        </patternFill>
      </fill>
    </dxf>
    <dxf>
      <font>
        <b/>
        <i val="0"/>
        <color rgb="FF0000FF"/>
      </font>
      <fill>
        <patternFill patternType="solid">
          <bgColor rgb="FF969696"/>
        </patternFill>
      </fill>
    </dxf>
    <dxf>
      <font>
        <b/>
        <i val="0"/>
        <color rgb="FF0070C0"/>
      </font>
      <fill>
        <patternFill patternType="solid">
          <bgColor rgb="FF969696"/>
        </patternFill>
      </fill>
    </dxf>
    <dxf>
      <font>
        <b/>
        <i val="0"/>
        <color theme="0" tint="0.79998168889431442"/>
      </font>
      <fill>
        <patternFill>
          <bgColor rgb="FFFF0000"/>
        </patternFill>
      </fill>
    </dxf>
    <dxf>
      <font>
        <b/>
        <i val="0"/>
        <color theme="1"/>
      </font>
      <fill>
        <patternFill patternType="solid">
          <bgColor rgb="FFB2B2B2"/>
        </patternFill>
      </fill>
    </dxf>
    <dxf>
      <font>
        <b/>
        <i val="0"/>
        <color rgb="FF008080"/>
      </font>
      <fill>
        <patternFill patternType="solid">
          <bgColor rgb="FFB2B2B2"/>
        </patternFill>
      </fill>
    </dxf>
    <dxf>
      <font>
        <b/>
        <i val="0"/>
        <color rgb="FF993300"/>
      </font>
      <fill>
        <patternFill patternType="solid">
          <bgColor rgb="FFB2B2B2"/>
        </patternFill>
      </fill>
    </dxf>
    <dxf>
      <font>
        <b/>
        <i val="0"/>
        <color rgb="FF7030A0"/>
      </font>
      <fill>
        <patternFill patternType="solid">
          <bgColor rgb="FFB2B2B2"/>
        </patternFill>
      </fill>
    </dxf>
    <dxf>
      <font>
        <b/>
        <i val="0"/>
        <color rgb="FFFFFF00"/>
      </font>
      <fill>
        <patternFill patternType="solid">
          <bgColor rgb="FFB2B2B2"/>
        </patternFill>
      </fill>
    </dxf>
    <dxf>
      <font>
        <b/>
        <i val="0"/>
        <color theme="0" tint="0.79998168889431442"/>
      </font>
      <fill>
        <patternFill patternType="solid">
          <bgColor rgb="FFB2B2B2"/>
        </patternFill>
      </fill>
    </dxf>
    <dxf>
      <font>
        <b/>
        <i val="0"/>
        <color rgb="FF000080"/>
      </font>
      <fill>
        <patternFill patternType="solid">
          <bgColor rgb="FFB2B2B2"/>
        </patternFill>
      </fill>
    </dxf>
    <dxf>
      <font>
        <b/>
        <i val="0"/>
        <color rgb="FF0000FF"/>
      </font>
      <fill>
        <patternFill patternType="solid">
          <bgColor rgb="FFB2B2B2"/>
        </patternFill>
      </fill>
    </dxf>
    <dxf>
      <font>
        <b/>
        <i val="0"/>
        <color rgb="FF0070C0"/>
      </font>
      <fill>
        <patternFill patternType="solid">
          <bgColor rgb="FFB2B2B2"/>
        </patternFill>
      </fill>
    </dxf>
    <dxf>
      <font>
        <b/>
        <i val="0"/>
        <color theme="0" tint="0.79998168889431442"/>
      </font>
      <fill>
        <patternFill>
          <bgColor rgb="FFFF0000"/>
        </patternFill>
      </fill>
    </dxf>
    <dxf>
      <font>
        <b/>
        <i val="0"/>
        <color theme="1"/>
      </font>
      <fill>
        <patternFill patternType="solid">
          <bgColor rgb="FF969696"/>
        </patternFill>
      </fill>
    </dxf>
    <dxf>
      <font>
        <b/>
        <i val="0"/>
        <color rgb="FF008080"/>
      </font>
      <fill>
        <patternFill patternType="solid">
          <bgColor rgb="FF969696"/>
        </patternFill>
      </fill>
    </dxf>
    <dxf>
      <font>
        <b/>
        <i val="0"/>
        <color rgb="FF993300"/>
      </font>
      <fill>
        <patternFill patternType="solid">
          <bgColor rgb="FF969696"/>
        </patternFill>
      </fill>
    </dxf>
    <dxf>
      <font>
        <b/>
        <i val="0"/>
        <color rgb="FF7030A0"/>
      </font>
      <fill>
        <patternFill patternType="solid">
          <bgColor rgb="FF969696"/>
        </patternFill>
      </fill>
    </dxf>
    <dxf>
      <font>
        <b/>
        <i val="0"/>
        <color rgb="FFFFFF00"/>
      </font>
      <fill>
        <patternFill patternType="solid">
          <bgColor rgb="FF969696"/>
        </patternFill>
      </fill>
    </dxf>
    <dxf>
      <font>
        <b/>
        <i val="0"/>
        <color theme="0" tint="0.79998168889431442"/>
      </font>
      <fill>
        <patternFill patternType="solid">
          <bgColor rgb="FF969696"/>
        </patternFill>
      </fill>
    </dxf>
    <dxf>
      <font>
        <b/>
        <i val="0"/>
        <color rgb="FF000080"/>
      </font>
      <fill>
        <patternFill patternType="solid">
          <bgColor rgb="FF969696"/>
        </patternFill>
      </fill>
    </dxf>
    <dxf>
      <font>
        <b/>
        <i val="0"/>
        <color rgb="FF0000FF"/>
      </font>
      <fill>
        <patternFill patternType="solid">
          <bgColor rgb="FF969696"/>
        </patternFill>
      </fill>
    </dxf>
    <dxf>
      <font>
        <b/>
        <i val="0"/>
        <color rgb="FF0070C0"/>
      </font>
      <fill>
        <patternFill patternType="solid">
          <bgColor rgb="FF969696"/>
        </patternFill>
      </fill>
    </dxf>
    <dxf>
      <font>
        <b/>
        <i val="0"/>
      </font>
      <fill>
        <patternFill>
          <bgColor theme="1"/>
        </patternFill>
      </fill>
    </dxf>
    <dxf>
      <font>
        <b/>
        <i val="0"/>
      </font>
      <fill>
        <patternFill>
          <bgColor rgb="FFC00000"/>
        </patternFill>
      </fill>
    </dxf>
    <dxf>
      <font>
        <b/>
        <i val="0"/>
        <color auto="1"/>
      </font>
      <fill>
        <patternFill>
          <bgColor rgb="FFC00000"/>
        </patternFill>
      </fill>
    </dxf>
    <dxf>
      <font>
        <b/>
        <i val="0"/>
        <color theme="0" tint="0.79998168889431442"/>
      </font>
      <fill>
        <patternFill>
          <bgColor rgb="FFFF0000"/>
        </patternFill>
      </fill>
    </dxf>
    <dxf>
      <font>
        <b/>
        <i val="0"/>
        <color theme="1"/>
      </font>
      <fill>
        <patternFill patternType="solid">
          <bgColor theme="1" tint="0.499984740745262"/>
        </patternFill>
      </fill>
    </dxf>
    <dxf>
      <font>
        <b/>
        <i val="0"/>
        <color rgb="FF008080"/>
      </font>
      <fill>
        <patternFill patternType="solid">
          <bgColor theme="1" tint="0.499984740745262"/>
        </patternFill>
      </fill>
    </dxf>
    <dxf>
      <font>
        <b/>
        <i val="0"/>
        <color rgb="FF993300"/>
      </font>
      <fill>
        <patternFill patternType="solid">
          <bgColor theme="1" tint="0.499984740745262"/>
        </patternFill>
      </fill>
    </dxf>
    <dxf>
      <font>
        <b/>
        <i val="0"/>
        <color rgb="FF7030A0"/>
      </font>
      <fill>
        <patternFill patternType="solid">
          <bgColor theme="1" tint="0.499984740745262"/>
        </patternFill>
      </fill>
    </dxf>
    <dxf>
      <font>
        <b/>
        <i val="0"/>
        <color rgb="FFFFFF00"/>
      </font>
      <fill>
        <patternFill patternType="solid">
          <bgColor theme="1" tint="0.499984740745262"/>
        </patternFill>
      </fill>
    </dxf>
    <dxf>
      <font>
        <b/>
        <i val="0"/>
        <color theme="0" tint="0.79998168889431442"/>
      </font>
      <fill>
        <patternFill patternType="solid">
          <bgColor theme="1" tint="0.499984740745262"/>
        </patternFill>
      </fill>
    </dxf>
    <dxf>
      <font>
        <b/>
        <i val="0"/>
        <color rgb="FF000080"/>
      </font>
      <fill>
        <patternFill patternType="solid">
          <bgColor theme="1" tint="0.499984740745262"/>
        </patternFill>
      </fill>
    </dxf>
    <dxf>
      <font>
        <b/>
        <i val="0"/>
        <color rgb="FF0000FF"/>
      </font>
      <fill>
        <patternFill patternType="solid">
          <bgColor theme="1" tint="0.499984740745262"/>
        </patternFill>
      </fill>
    </dxf>
    <dxf>
      <font>
        <b/>
        <i val="0"/>
        <color rgb="FF00FFFF"/>
      </font>
      <fill>
        <patternFill patternType="solid">
          <bgColor theme="1" tint="0.499984740745262"/>
        </patternFill>
      </fill>
    </dxf>
    <dxf>
      <font>
        <b/>
        <i val="0"/>
        <strike val="0"/>
        <color theme="0" tint="0.79998168889431442"/>
        <name val="Cambria"/>
        <scheme val="none"/>
      </font>
      <fill>
        <patternFill>
          <bgColor rgb="FF006600"/>
        </patternFill>
      </fill>
    </dxf>
    <dxf>
      <font>
        <b/>
        <i val="0"/>
        <color theme="0" tint="0.79998168889431442"/>
      </font>
      <fill>
        <patternFill>
          <bgColor rgb="FFFF0000"/>
        </patternFill>
      </fill>
    </dxf>
    <dxf>
      <font>
        <b/>
        <i val="0"/>
        <color theme="1"/>
      </font>
      <fill>
        <patternFill patternType="solid">
          <bgColor rgb="FFB2B2B2"/>
        </patternFill>
      </fill>
    </dxf>
    <dxf>
      <font>
        <b/>
        <i val="0"/>
        <color rgb="FF008080"/>
      </font>
      <fill>
        <patternFill patternType="solid">
          <bgColor rgb="FFB2B2B2"/>
        </patternFill>
      </fill>
    </dxf>
    <dxf>
      <font>
        <b/>
        <i val="0"/>
        <color rgb="FF993300"/>
      </font>
      <fill>
        <patternFill patternType="solid">
          <bgColor rgb="FFB2B2B2"/>
        </patternFill>
      </fill>
    </dxf>
    <dxf>
      <font>
        <b/>
        <i val="0"/>
        <color rgb="FFFFFF00"/>
      </font>
      <fill>
        <patternFill patternType="solid">
          <bgColor rgb="FFB2B2B2"/>
        </patternFill>
      </fill>
    </dxf>
    <dxf>
      <font>
        <b/>
        <i val="0"/>
        <color rgb="FF7030A0"/>
      </font>
      <fill>
        <patternFill patternType="solid">
          <bgColor rgb="FFB2B2B2"/>
        </patternFill>
      </fill>
    </dxf>
    <dxf>
      <font>
        <b/>
        <i val="0"/>
        <color theme="0" tint="0.79998168889431442"/>
      </font>
      <fill>
        <patternFill patternType="solid">
          <bgColor rgb="FFB2B2B2"/>
        </patternFill>
      </fill>
    </dxf>
    <dxf>
      <font>
        <b/>
        <i val="0"/>
        <color rgb="FF000080"/>
      </font>
      <fill>
        <patternFill patternType="solid">
          <bgColor rgb="FFB2B2B2"/>
        </patternFill>
      </fill>
    </dxf>
    <dxf>
      <font>
        <b/>
        <i val="0"/>
        <color rgb="FF0000FF"/>
      </font>
      <fill>
        <patternFill patternType="solid">
          <bgColor rgb="FFB2B2B2"/>
        </patternFill>
      </fill>
    </dxf>
    <dxf>
      <font>
        <b/>
        <i val="0"/>
        <color rgb="FF00FFFF"/>
      </font>
      <fill>
        <patternFill patternType="solid">
          <bgColor rgb="FFB2B2B2"/>
        </patternFill>
      </fill>
    </dxf>
    <dxf>
      <font>
        <b/>
        <i val="0"/>
        <strike val="0"/>
        <color theme="0" tint="0.79998168889431442"/>
        <name val="Cambria"/>
        <scheme val="none"/>
      </font>
      <fill>
        <patternFill>
          <bgColor rgb="FF006600"/>
        </patternFill>
      </fill>
    </dxf>
    <dxf>
      <font>
        <b/>
        <i val="0"/>
        <color theme="0" tint="0.79998168889431442"/>
      </font>
      <fill>
        <patternFill>
          <bgColor rgb="FFFF0000"/>
        </patternFill>
      </fill>
    </dxf>
    <dxf>
      <font>
        <b/>
        <i val="0"/>
        <color theme="1"/>
      </font>
      <fill>
        <patternFill patternType="solid">
          <bgColor theme="1" tint="0.499984740745262"/>
        </patternFill>
      </fill>
    </dxf>
    <dxf>
      <font>
        <b/>
        <i val="0"/>
        <color rgb="FF008080"/>
      </font>
      <fill>
        <patternFill patternType="solid">
          <bgColor theme="1" tint="0.499984740745262"/>
        </patternFill>
      </fill>
    </dxf>
    <dxf>
      <font>
        <b/>
        <i val="0"/>
        <color rgb="FF993300"/>
      </font>
      <fill>
        <patternFill patternType="solid">
          <bgColor theme="1" tint="0.499984740745262"/>
        </patternFill>
      </fill>
    </dxf>
    <dxf>
      <font>
        <b/>
        <i val="0"/>
        <color rgb="FF7030A0"/>
      </font>
      <fill>
        <patternFill patternType="solid">
          <bgColor theme="1" tint="0.499984740745262"/>
        </patternFill>
      </fill>
    </dxf>
    <dxf>
      <font>
        <b/>
        <i val="0"/>
        <color rgb="FFFFFF00"/>
      </font>
      <fill>
        <patternFill patternType="solid">
          <bgColor theme="1" tint="0.499984740745262"/>
        </patternFill>
      </fill>
    </dxf>
    <dxf>
      <font>
        <b/>
        <i val="0"/>
        <color theme="0" tint="0.79998168889431442"/>
      </font>
      <fill>
        <patternFill patternType="solid">
          <bgColor theme="1" tint="0.499984740745262"/>
        </patternFill>
      </fill>
    </dxf>
    <dxf>
      <font>
        <b/>
        <i val="0"/>
        <color rgb="FF000080"/>
      </font>
      <fill>
        <patternFill patternType="solid">
          <bgColor theme="1" tint="0.499984740745262"/>
        </patternFill>
      </fill>
    </dxf>
    <dxf>
      <font>
        <b/>
        <i val="0"/>
        <color rgb="FF0000FF"/>
      </font>
      <fill>
        <patternFill patternType="solid">
          <bgColor theme="1" tint="0.499984740745262"/>
        </patternFill>
      </fill>
    </dxf>
    <dxf>
      <font>
        <b/>
        <i val="0"/>
        <color rgb="FF00FFFF"/>
      </font>
      <fill>
        <patternFill patternType="solid">
          <bgColor theme="1" tint="0.499984740745262"/>
        </patternFill>
      </fill>
    </dxf>
    <dxf>
      <font>
        <b/>
        <i val="0"/>
        <strike val="0"/>
        <color theme="0" tint="0.79998168889431442"/>
        <name val="Cambria"/>
        <scheme val="none"/>
      </font>
      <fill>
        <patternFill>
          <bgColor rgb="FF006600"/>
        </patternFill>
      </fill>
    </dxf>
    <dxf>
      <font>
        <b/>
        <i val="0"/>
        <color theme="0" tint="0.79998168889431442"/>
      </font>
      <fill>
        <patternFill>
          <bgColor rgb="FFFF0000"/>
        </patternFill>
      </fill>
    </dxf>
    <dxf>
      <font>
        <b/>
        <i val="0"/>
        <color rgb="FF008080"/>
      </font>
      <fill>
        <patternFill patternType="solid">
          <bgColor rgb="FFB2B2B2"/>
        </patternFill>
      </fill>
    </dxf>
    <dxf>
      <font>
        <b/>
        <i val="0"/>
        <color rgb="FF993300"/>
      </font>
      <fill>
        <patternFill patternType="solid">
          <bgColor rgb="FFB2B2B2"/>
        </patternFill>
      </fill>
    </dxf>
    <dxf>
      <font>
        <b/>
        <i val="0"/>
        <color rgb="FF7030A0"/>
      </font>
      <fill>
        <patternFill patternType="solid">
          <bgColor rgb="FFB2B2B2"/>
        </patternFill>
      </fill>
    </dxf>
    <dxf>
      <font>
        <b/>
        <i val="0"/>
        <color rgb="FFFFFF00"/>
      </font>
      <fill>
        <patternFill patternType="solid">
          <bgColor rgb="FFB2B2B2"/>
        </patternFill>
      </fill>
    </dxf>
    <dxf>
      <font>
        <b/>
        <i val="0"/>
        <color theme="0" tint="0.79998168889431442"/>
      </font>
      <fill>
        <patternFill patternType="solid">
          <bgColor rgb="FFB2B2B2"/>
        </patternFill>
      </fill>
    </dxf>
    <dxf>
      <font>
        <b/>
        <i val="0"/>
        <color rgb="FF000080"/>
      </font>
      <fill>
        <patternFill patternType="solid">
          <bgColor rgb="FFB2B2B2"/>
        </patternFill>
      </fill>
    </dxf>
    <dxf>
      <font>
        <b/>
        <i val="0"/>
        <color rgb="FF0000FF"/>
      </font>
      <fill>
        <patternFill patternType="solid">
          <bgColor rgb="FFB2B2B2"/>
        </patternFill>
      </fill>
    </dxf>
    <dxf>
      <font>
        <b/>
        <i val="0"/>
        <color rgb="FF00B0F0"/>
      </font>
      <fill>
        <patternFill patternType="solid">
          <bgColor rgb="FFB2B2B2"/>
        </patternFill>
      </fill>
    </dxf>
    <dxf>
      <font>
        <b/>
        <i val="0"/>
        <strike val="0"/>
        <color theme="0" tint="0.79998168889431442"/>
        <name val="Cambria"/>
        <scheme val="none"/>
      </font>
      <fill>
        <patternFill>
          <bgColor rgb="FF006600"/>
        </patternFill>
      </fill>
    </dxf>
    <dxf>
      <font>
        <b/>
        <i val="0"/>
        <color theme="0" tint="0.79998168889431442"/>
      </font>
      <fill>
        <patternFill>
          <bgColor rgb="FFFF0000"/>
        </patternFill>
      </fill>
    </dxf>
    <dxf>
      <font>
        <b/>
        <i val="0"/>
        <color theme="0" tint="0.79998168889431442"/>
      </font>
      <fill>
        <patternFill>
          <bgColor rgb="FFFF0000"/>
        </patternFill>
      </fill>
    </dxf>
    <dxf>
      <font>
        <b/>
        <i val="0"/>
        <color theme="0" tint="0.79998168889431442"/>
      </font>
      <fill>
        <patternFill>
          <bgColor rgb="FFFF0000"/>
        </patternFill>
      </fill>
    </dxf>
    <dxf>
      <font>
        <b/>
        <i val="0"/>
        <color theme="0" tint="0.79998168889431442"/>
      </font>
      <fill>
        <patternFill>
          <bgColor rgb="FFFF0000"/>
        </patternFill>
      </fill>
    </dxf>
    <dxf>
      <font>
        <b/>
        <i val="0"/>
        <color theme="0" tint="0.79998168889431442"/>
      </font>
      <fill>
        <patternFill>
          <bgColor rgb="FF006600"/>
        </patternFill>
      </fill>
    </dxf>
    <dxf>
      <font>
        <b/>
        <i val="0"/>
        <color theme="0" tint="0.79998168889431442"/>
      </font>
      <fill>
        <patternFill>
          <bgColor rgb="FFFF0000"/>
        </patternFill>
      </fill>
    </dxf>
    <dxf>
      <font>
        <b/>
        <i val="0"/>
        <color theme="0" tint="0.79998168889431442"/>
      </font>
      <fill>
        <patternFill>
          <bgColor rgb="FF006600"/>
        </patternFill>
      </fill>
    </dxf>
    <dxf>
      <font>
        <b/>
        <i val="0"/>
        <color theme="0" tint="0.79998168889431442"/>
      </font>
      <fill>
        <patternFill>
          <bgColor rgb="FFC00000"/>
        </patternFill>
      </fill>
    </dxf>
    <dxf>
      <font>
        <b/>
        <i val="0"/>
        <color theme="0" tint="0.79998168889431442"/>
      </font>
      <fill>
        <patternFill>
          <bgColor rgb="FF006600"/>
        </patternFill>
      </fill>
    </dxf>
    <dxf>
      <font>
        <b/>
        <i val="0"/>
        <color theme="0" tint="0.79998168889431442"/>
      </font>
      <fill>
        <patternFill>
          <bgColor rgb="FFFF0000"/>
        </patternFill>
      </fill>
    </dxf>
    <dxf>
      <font>
        <b/>
        <i val="0"/>
        <color theme="0" tint="0.79998168889431442"/>
      </font>
      <fill>
        <patternFill>
          <bgColor rgb="FF006600"/>
        </patternFill>
      </fill>
    </dxf>
    <dxf>
      <font>
        <b/>
        <i val="0"/>
        <color theme="0" tint="0.79998168889431442"/>
      </font>
      <fill>
        <patternFill>
          <bgColor rgb="FFC00000"/>
        </patternFill>
      </fill>
    </dxf>
    <dxf>
      <font>
        <b/>
        <i val="0"/>
        <color theme="0" tint="0.79998168889431442"/>
      </font>
      <fill>
        <patternFill>
          <bgColor rgb="FF006600"/>
        </patternFill>
      </fill>
    </dxf>
    <dxf>
      <font>
        <b/>
        <i val="0"/>
        <color theme="0" tint="0.79998168889431442"/>
      </font>
      <fill>
        <patternFill>
          <bgColor rgb="FFFF0000"/>
        </patternFill>
      </fill>
    </dxf>
    <dxf>
      <font>
        <b/>
        <i val="0"/>
        <color theme="0" tint="0.79998168889431442"/>
      </font>
      <fill>
        <patternFill>
          <bgColor rgb="FF006600"/>
        </patternFill>
      </fill>
    </dxf>
    <dxf>
      <font>
        <b/>
        <i val="0"/>
        <color theme="0" tint="0.79998168889431442"/>
      </font>
      <fill>
        <patternFill>
          <bgColor rgb="FFC00000"/>
        </patternFill>
      </fill>
    </dxf>
    <dxf>
      <font>
        <b/>
        <i val="0"/>
        <color theme="0" tint="0.79998168889431442"/>
      </font>
      <fill>
        <patternFill>
          <bgColor rgb="FF006600"/>
        </patternFill>
      </fill>
    </dxf>
    <dxf>
      <font>
        <b/>
        <i val="0"/>
        <color theme="0" tint="0.79998168889431442"/>
      </font>
      <fill>
        <patternFill>
          <bgColor rgb="FFFF0000"/>
        </patternFill>
      </fill>
    </dxf>
    <dxf>
      <font>
        <b/>
        <i val="0"/>
        <strike val="0"/>
        <condense val="0"/>
        <extend val="0"/>
        <color indexed="12"/>
      </font>
    </dxf>
    <dxf>
      <font>
        <b/>
        <i val="0"/>
        <strike val="0"/>
        <condense val="0"/>
        <extend val="0"/>
        <color indexed="60"/>
      </font>
    </dxf>
    <dxf>
      <font>
        <b/>
        <i val="0"/>
        <strike val="0"/>
        <condense val="0"/>
        <extend val="0"/>
        <color indexed="8"/>
      </font>
    </dxf>
    <dxf>
      <font>
        <b/>
        <i val="0"/>
        <color rgb="FF008000"/>
      </font>
      <fill>
        <patternFill>
          <bgColor rgb="FF969696"/>
        </patternFill>
      </fill>
    </dxf>
    <dxf>
      <font>
        <b/>
        <i val="0"/>
      </font>
      <fill>
        <patternFill>
          <bgColor rgb="FF00B0F0"/>
        </patternFill>
      </fill>
    </dxf>
    <dxf>
      <font>
        <b/>
        <i val="0"/>
      </font>
      <fill>
        <patternFill>
          <bgColor rgb="FF969696"/>
        </patternFill>
      </fill>
    </dxf>
    <dxf>
      <font>
        <b/>
        <i val="0"/>
        <color theme="1"/>
      </font>
      <fill>
        <patternFill>
          <bgColor rgb="FF969696"/>
        </patternFill>
      </fill>
    </dxf>
    <dxf>
      <font>
        <b/>
        <i val="0"/>
        <color theme="0"/>
      </font>
      <fill>
        <patternFill>
          <bgColor theme="1"/>
        </patternFill>
      </fill>
    </dxf>
    <dxf>
      <font>
        <b/>
        <i val="0"/>
        <color rgb="FF008000"/>
      </font>
      <fill>
        <patternFill>
          <bgColor rgb="FFB2B2B2"/>
        </patternFill>
      </fill>
    </dxf>
    <dxf>
      <font>
        <b/>
        <i val="0"/>
      </font>
      <fill>
        <patternFill>
          <bgColor rgb="FF00B0F0"/>
        </patternFill>
      </fill>
    </dxf>
    <dxf>
      <font>
        <b/>
        <i val="0"/>
      </font>
      <fill>
        <patternFill>
          <bgColor rgb="FFB2B2B2"/>
        </patternFill>
      </fill>
    </dxf>
    <dxf>
      <font>
        <b/>
        <i val="0"/>
        <color theme="1"/>
      </font>
      <fill>
        <patternFill>
          <bgColor rgb="FFB2B2B2"/>
        </patternFill>
      </fill>
    </dxf>
    <dxf>
      <font>
        <b/>
        <i val="0"/>
        <color theme="0" tint="0.79995117038483843"/>
      </font>
      <fill>
        <patternFill>
          <bgColor theme="1"/>
        </patternFill>
      </fill>
    </dxf>
    <dxf>
      <font>
        <b/>
        <i val="0"/>
        <strike val="0"/>
        <color theme="0" tint="0.79998168889431442"/>
        <name val="Cambria"/>
        <scheme val="none"/>
      </font>
      <fill>
        <patternFill>
          <bgColor rgb="FF006600"/>
        </patternFill>
      </fill>
      <border>
        <top style="thin">
          <color indexed="64"/>
        </top>
      </border>
    </dxf>
    <dxf>
      <font>
        <b/>
        <i val="0"/>
        <strike val="0"/>
        <condense val="0"/>
        <extend val="0"/>
        <color indexed="17"/>
      </font>
      <fill>
        <patternFill>
          <bgColor indexed="55"/>
        </patternFill>
      </fill>
      <border>
        <top style="thin">
          <color indexed="64"/>
        </top>
      </border>
    </dxf>
    <dxf>
      <font>
        <b/>
        <i val="0"/>
        <strike val="0"/>
        <condense val="0"/>
        <extend val="0"/>
        <color indexed="9"/>
      </font>
      <fill>
        <patternFill patternType="lightGrid">
          <fgColor rgb="FF00B050"/>
          <bgColor rgb="FF003300"/>
        </patternFill>
      </fill>
      <border>
        <top style="thin">
          <color indexed="64"/>
        </top>
      </border>
    </dxf>
    <dxf>
      <fill>
        <patternFill patternType="solid">
          <bgColor rgb="FF969696"/>
        </patternFill>
      </fill>
    </dxf>
    <dxf>
      <fill>
        <patternFill patternType="solid">
          <fgColor indexed="64"/>
          <bgColor rgb="FF969696"/>
        </patternFill>
      </fill>
      <border>
        <bottom/>
      </border>
    </dxf>
    <dxf>
      <font>
        <b/>
        <i val="0"/>
        <color theme="0" tint="0.79995117038483843"/>
      </font>
      <fill>
        <patternFill patternType="lightGrid">
          <fgColor rgb="FF008000"/>
          <bgColor rgb="FF006600"/>
        </patternFill>
      </fill>
      <border>
        <bottom/>
      </border>
    </dxf>
    <dxf>
      <font>
        <b/>
        <i val="0"/>
        <color theme="0" tint="0.79998168889431442"/>
      </font>
      <fill>
        <patternFill>
          <bgColor rgb="FFFF0000"/>
        </patternFill>
      </fill>
    </dxf>
    <dxf>
      <font>
        <b/>
        <i val="0"/>
        <color theme="0" tint="0.79998168889431442"/>
      </font>
      <fill>
        <patternFill>
          <bgColor rgb="FFFF0000"/>
        </patternFill>
      </fill>
    </dxf>
    <dxf>
      <font>
        <b/>
        <i val="0"/>
      </font>
      <fill>
        <patternFill>
          <bgColor rgb="FFC00000"/>
        </patternFill>
      </fill>
      <border>
        <vertical/>
        <horizontal/>
      </border>
    </dxf>
    <dxf>
      <font>
        <b/>
        <i val="0"/>
        <color theme="0" tint="0.79998168889431442"/>
        <name val="Cambria"/>
        <scheme val="none"/>
      </font>
      <fill>
        <patternFill patternType="lightGrid">
          <fgColor rgb="FF0070C0"/>
          <bgColor theme="3" tint="0.39988402966399123"/>
        </patternFill>
      </fill>
      <border>
        <top style="thin">
          <color indexed="64"/>
        </top>
      </border>
    </dxf>
    <dxf>
      <font>
        <b/>
        <i val="0"/>
        <strike val="0"/>
        <color theme="0" tint="0.79998168889431442"/>
        <name val="Cambria"/>
        <scheme val="none"/>
      </font>
      <fill>
        <patternFill patternType="lightGrid">
          <fgColor rgb="FF0070C0"/>
          <bgColor theme="3" tint="0.39991454817346722"/>
        </patternFill>
      </fill>
      <border>
        <top/>
      </border>
    </dxf>
    <dxf>
      <fill>
        <patternFill patternType="solid">
          <bgColor rgb="FF969696"/>
        </patternFill>
      </fill>
    </dxf>
    <dxf>
      <font>
        <color auto="1"/>
      </font>
      <fill>
        <patternFill>
          <bgColor rgb="FFC00000"/>
        </patternFill>
      </fill>
      <border>
        <top style="thin">
          <color auto="1"/>
        </top>
      </border>
    </dxf>
    <dxf>
      <font>
        <b/>
        <i val="0"/>
        <color theme="0" tint="0.79998168889431442"/>
      </font>
      <fill>
        <patternFill>
          <bgColor rgb="FF7030A0"/>
        </patternFill>
      </fill>
      <border>
        <top style="thin">
          <color auto="1"/>
        </top>
      </border>
    </dxf>
    <dxf>
      <font>
        <b/>
        <i val="0"/>
        <color theme="0" tint="0.79998168889431442"/>
      </font>
      <fill>
        <patternFill>
          <bgColor rgb="FFC00000"/>
        </patternFill>
      </fill>
    </dxf>
    <dxf>
      <font>
        <b/>
        <i val="0"/>
        <color theme="1"/>
      </font>
      <fill>
        <patternFill>
          <bgColor rgb="FFC00000"/>
        </patternFill>
      </fill>
    </dxf>
    <dxf>
      <font>
        <b/>
        <i val="0"/>
        <color theme="1"/>
      </font>
      <fill>
        <patternFill>
          <bgColor theme="0" tint="-0.24994659260841701"/>
        </patternFill>
      </fill>
    </dxf>
    <dxf>
      <font>
        <b/>
        <i val="0"/>
        <color rgb="FF008080"/>
      </font>
      <fill>
        <patternFill>
          <bgColor theme="1" tint="0.499984740745262"/>
        </patternFill>
      </fill>
    </dxf>
    <dxf>
      <font>
        <b/>
        <i val="0"/>
        <color rgb="FF993300"/>
      </font>
      <fill>
        <patternFill>
          <bgColor theme="1" tint="0.499984740745262"/>
        </patternFill>
      </fill>
    </dxf>
    <dxf>
      <font>
        <b/>
        <i val="0"/>
        <color rgb="FF7030A0"/>
      </font>
      <fill>
        <patternFill>
          <bgColor theme="1" tint="0.499984740745262"/>
        </patternFill>
      </fill>
    </dxf>
    <dxf>
      <font>
        <b/>
        <i val="0"/>
        <color rgb="FFFFFF00"/>
      </font>
      <fill>
        <patternFill>
          <bgColor theme="1" tint="0.499984740745262"/>
        </patternFill>
      </fill>
    </dxf>
    <dxf>
      <font>
        <b/>
        <i val="0"/>
        <color theme="0" tint="0.79998168889431442"/>
      </font>
      <fill>
        <patternFill>
          <bgColor theme="1" tint="0.499984740745262"/>
        </patternFill>
      </fill>
    </dxf>
    <dxf>
      <font>
        <b/>
        <i val="0"/>
        <color rgb="FF000080"/>
      </font>
      <fill>
        <patternFill>
          <bgColor theme="1" tint="0.499984740745262"/>
        </patternFill>
      </fill>
    </dxf>
    <dxf>
      <font>
        <b/>
        <i val="0"/>
        <color rgb="FF0000FF"/>
      </font>
      <fill>
        <patternFill>
          <bgColor theme="1" tint="0.499984740745262"/>
        </patternFill>
      </fill>
    </dxf>
    <dxf>
      <font>
        <b/>
        <i val="0"/>
        <color rgb="FF00FFFF"/>
      </font>
      <fill>
        <patternFill>
          <bgColor theme="1" tint="0.499984740745262"/>
        </patternFill>
      </fill>
    </dxf>
    <dxf>
      <font>
        <b/>
        <i val="0"/>
        <strike val="0"/>
        <color auto="1"/>
        <name val="Cambria"/>
        <scheme val="none"/>
      </font>
      <fill>
        <patternFill>
          <bgColor rgb="FF008000"/>
        </patternFill>
      </fill>
    </dxf>
    <dxf>
      <font>
        <b/>
        <i val="0"/>
        <color theme="0" tint="0.79998168889431442"/>
      </font>
      <fill>
        <patternFill>
          <bgColor rgb="FFC00000"/>
        </patternFill>
      </fill>
    </dxf>
    <dxf>
      <font>
        <b/>
        <i val="0"/>
        <color theme="0" tint="0.79998168889431442"/>
      </font>
      <fill>
        <patternFill>
          <bgColor rgb="FFFF0000"/>
        </patternFill>
      </fill>
    </dxf>
    <dxf>
      <font>
        <b/>
        <i val="0"/>
        <color theme="1"/>
      </font>
      <fill>
        <patternFill patternType="solid">
          <bgColor rgb="FFB2B2B2"/>
        </patternFill>
      </fill>
    </dxf>
    <dxf>
      <font>
        <b/>
        <i val="0"/>
        <color rgb="FF008080"/>
      </font>
      <fill>
        <patternFill patternType="solid">
          <bgColor rgb="FFB2B2B2"/>
        </patternFill>
      </fill>
    </dxf>
    <dxf>
      <font>
        <b/>
        <i val="0"/>
        <color rgb="FF993300"/>
      </font>
      <fill>
        <patternFill patternType="solid">
          <bgColor rgb="FFB2B2B2"/>
        </patternFill>
      </fill>
    </dxf>
    <dxf>
      <font>
        <b/>
        <i val="0"/>
        <color rgb="FF7030A0"/>
      </font>
      <fill>
        <patternFill patternType="solid">
          <bgColor rgb="FFB2B2B2"/>
        </patternFill>
      </fill>
    </dxf>
    <dxf>
      <font>
        <b/>
        <i val="0"/>
        <color rgb="FFFFFF00"/>
      </font>
      <fill>
        <patternFill patternType="solid">
          <bgColor rgb="FFB2B2B2"/>
        </patternFill>
      </fill>
    </dxf>
    <dxf>
      <font>
        <b/>
        <i val="0"/>
        <color theme="0" tint="0.79998168889431442"/>
      </font>
      <fill>
        <patternFill patternType="solid">
          <bgColor rgb="FFB2B2B2"/>
        </patternFill>
      </fill>
    </dxf>
    <dxf>
      <font>
        <b/>
        <i val="0"/>
        <color rgb="FF000080"/>
      </font>
      <fill>
        <patternFill patternType="solid">
          <bgColor rgb="FFB2B2B2"/>
        </patternFill>
      </fill>
    </dxf>
    <dxf>
      <font>
        <b/>
        <i val="0"/>
        <color rgb="FF0000FF"/>
      </font>
      <fill>
        <patternFill patternType="solid">
          <bgColor rgb="FFB2B2B2"/>
        </patternFill>
      </fill>
    </dxf>
    <dxf>
      <font>
        <b/>
        <i val="0"/>
        <color rgb="FF0070C0"/>
      </font>
      <fill>
        <patternFill patternType="solid">
          <bgColor rgb="FFB2B2B2"/>
        </patternFill>
      </fill>
    </dxf>
    <dxf>
      <font>
        <b/>
        <i val="0"/>
        <strike val="0"/>
        <color theme="0" tint="0.79998168889431442"/>
        <name val="Cambria"/>
        <scheme val="none"/>
      </font>
      <fill>
        <patternFill>
          <bgColor rgb="FFFF0000"/>
        </patternFill>
      </fill>
    </dxf>
    <dxf>
      <font>
        <b/>
        <i val="0"/>
        <color theme="1"/>
      </font>
      <fill>
        <patternFill patternType="solid">
          <bgColor theme="1" tint="0.499984740745262"/>
        </patternFill>
      </fill>
    </dxf>
    <dxf>
      <font>
        <b/>
        <i val="0"/>
        <color rgb="FF008080"/>
      </font>
      <fill>
        <patternFill patternType="solid">
          <bgColor theme="1" tint="0.499984740745262"/>
        </patternFill>
      </fill>
    </dxf>
    <dxf>
      <font>
        <b/>
        <i val="0"/>
        <color rgb="FF993300"/>
      </font>
      <fill>
        <patternFill patternType="solid">
          <bgColor theme="1" tint="0.499984740745262"/>
        </patternFill>
      </fill>
    </dxf>
    <dxf>
      <font>
        <b/>
        <i val="0"/>
        <color rgb="FF7030A0"/>
      </font>
      <fill>
        <patternFill patternType="solid">
          <bgColor theme="1" tint="0.499984740745262"/>
        </patternFill>
      </fill>
    </dxf>
    <dxf>
      <font>
        <b/>
        <i val="0"/>
        <color rgb="FFFFFF00"/>
      </font>
      <fill>
        <patternFill patternType="solid">
          <bgColor theme="1" tint="0.499984740745262"/>
        </patternFill>
      </fill>
    </dxf>
    <dxf>
      <font>
        <b/>
        <i val="0"/>
        <color theme="0" tint="0.79998168889431442"/>
      </font>
      <fill>
        <patternFill patternType="solid">
          <bgColor theme="1" tint="0.499984740745262"/>
        </patternFill>
      </fill>
    </dxf>
    <dxf>
      <font>
        <b/>
        <i val="0"/>
        <color rgb="FF000080"/>
      </font>
      <fill>
        <patternFill patternType="solid">
          <bgColor rgb="FF808080"/>
        </patternFill>
      </fill>
    </dxf>
    <dxf>
      <font>
        <b/>
        <i val="0"/>
        <color rgb="FF0000FF"/>
      </font>
      <fill>
        <patternFill patternType="solid">
          <bgColor theme="1" tint="0.499984740745262"/>
        </patternFill>
      </fill>
    </dxf>
    <dxf>
      <font>
        <b/>
        <i val="0"/>
        <color auto="1"/>
        <name val="Cambria"/>
        <scheme val="none"/>
      </font>
      <fill>
        <patternFill patternType="solid">
          <bgColor rgb="FF00FFFF"/>
        </patternFill>
      </fill>
    </dxf>
    <dxf>
      <font>
        <b/>
        <i val="0"/>
        <strike val="0"/>
        <color theme="0" tint="0.79998168889431442"/>
        <name val="Cambria"/>
        <scheme val="none"/>
      </font>
      <fill>
        <patternFill>
          <bgColor rgb="FF006600"/>
        </patternFill>
      </fill>
    </dxf>
    <dxf>
      <font>
        <b/>
        <i val="0"/>
        <color theme="0" tint="0.79998168889431442"/>
      </font>
      <fill>
        <patternFill>
          <bgColor rgb="FFFF0000"/>
        </patternFill>
      </fill>
    </dxf>
    <dxf>
      <font>
        <b/>
        <i val="0"/>
        <color theme="0" tint="0.79998168889431442"/>
      </font>
      <fill>
        <patternFill>
          <bgColor rgb="FFFF0000"/>
        </patternFill>
      </fill>
    </dxf>
    <dxf>
      <font>
        <b/>
        <i val="0"/>
        <color theme="0" tint="0.79998168889431442"/>
      </font>
      <fill>
        <patternFill>
          <bgColor rgb="FFFF0000"/>
        </patternFill>
      </fill>
    </dxf>
    <dxf>
      <font>
        <b/>
        <i val="0"/>
        <color theme="1"/>
      </font>
      <fill>
        <patternFill patternType="solid">
          <bgColor rgb="FF969696"/>
        </patternFill>
      </fill>
    </dxf>
    <dxf>
      <font>
        <b/>
        <i val="0"/>
        <color rgb="FF008080"/>
      </font>
      <fill>
        <patternFill patternType="solid">
          <bgColor rgb="FF969696"/>
        </patternFill>
      </fill>
    </dxf>
    <dxf>
      <font>
        <b/>
        <i val="0"/>
        <color rgb="FF993300"/>
      </font>
      <fill>
        <patternFill patternType="solid">
          <bgColor rgb="FF969696"/>
        </patternFill>
      </fill>
    </dxf>
    <dxf>
      <font>
        <b/>
        <i val="0"/>
        <color rgb="FF7030A0"/>
      </font>
      <fill>
        <patternFill patternType="solid">
          <bgColor rgb="FF969696"/>
        </patternFill>
      </fill>
    </dxf>
    <dxf>
      <font>
        <b/>
        <i val="0"/>
        <color rgb="FFFFFF00"/>
      </font>
      <fill>
        <patternFill patternType="solid">
          <bgColor rgb="FF969696"/>
        </patternFill>
      </fill>
    </dxf>
    <dxf>
      <font>
        <b/>
        <i val="0"/>
        <color theme="0" tint="0.79998168889431442"/>
      </font>
      <fill>
        <patternFill patternType="solid">
          <bgColor rgb="FF969696"/>
        </patternFill>
      </fill>
    </dxf>
    <dxf>
      <font>
        <b/>
        <i val="0"/>
        <color rgb="FF000080"/>
      </font>
      <fill>
        <patternFill patternType="solid">
          <bgColor rgb="FF969696"/>
        </patternFill>
      </fill>
    </dxf>
    <dxf>
      <font>
        <b/>
        <i val="0"/>
        <color rgb="FF0000FF"/>
      </font>
      <fill>
        <patternFill patternType="solid">
          <bgColor rgb="FF969696"/>
        </patternFill>
      </fill>
    </dxf>
    <dxf>
      <font>
        <b/>
        <i val="0"/>
        <color rgb="FF0070C0"/>
      </font>
      <fill>
        <patternFill patternType="solid">
          <bgColor rgb="FF969696"/>
        </patternFill>
      </fill>
    </dxf>
    <dxf>
      <font>
        <b/>
        <i val="0"/>
        <color theme="0" tint="0.79998168889431442"/>
      </font>
      <fill>
        <patternFill>
          <bgColor rgb="FF006600"/>
        </patternFill>
      </fill>
    </dxf>
    <dxf>
      <font>
        <b/>
        <i val="0"/>
        <color theme="0" tint="0.79998168889431442"/>
      </font>
      <fill>
        <patternFill>
          <bgColor rgb="FFC00000"/>
        </patternFill>
      </fill>
    </dxf>
    <dxf>
      <font>
        <b/>
        <i val="0"/>
        <color theme="0" tint="0.79998168889431442"/>
      </font>
      <fill>
        <patternFill>
          <bgColor rgb="FF006600"/>
        </patternFill>
      </fill>
    </dxf>
    <dxf>
      <font>
        <b/>
        <i val="0"/>
        <color theme="0" tint="0.79998168889431442"/>
      </font>
      <fill>
        <patternFill>
          <bgColor rgb="FFFF0000"/>
        </patternFill>
      </fill>
    </dxf>
    <dxf>
      <font>
        <b/>
        <i val="0"/>
        <color theme="0" tint="0.79998168889431442"/>
      </font>
      <fill>
        <patternFill>
          <bgColor rgb="FFFF0000"/>
        </patternFill>
      </fill>
    </dxf>
    <dxf>
      <font>
        <b/>
        <i val="0"/>
        <color theme="0" tint="0.79998168889431442"/>
      </font>
      <fill>
        <patternFill>
          <bgColor rgb="FFC00000"/>
        </patternFill>
      </fill>
    </dxf>
    <dxf>
      <font>
        <b/>
        <i val="0"/>
        <color theme="0" tint="0.79998168889431442"/>
      </font>
      <fill>
        <patternFill>
          <bgColor rgb="FFFF0000"/>
        </patternFill>
      </fill>
    </dxf>
    <dxf>
      <font>
        <b/>
        <i val="0"/>
        <color theme="0" tint="0.79998168889431442"/>
      </font>
      <fill>
        <patternFill>
          <bgColor rgb="FFC00000"/>
        </patternFill>
      </fill>
    </dxf>
    <dxf>
      <font>
        <b/>
        <i val="0"/>
        <color theme="0" tint="0.79998168889431442"/>
      </font>
      <fill>
        <patternFill>
          <bgColor rgb="FFFF0000"/>
        </patternFill>
      </fill>
    </dxf>
    <dxf>
      <font>
        <b/>
        <i val="0"/>
        <color theme="0" tint="0.79998168889431442"/>
      </font>
      <fill>
        <patternFill>
          <bgColor rgb="FFC00000"/>
        </patternFill>
      </fill>
    </dxf>
    <dxf>
      <font>
        <b/>
        <i val="0"/>
        <color theme="0" tint="0.79998168889431442"/>
      </font>
      <fill>
        <patternFill>
          <bgColor rgb="FFFF0000"/>
        </patternFill>
      </fill>
    </dxf>
    <dxf>
      <font>
        <b/>
        <i val="0"/>
        <color theme="0" tint="0.79998168889431442"/>
      </font>
      <fill>
        <patternFill>
          <bgColor rgb="FFC00000"/>
        </patternFill>
      </fill>
    </dxf>
    <dxf>
      <font>
        <b/>
        <i val="0"/>
        <color theme="0" tint="0.79998168889431442"/>
      </font>
      <fill>
        <patternFill>
          <bgColor rgb="FFFF0000"/>
        </patternFill>
      </fill>
    </dxf>
    <dxf>
      <font>
        <b/>
        <i val="0"/>
        <strike val="0"/>
        <condense val="0"/>
        <extend val="0"/>
        <color indexed="17"/>
      </font>
    </dxf>
    <dxf>
      <font>
        <b/>
        <i val="0"/>
        <strike val="0"/>
        <condense val="0"/>
        <extend val="0"/>
        <color indexed="60"/>
      </font>
    </dxf>
    <dxf>
      <font>
        <b/>
        <i val="0"/>
        <strike val="0"/>
        <condense val="0"/>
        <extend val="0"/>
        <color indexed="8"/>
      </font>
    </dxf>
    <dxf>
      <font>
        <b/>
        <i val="0"/>
        <strike val="0"/>
        <condense val="0"/>
        <extend val="0"/>
        <color indexed="12"/>
      </font>
    </dxf>
    <dxf>
      <font>
        <b/>
        <i val="0"/>
        <strike val="0"/>
        <condense val="0"/>
        <extend val="0"/>
        <color indexed="60"/>
      </font>
    </dxf>
    <dxf>
      <font>
        <b/>
        <i val="0"/>
        <strike val="0"/>
        <condense val="0"/>
        <extend val="0"/>
        <color indexed="8"/>
      </font>
    </dxf>
    <dxf>
      <font>
        <b/>
        <i val="0"/>
        <color theme="0" tint="0.79998168889431442"/>
      </font>
      <fill>
        <patternFill>
          <bgColor rgb="FFFF0000"/>
        </patternFill>
      </fill>
    </dxf>
    <dxf>
      <font>
        <b/>
        <i val="0"/>
        <strike val="0"/>
        <condense val="0"/>
        <extend val="0"/>
        <color indexed="11"/>
      </font>
      <fill>
        <patternFill>
          <bgColor indexed="8"/>
        </patternFill>
      </fill>
    </dxf>
    <dxf>
      <font>
        <b/>
        <i val="0"/>
        <strike val="0"/>
        <condense val="0"/>
        <extend val="0"/>
        <color indexed="8"/>
      </font>
      <fill>
        <patternFill>
          <bgColor rgb="FFC00000"/>
        </patternFill>
      </fill>
      <border>
        <left/>
        <right/>
        <top style="thin">
          <color indexed="64"/>
        </top>
        <bottom/>
      </border>
    </dxf>
    <dxf>
      <font>
        <strike val="0"/>
        <condense val="0"/>
        <extend val="0"/>
        <color indexed="9"/>
      </font>
      <fill>
        <patternFill>
          <bgColor indexed="10"/>
        </patternFill>
      </fill>
    </dxf>
    <dxf>
      <font>
        <b/>
        <i val="0"/>
        <strike val="0"/>
        <condense val="0"/>
        <extend val="0"/>
        <color indexed="9"/>
      </font>
      <fill>
        <patternFill>
          <bgColor indexed="17"/>
        </patternFill>
      </fill>
    </dxf>
    <dxf>
      <font>
        <b/>
        <i val="0"/>
        <strike val="0"/>
        <condense val="0"/>
        <extend val="0"/>
        <color indexed="9"/>
      </font>
      <fill>
        <patternFill>
          <bgColor indexed="10"/>
        </patternFill>
      </fill>
    </dxf>
    <dxf>
      <font>
        <b/>
        <i val="0"/>
        <strike val="0"/>
        <color rgb="FF0000FF"/>
      </font>
      <fill>
        <patternFill>
          <bgColor rgb="FF00B050"/>
        </patternFill>
      </fill>
    </dxf>
    <dxf>
      <font>
        <strike val="0"/>
        <condense val="0"/>
        <extend val="0"/>
        <color indexed="22"/>
      </font>
    </dxf>
  </dxfs>
  <tableStyles count="0" defaultTableStyle="TableStyleMedium9"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mruColors>
      <color rgb="FF00CCFF"/>
      <color rgb="FF909090"/>
      <color rgb="FFB2B2B2"/>
      <color rgb="FFFC1908"/>
      <color rgb="FF008000"/>
      <color rgb="FF008080"/>
      <color rgb="FF969696"/>
      <color rgb="FF0000FF"/>
      <color rgb="FF808080"/>
      <color rgb="FF000080"/>
    </mruColors>
  </colors>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4.xml"/><Relationship Id="rId13" Type="http://schemas.openxmlformats.org/officeDocument/2006/relationships/externalLink" Target="externalLinks/externalLink9.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externalLink" Target="externalLinks/externalLink3.xml"/><Relationship Id="rId12" Type="http://schemas.openxmlformats.org/officeDocument/2006/relationships/externalLink" Target="externalLinks/externalLink8.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externalLink" Target="externalLinks/externalLink2.xml"/><Relationship Id="rId11" Type="http://schemas.openxmlformats.org/officeDocument/2006/relationships/externalLink" Target="externalLinks/externalLink7.xml"/><Relationship Id="rId5" Type="http://schemas.openxmlformats.org/officeDocument/2006/relationships/externalLink" Target="externalLinks/externalLink1.xml"/><Relationship Id="rId15" Type="http://schemas.openxmlformats.org/officeDocument/2006/relationships/theme" Target="theme/theme1.xml"/><Relationship Id="rId10" Type="http://schemas.openxmlformats.org/officeDocument/2006/relationships/externalLink" Target="externalLinks/externalLink6.xml"/><Relationship Id="rId19" Type="http://schemas.microsoft.com/office/2006/relationships/vbaProject" Target="vbaProject.bin"/><Relationship Id="rId4" Type="http://schemas.microsoft.com/office/2006/relationships/xlMacrosheet" Target="macrosheets/sheet1.xml"/><Relationship Id="rId9" Type="http://schemas.openxmlformats.org/officeDocument/2006/relationships/externalLink" Target="externalLinks/externalLink5.xml"/><Relationship Id="rId14" Type="http://schemas.openxmlformats.org/officeDocument/2006/relationships/externalLink" Target="externalLinks/externalLink10.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_rels/vmlDrawing1.vml.rels><?xml version="1.0" encoding="UTF-8" standalone="yes"?>
<Relationships xmlns="http://schemas.openxmlformats.org/package/2006/relationships"><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xdr:twoCellAnchor editAs="absolute">
    <xdr:from>
      <xdr:col>1</xdr:col>
      <xdr:colOff>0</xdr:colOff>
      <xdr:row>46</xdr:row>
      <xdr:rowOff>439234</xdr:rowOff>
    </xdr:from>
    <xdr:to>
      <xdr:col>3</xdr:col>
      <xdr:colOff>57950</xdr:colOff>
      <xdr:row>46</xdr:row>
      <xdr:rowOff>439234</xdr:rowOff>
    </xdr:to>
    <xdr:sp macro="" textlink="">
      <xdr:nvSpPr>
        <xdr:cNvPr id="55" name="Rectangle 5"/>
        <xdr:cNvSpPr>
          <a:spLocks noChangeArrowheads="1"/>
        </xdr:cNvSpPr>
      </xdr:nvSpPr>
      <xdr:spPr bwMode="auto">
        <a:xfrm>
          <a:off x="0" y="11089597"/>
          <a:ext cx="7989471" cy="0"/>
        </a:xfrm>
        <a:prstGeom prst="rect">
          <a:avLst/>
        </a:prstGeom>
        <a:noFill/>
        <a:ln w="9525">
          <a:noFill/>
          <a:miter lim="800000"/>
          <a:headEnd/>
          <a:tailEnd/>
        </a:ln>
      </xdr:spPr>
    </xdr:sp>
    <xdr:clientData/>
  </xdr:twoCellAnchor>
  <xdr:twoCellAnchor editAs="absolute">
    <xdr:from>
      <xdr:col>1</xdr:col>
      <xdr:colOff>0</xdr:colOff>
      <xdr:row>27</xdr:row>
      <xdr:rowOff>119352</xdr:rowOff>
    </xdr:from>
    <xdr:to>
      <xdr:col>3</xdr:col>
      <xdr:colOff>1128639</xdr:colOff>
      <xdr:row>28</xdr:row>
      <xdr:rowOff>150638</xdr:rowOff>
    </xdr:to>
    <xdr:sp macro="" textlink="" fLocksText="0">
      <xdr:nvSpPr>
        <xdr:cNvPr id="59" name="Rectangle 6"/>
        <xdr:cNvSpPr>
          <a:spLocks noChangeArrowheads="1"/>
        </xdr:cNvSpPr>
      </xdr:nvSpPr>
      <xdr:spPr bwMode="auto">
        <a:xfrm>
          <a:off x="0" y="5102087"/>
          <a:ext cx="9061174" cy="304909"/>
        </a:xfrm>
        <a:prstGeom prst="rect">
          <a:avLst/>
        </a:prstGeom>
        <a:noFill/>
        <a:ln w="9525">
          <a:noFill/>
          <a:miter lim="800000"/>
          <a:headEnd/>
          <a:tailEnd/>
        </a:ln>
      </xdr:spPr>
    </xdr:sp>
    <xdr:clientData fLocksWithSheet="0"/>
  </xdr:twoCellAnchor>
  <xdr:twoCellAnchor editAs="absolute">
    <xdr:from>
      <xdr:col>3</xdr:col>
      <xdr:colOff>57950</xdr:colOff>
      <xdr:row>50</xdr:row>
      <xdr:rowOff>452212</xdr:rowOff>
    </xdr:from>
    <xdr:to>
      <xdr:col>8</xdr:col>
      <xdr:colOff>2937934</xdr:colOff>
      <xdr:row>50</xdr:row>
      <xdr:rowOff>452212</xdr:rowOff>
    </xdr:to>
    <xdr:sp macro="" textlink="" fLocksText="0">
      <xdr:nvSpPr>
        <xdr:cNvPr id="60" name="MISEAJOUR"/>
        <xdr:cNvSpPr>
          <a:spLocks noChangeArrowheads="1"/>
        </xdr:cNvSpPr>
      </xdr:nvSpPr>
      <xdr:spPr bwMode="auto">
        <a:xfrm>
          <a:off x="7989471" y="14215465"/>
          <a:ext cx="7978477" cy="0"/>
        </a:xfrm>
        <a:prstGeom prst="rect">
          <a:avLst/>
        </a:prstGeom>
        <a:noFill/>
        <a:ln w="9525">
          <a:noFill/>
          <a:miter lim="800000"/>
          <a:headEnd/>
          <a:tailEnd/>
        </a:ln>
      </xdr:spPr>
    </xdr:sp>
    <xdr:clientData fLocksWithSheet="0"/>
  </xdr:twoCellAnchor>
  <xdr:twoCellAnchor editAs="absolute">
    <xdr:from>
      <xdr:col>8</xdr:col>
      <xdr:colOff>2937934</xdr:colOff>
      <xdr:row>50</xdr:row>
      <xdr:rowOff>452212</xdr:rowOff>
    </xdr:from>
    <xdr:to>
      <xdr:col>12</xdr:col>
      <xdr:colOff>405166</xdr:colOff>
      <xdr:row>50</xdr:row>
      <xdr:rowOff>452212</xdr:rowOff>
    </xdr:to>
    <xdr:sp macro="" textlink="" fLocksText="0">
      <xdr:nvSpPr>
        <xdr:cNvPr id="61" name="MISEAJOUR"/>
        <xdr:cNvSpPr>
          <a:spLocks noChangeArrowheads="1"/>
        </xdr:cNvSpPr>
      </xdr:nvSpPr>
      <xdr:spPr bwMode="auto">
        <a:xfrm>
          <a:off x="15967948" y="14215465"/>
          <a:ext cx="6042056" cy="0"/>
        </a:xfrm>
        <a:prstGeom prst="rect">
          <a:avLst/>
        </a:prstGeom>
        <a:noFill/>
        <a:ln w="9525">
          <a:noFill/>
          <a:miter lim="800000"/>
          <a:headEnd/>
          <a:tailEnd/>
        </a:ln>
      </xdr:spPr>
    </xdr:sp>
    <xdr:clientData fLocksWithSheet="0"/>
  </xdr:twoCellAnchor>
  <xdr:twoCellAnchor editAs="absolute">
    <xdr:from>
      <xdr:col>3</xdr:col>
      <xdr:colOff>210350</xdr:colOff>
      <xdr:row>50</xdr:row>
      <xdr:rowOff>599726</xdr:rowOff>
    </xdr:from>
    <xdr:to>
      <xdr:col>8</xdr:col>
      <xdr:colOff>3090215</xdr:colOff>
      <xdr:row>50</xdr:row>
      <xdr:rowOff>599726</xdr:rowOff>
    </xdr:to>
    <xdr:sp macro="" textlink="" fLocksText="0">
      <xdr:nvSpPr>
        <xdr:cNvPr id="62" name="MISEAJOUR"/>
        <xdr:cNvSpPr>
          <a:spLocks noChangeArrowheads="1"/>
        </xdr:cNvSpPr>
      </xdr:nvSpPr>
      <xdr:spPr bwMode="auto">
        <a:xfrm>
          <a:off x="8141871" y="14367865"/>
          <a:ext cx="7978477" cy="0"/>
        </a:xfrm>
        <a:prstGeom prst="rect">
          <a:avLst/>
        </a:prstGeom>
        <a:noFill/>
        <a:ln w="9525">
          <a:noFill/>
          <a:miter lim="800000"/>
          <a:headEnd/>
          <a:tailEnd/>
        </a:ln>
      </xdr:spPr>
    </xdr:sp>
    <xdr:clientData fLocksWithSheet="0"/>
  </xdr:twoCellAnchor>
  <xdr:twoCellAnchor editAs="absolute">
    <xdr:from>
      <xdr:col>1</xdr:col>
      <xdr:colOff>145547</xdr:colOff>
      <xdr:row>47</xdr:row>
      <xdr:rowOff>84548</xdr:rowOff>
    </xdr:from>
    <xdr:to>
      <xdr:col>3</xdr:col>
      <xdr:colOff>210350</xdr:colOff>
      <xdr:row>47</xdr:row>
      <xdr:rowOff>84548</xdr:rowOff>
    </xdr:to>
    <xdr:sp macro="" textlink="">
      <xdr:nvSpPr>
        <xdr:cNvPr id="63" name="Rectangle 114"/>
        <xdr:cNvSpPr>
          <a:spLocks noChangeArrowheads="1"/>
        </xdr:cNvSpPr>
      </xdr:nvSpPr>
      <xdr:spPr bwMode="auto">
        <a:xfrm>
          <a:off x="152400" y="11241997"/>
          <a:ext cx="7989471" cy="0"/>
        </a:xfrm>
        <a:prstGeom prst="rect">
          <a:avLst/>
        </a:prstGeom>
        <a:noFill/>
        <a:ln w="9525">
          <a:noFill/>
          <a:miter lim="800000"/>
          <a:headEnd/>
          <a:tailEnd/>
        </a:ln>
      </xdr:spPr>
    </xdr:sp>
    <xdr:clientData/>
  </xdr:twoCellAnchor>
  <xdr:twoCellAnchor editAs="absolute">
    <xdr:from>
      <xdr:col>3</xdr:col>
      <xdr:colOff>361736</xdr:colOff>
      <xdr:row>51</xdr:row>
      <xdr:rowOff>50251</xdr:rowOff>
    </xdr:from>
    <xdr:to>
      <xdr:col>9</xdr:col>
      <xdr:colOff>44872</xdr:colOff>
      <xdr:row>51</xdr:row>
      <xdr:rowOff>50251</xdr:rowOff>
    </xdr:to>
    <xdr:sp macro="" textlink="" fLocksText="0">
      <xdr:nvSpPr>
        <xdr:cNvPr id="66" name="MISEAJOUR"/>
        <xdr:cNvSpPr>
          <a:spLocks noChangeArrowheads="1"/>
        </xdr:cNvSpPr>
      </xdr:nvSpPr>
      <xdr:spPr bwMode="auto">
        <a:xfrm>
          <a:off x="8294271" y="14520265"/>
          <a:ext cx="7978477" cy="0"/>
        </a:xfrm>
        <a:prstGeom prst="rect">
          <a:avLst/>
        </a:prstGeom>
        <a:noFill/>
        <a:ln w="9525">
          <a:noFill/>
          <a:miter lim="800000"/>
          <a:headEnd/>
          <a:tailEnd/>
        </a:ln>
      </xdr:spPr>
    </xdr:sp>
    <xdr:clientData fLocksWithSheet="0"/>
  </xdr:twoCellAnchor>
  <xdr:twoCellAnchor editAs="absolute">
    <xdr:from>
      <xdr:col>8</xdr:col>
      <xdr:colOff>3090215</xdr:colOff>
      <xdr:row>50</xdr:row>
      <xdr:rowOff>599726</xdr:rowOff>
    </xdr:from>
    <xdr:to>
      <xdr:col>12</xdr:col>
      <xdr:colOff>557566</xdr:colOff>
      <xdr:row>50</xdr:row>
      <xdr:rowOff>599726</xdr:rowOff>
    </xdr:to>
    <xdr:sp macro="" textlink="" fLocksText="0">
      <xdr:nvSpPr>
        <xdr:cNvPr id="67" name="MISEAJOUR"/>
        <xdr:cNvSpPr>
          <a:spLocks noChangeArrowheads="1"/>
        </xdr:cNvSpPr>
      </xdr:nvSpPr>
      <xdr:spPr bwMode="auto">
        <a:xfrm>
          <a:off x="16120348" y="14367865"/>
          <a:ext cx="6042056" cy="0"/>
        </a:xfrm>
        <a:prstGeom prst="rect">
          <a:avLst/>
        </a:prstGeom>
        <a:noFill/>
        <a:ln w="9525">
          <a:noFill/>
          <a:miter lim="800000"/>
          <a:headEnd/>
          <a:tailEnd/>
        </a:ln>
      </xdr:spPr>
    </xdr:sp>
    <xdr:clientData fLocksWithSheet="0"/>
  </xdr:twoCellAnchor>
  <xdr:twoCellAnchor editAs="absolute">
    <xdr:from>
      <xdr:col>3</xdr:col>
      <xdr:colOff>514136</xdr:colOff>
      <xdr:row>51</xdr:row>
      <xdr:rowOff>197764</xdr:rowOff>
    </xdr:from>
    <xdr:to>
      <xdr:col>9</xdr:col>
      <xdr:colOff>201742</xdr:colOff>
      <xdr:row>51</xdr:row>
      <xdr:rowOff>197764</xdr:rowOff>
    </xdr:to>
    <xdr:sp macro="" textlink="" fLocksText="0">
      <xdr:nvSpPr>
        <xdr:cNvPr id="68" name="MISEAJOUR"/>
        <xdr:cNvSpPr>
          <a:spLocks noChangeArrowheads="1"/>
        </xdr:cNvSpPr>
      </xdr:nvSpPr>
      <xdr:spPr bwMode="auto">
        <a:xfrm>
          <a:off x="8446671" y="14672665"/>
          <a:ext cx="7978477" cy="0"/>
        </a:xfrm>
        <a:prstGeom prst="rect">
          <a:avLst/>
        </a:prstGeom>
        <a:noFill/>
        <a:ln w="9525">
          <a:noFill/>
          <a:miter lim="800000"/>
          <a:headEnd/>
          <a:tailEnd/>
        </a:ln>
      </xdr:spPr>
    </xdr:sp>
    <xdr:clientData fLocksWithSheet="0"/>
  </xdr:twoCellAnchor>
  <xdr:twoCellAnchor editAs="oneCell">
    <xdr:from>
      <xdr:col>4</xdr:col>
      <xdr:colOff>6851</xdr:colOff>
      <xdr:row>68</xdr:row>
      <xdr:rowOff>6856</xdr:rowOff>
    </xdr:from>
    <xdr:to>
      <xdr:col>4</xdr:col>
      <xdr:colOff>2528579</xdr:colOff>
      <xdr:row>81</xdr:row>
      <xdr:rowOff>143906</xdr:rowOff>
    </xdr:to>
    <xdr:sp macro="[0]!MACRO_REBOOT_TV" textlink="" fLocksText="0">
      <xdr:nvSpPr>
        <xdr:cNvPr id="69" name="Rectangle 1"/>
        <xdr:cNvSpPr>
          <a:spLocks noChangeArrowheads="1"/>
        </xdr:cNvSpPr>
      </xdr:nvSpPr>
      <xdr:spPr bwMode="auto">
        <a:xfrm>
          <a:off x="10477498" y="18351047"/>
          <a:ext cx="2521728" cy="2096870"/>
        </a:xfrm>
        <a:prstGeom prst="rect">
          <a:avLst/>
        </a:prstGeom>
        <a:solidFill>
          <a:srgbClr val="000000"/>
        </a:solidFill>
        <a:ln w="9525">
          <a:solidFill>
            <a:srgbClr val="000000"/>
          </a:solidFill>
          <a:miter lim="800000"/>
          <a:headEnd/>
          <a:tailEnd/>
        </a:ln>
      </xdr:spPr>
      <xdr:txBody>
        <a:bodyPr vertOverflow="clip" wrap="square" lIns="45720" tIns="36576" rIns="45720" bIns="36576" anchor="ctr" upright="1"/>
        <a:lstStyle/>
        <a:p>
          <a:pPr algn="ctr" rtl="0">
            <a:defRPr sz="1000"/>
          </a:pPr>
          <a:r>
            <a:rPr lang="fr-FR" sz="2200" b="1" i="0" u="none" strike="noStrike" baseline="0">
              <a:solidFill>
                <a:srgbClr val="00CCFF"/>
              </a:solidFill>
              <a:latin typeface="Times New Roman"/>
              <a:cs typeface="Times New Roman"/>
            </a:rPr>
            <a:t>TABLEAU              DES                      PROG</a:t>
          </a:r>
        </a:p>
      </xdr:txBody>
    </xdr:sp>
    <xdr:clientData fLocksWithSheet="0"/>
  </xdr:twoCellAnchor>
  <xdr:twoCellAnchor editAs="absolute">
    <xdr:from>
      <xdr:col>1</xdr:col>
      <xdr:colOff>0</xdr:colOff>
      <xdr:row>26</xdr:row>
      <xdr:rowOff>1582</xdr:rowOff>
    </xdr:from>
    <xdr:to>
      <xdr:col>5</xdr:col>
      <xdr:colOff>3872</xdr:colOff>
      <xdr:row>31</xdr:row>
      <xdr:rowOff>13706</xdr:rowOff>
    </xdr:to>
    <xdr:sp macro="[0]!MACRO.VER.JUSTE.OU.FAUX" textlink="" fLocksText="0">
      <xdr:nvSpPr>
        <xdr:cNvPr id="71" name="Rectangle 1944"/>
        <xdr:cNvSpPr>
          <a:spLocks noChangeArrowheads="1"/>
        </xdr:cNvSpPr>
      </xdr:nvSpPr>
      <xdr:spPr bwMode="auto">
        <a:xfrm>
          <a:off x="6853" y="4687122"/>
          <a:ext cx="13012930" cy="1418472"/>
        </a:xfrm>
        <a:prstGeom prst="rect">
          <a:avLst/>
        </a:prstGeom>
        <a:noFill/>
        <a:ln w="9525">
          <a:noFill/>
          <a:miter lim="800000"/>
          <a:headEnd/>
          <a:tailEnd/>
        </a:ln>
      </xdr:spPr>
    </xdr:sp>
    <xdr:clientData fLocksWithSheet="0"/>
  </xdr:twoCellAnchor>
  <xdr:twoCellAnchor editAs="absolute">
    <xdr:from>
      <xdr:col>1</xdr:col>
      <xdr:colOff>5771</xdr:colOff>
      <xdr:row>3</xdr:row>
      <xdr:rowOff>79901</xdr:rowOff>
    </xdr:from>
    <xdr:to>
      <xdr:col>2</xdr:col>
      <xdr:colOff>2533</xdr:colOff>
      <xdr:row>6</xdr:row>
      <xdr:rowOff>40219</xdr:rowOff>
    </xdr:to>
    <xdr:sp macro="[0]!MACRO_OUVRIR_CHAMPIONS_LEAGUE" textlink="" fLocksText="0">
      <xdr:nvSpPr>
        <xdr:cNvPr id="72" name="Rectangle 7"/>
        <xdr:cNvSpPr>
          <a:spLocks noChangeArrowheads="1"/>
        </xdr:cNvSpPr>
      </xdr:nvSpPr>
      <xdr:spPr bwMode="auto">
        <a:xfrm>
          <a:off x="5771" y="333444"/>
          <a:ext cx="5250109" cy="330354"/>
        </a:xfrm>
        <a:prstGeom prst="rect">
          <a:avLst/>
        </a:prstGeom>
        <a:solidFill>
          <a:srgbClr val="B2B2B2"/>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500" b="1" i="0" u="none" strike="noStrike" baseline="0">
              <a:solidFill>
                <a:srgbClr val="0000FF"/>
              </a:solidFill>
              <a:latin typeface="Times New Roman"/>
              <a:cs typeface="Times New Roman"/>
            </a:rPr>
            <a:t>CHAMPION'S LEAGUE</a:t>
          </a:r>
        </a:p>
      </xdr:txBody>
    </xdr:sp>
    <xdr:clientData fLocksWithSheet="0"/>
  </xdr:twoCellAnchor>
  <xdr:twoCellAnchor editAs="absolute">
    <xdr:from>
      <xdr:col>1</xdr:col>
      <xdr:colOff>5772</xdr:colOff>
      <xdr:row>6</xdr:row>
      <xdr:rowOff>45852</xdr:rowOff>
    </xdr:from>
    <xdr:to>
      <xdr:col>2</xdr:col>
      <xdr:colOff>1225</xdr:colOff>
      <xdr:row>9</xdr:row>
      <xdr:rowOff>7064</xdr:rowOff>
    </xdr:to>
    <xdr:sp macro="[0]!MACRO_OUVRIR_COUPE_DE_LUEFA_2019_20" textlink="" fLocksText="0">
      <xdr:nvSpPr>
        <xdr:cNvPr id="73" name="Rectangle 11"/>
        <xdr:cNvSpPr>
          <a:spLocks noChangeArrowheads="1"/>
        </xdr:cNvSpPr>
      </xdr:nvSpPr>
      <xdr:spPr bwMode="auto">
        <a:xfrm>
          <a:off x="5772" y="669431"/>
          <a:ext cx="5248800" cy="331248"/>
        </a:xfrm>
        <a:prstGeom prst="rect">
          <a:avLst/>
        </a:prstGeom>
        <a:solidFill>
          <a:schemeClr val="bg1">
            <a:lumMod val="75000"/>
          </a:schemeClr>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500" b="1" i="0" u="none" strike="noStrike" baseline="0">
              <a:solidFill>
                <a:srgbClr val="000080"/>
              </a:solidFill>
              <a:latin typeface="Times New Roman"/>
              <a:cs typeface="Times New Roman"/>
            </a:rPr>
            <a:t>UEFA</a:t>
          </a:r>
        </a:p>
      </xdr:txBody>
    </xdr:sp>
    <xdr:clientData fLocksWithSheet="0"/>
  </xdr:twoCellAnchor>
  <xdr:twoCellAnchor editAs="absolute">
    <xdr:from>
      <xdr:col>1</xdr:col>
      <xdr:colOff>5773</xdr:colOff>
      <xdr:row>9</xdr:row>
      <xdr:rowOff>12051</xdr:rowOff>
    </xdr:from>
    <xdr:to>
      <xdr:col>2</xdr:col>
      <xdr:colOff>1226</xdr:colOff>
      <xdr:row>11</xdr:row>
      <xdr:rowOff>92703</xdr:rowOff>
    </xdr:to>
    <xdr:sp macro="[0]!MACRO_OUVRIR_COUPE_DE_FRANCE_19_20" textlink="" fLocksText="0">
      <xdr:nvSpPr>
        <xdr:cNvPr id="74" name="Rectangle 23"/>
        <xdr:cNvSpPr>
          <a:spLocks noChangeArrowheads="1"/>
        </xdr:cNvSpPr>
      </xdr:nvSpPr>
      <xdr:spPr bwMode="auto">
        <a:xfrm>
          <a:off x="5773" y="1005666"/>
          <a:ext cx="5248800" cy="327343"/>
        </a:xfrm>
        <a:prstGeom prst="rect">
          <a:avLst/>
        </a:prstGeom>
        <a:solidFill>
          <a:srgbClr val="B2B2B2"/>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500" b="1" i="0" u="none" strike="noStrike" baseline="0">
              <a:solidFill>
                <a:schemeClr val="bg1">
                  <a:lumMod val="20000"/>
                  <a:lumOff val="80000"/>
                </a:schemeClr>
              </a:solidFill>
              <a:latin typeface="Times New Roman"/>
              <a:cs typeface="Times New Roman"/>
            </a:rPr>
            <a:t>COUPE DE FRANCE</a:t>
          </a:r>
        </a:p>
      </xdr:txBody>
    </xdr:sp>
    <xdr:clientData fLocksWithSheet="0"/>
  </xdr:twoCellAnchor>
  <xdr:twoCellAnchor editAs="absolute">
    <xdr:from>
      <xdr:col>1</xdr:col>
      <xdr:colOff>0</xdr:colOff>
      <xdr:row>11</xdr:row>
      <xdr:rowOff>101798</xdr:rowOff>
    </xdr:from>
    <xdr:to>
      <xdr:col>2</xdr:col>
      <xdr:colOff>2630</xdr:colOff>
      <xdr:row>14</xdr:row>
      <xdr:rowOff>31481</xdr:rowOff>
    </xdr:to>
    <xdr:sp macro="[0]!MACRO_OUVRIR_COUPE_DE_LA_LIGUE_19_20" textlink="" fLocksText="0">
      <xdr:nvSpPr>
        <xdr:cNvPr id="75" name="Rectangle 23"/>
        <xdr:cNvSpPr>
          <a:spLocks noChangeArrowheads="1"/>
        </xdr:cNvSpPr>
      </xdr:nvSpPr>
      <xdr:spPr bwMode="auto">
        <a:xfrm>
          <a:off x="6853" y="1342104"/>
          <a:ext cx="5251658" cy="299719"/>
        </a:xfrm>
        <a:prstGeom prst="rect">
          <a:avLst/>
        </a:prstGeom>
        <a:solidFill>
          <a:schemeClr val="bg1">
            <a:lumMod val="75000"/>
          </a:schemeClr>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500" b="1" i="0" u="none" strike="noStrike" baseline="0">
              <a:solidFill>
                <a:srgbClr val="FFFF00"/>
              </a:solidFill>
              <a:latin typeface="Times New Roman"/>
              <a:cs typeface="Times New Roman"/>
            </a:rPr>
            <a:t>COUPE DE LA LIGUE</a:t>
          </a:r>
        </a:p>
      </xdr:txBody>
    </xdr:sp>
    <xdr:clientData fLocksWithSheet="0"/>
  </xdr:twoCellAnchor>
  <xdr:twoCellAnchor editAs="absolute">
    <xdr:from>
      <xdr:col>1</xdr:col>
      <xdr:colOff>0</xdr:colOff>
      <xdr:row>14</xdr:row>
      <xdr:rowOff>41064</xdr:rowOff>
    </xdr:from>
    <xdr:to>
      <xdr:col>2</xdr:col>
      <xdr:colOff>3372</xdr:colOff>
      <xdr:row>17</xdr:row>
      <xdr:rowOff>1307</xdr:rowOff>
    </xdr:to>
    <xdr:sp macro="[0]!MACRO_OUVRIR_FORMULE1_19" textlink="" fLocksText="0">
      <xdr:nvSpPr>
        <xdr:cNvPr id="76" name="Rectangle 13"/>
        <xdr:cNvSpPr>
          <a:spLocks noChangeArrowheads="1"/>
        </xdr:cNvSpPr>
      </xdr:nvSpPr>
      <xdr:spPr bwMode="auto">
        <a:xfrm>
          <a:off x="6853" y="1651406"/>
          <a:ext cx="5252400" cy="330279"/>
        </a:xfrm>
        <a:prstGeom prst="rect">
          <a:avLst/>
        </a:prstGeom>
        <a:solidFill>
          <a:srgbClr val="B2B2B2"/>
        </a:solidFill>
        <a:ln w="9525">
          <a:solidFill>
            <a:schemeClr val="tx1"/>
          </a:solidFill>
          <a:miter lim="800000"/>
          <a:headEnd/>
          <a:tailEnd/>
        </a:ln>
      </xdr:spPr>
      <xdr:txBody>
        <a:bodyPr vertOverflow="clip" wrap="square" lIns="36576" tIns="32004" rIns="36576" bIns="32004" anchor="ctr" upright="1"/>
        <a:lstStyle/>
        <a:p>
          <a:pPr algn="ctr" rtl="0">
            <a:defRPr sz="1000"/>
          </a:pPr>
          <a:r>
            <a:rPr lang="fr-FR" sz="1500" b="1" i="0" u="none" strike="noStrike" baseline="0">
              <a:solidFill>
                <a:srgbClr val="7030A0"/>
              </a:solidFill>
              <a:latin typeface="Times New Roman"/>
              <a:cs typeface="Times New Roman"/>
            </a:rPr>
            <a:t>FORMULE 1</a:t>
          </a:r>
        </a:p>
      </xdr:txBody>
    </xdr:sp>
    <xdr:clientData fLocksWithSheet="0"/>
  </xdr:twoCellAnchor>
  <xdr:twoCellAnchor editAs="absolute">
    <xdr:from>
      <xdr:col>3</xdr:col>
      <xdr:colOff>6851</xdr:colOff>
      <xdr:row>1</xdr:row>
      <xdr:rowOff>6853</xdr:rowOff>
    </xdr:from>
    <xdr:to>
      <xdr:col>4</xdr:col>
      <xdr:colOff>2536620</xdr:colOff>
      <xdr:row>3</xdr:row>
      <xdr:rowOff>69650</xdr:rowOff>
    </xdr:to>
    <xdr:sp macro="[0]!MACRO_OUVRIR_MONDIAL_2022" textlink="" fLocksText="0">
      <xdr:nvSpPr>
        <xdr:cNvPr id="77" name="Rectangle 17"/>
        <xdr:cNvSpPr>
          <a:spLocks noChangeArrowheads="1"/>
        </xdr:cNvSpPr>
      </xdr:nvSpPr>
      <xdr:spPr bwMode="auto">
        <a:xfrm>
          <a:off x="7942067" y="13706"/>
          <a:ext cx="5065200" cy="309487"/>
        </a:xfrm>
        <a:prstGeom prst="rect">
          <a:avLst/>
        </a:prstGeom>
        <a:solidFill>
          <a:schemeClr val="bg1">
            <a:lumMod val="75000"/>
          </a:schemeClr>
        </a:solidFill>
        <a:ln w="9525">
          <a:solidFill>
            <a:srgbClr val="000000"/>
          </a:solidFill>
          <a:miter lim="800000"/>
          <a:headEnd/>
          <a:tailEnd/>
        </a:ln>
      </xdr:spPr>
      <xdr:txBody>
        <a:bodyPr vertOverflow="clip" wrap="square" lIns="36576" tIns="27432" rIns="36576" bIns="27432" anchor="ctr" upright="1"/>
        <a:lstStyle/>
        <a:p>
          <a:pPr algn="ctr" rtl="0">
            <a:defRPr sz="1000"/>
          </a:pPr>
          <a:r>
            <a:rPr lang="fr-FR" sz="1500" b="1" i="0" u="none" strike="noStrike" baseline="0">
              <a:solidFill>
                <a:srgbClr val="993300"/>
              </a:solidFill>
              <a:latin typeface="Times New Roman"/>
              <a:cs typeface="Times New Roman"/>
            </a:rPr>
            <a:t>COUPE DU MONDE</a:t>
          </a:r>
        </a:p>
      </xdr:txBody>
    </xdr:sp>
    <xdr:clientData fLocksWithSheet="0"/>
  </xdr:twoCellAnchor>
  <xdr:twoCellAnchor editAs="absolute">
    <xdr:from>
      <xdr:col>3</xdr:col>
      <xdr:colOff>6854</xdr:colOff>
      <xdr:row>3</xdr:row>
      <xdr:rowOff>76271</xdr:rowOff>
    </xdr:from>
    <xdr:to>
      <xdr:col>4</xdr:col>
      <xdr:colOff>2536623</xdr:colOff>
      <xdr:row>6</xdr:row>
      <xdr:rowOff>36589</xdr:rowOff>
    </xdr:to>
    <xdr:sp macro="[0]!MACRO_OUVRIR_EURO_2020" textlink="" fLocksText="0">
      <xdr:nvSpPr>
        <xdr:cNvPr id="78" name="Rectangle 20"/>
        <xdr:cNvSpPr>
          <a:spLocks noChangeArrowheads="1"/>
        </xdr:cNvSpPr>
      </xdr:nvSpPr>
      <xdr:spPr bwMode="auto">
        <a:xfrm>
          <a:off x="7942070" y="329814"/>
          <a:ext cx="5065200" cy="330354"/>
        </a:xfrm>
        <a:prstGeom prst="rect">
          <a:avLst/>
        </a:prstGeom>
        <a:solidFill>
          <a:srgbClr val="B2B2B2"/>
        </a:solidFill>
        <a:ln w="9525">
          <a:solidFill>
            <a:srgbClr val="000000"/>
          </a:solidFill>
          <a:miter lim="800000"/>
          <a:headEnd/>
          <a:tailEnd/>
        </a:ln>
      </xdr:spPr>
      <xdr:txBody>
        <a:bodyPr vertOverflow="clip" wrap="square" lIns="36576" tIns="27432" rIns="36576" bIns="27432" anchor="ctr" upright="1"/>
        <a:lstStyle/>
        <a:p>
          <a:pPr algn="ctr" rtl="0">
            <a:defRPr sz="1000"/>
          </a:pPr>
          <a:r>
            <a:rPr lang="fr-FR" sz="1500" b="1" i="0" u="none" strike="noStrike" baseline="0">
              <a:solidFill>
                <a:srgbClr val="008080"/>
              </a:solidFill>
              <a:latin typeface="Times New Roman"/>
              <a:cs typeface="Times New Roman"/>
            </a:rPr>
            <a:t>EURO</a:t>
          </a:r>
        </a:p>
      </xdr:txBody>
    </xdr:sp>
    <xdr:clientData fLocksWithSheet="0"/>
  </xdr:twoCellAnchor>
  <xdr:twoCellAnchor editAs="absolute">
    <xdr:from>
      <xdr:col>3</xdr:col>
      <xdr:colOff>6852</xdr:colOff>
      <xdr:row>6</xdr:row>
      <xdr:rowOff>39670</xdr:rowOff>
    </xdr:from>
    <xdr:to>
      <xdr:col>4</xdr:col>
      <xdr:colOff>2536621</xdr:colOff>
      <xdr:row>9</xdr:row>
      <xdr:rowOff>6916</xdr:rowOff>
    </xdr:to>
    <xdr:sp macro="[0]!MACRO_OUVRIR_CONFEDERATIONS_2021" textlink="" fLocksText="0">
      <xdr:nvSpPr>
        <xdr:cNvPr id="79" name="Rectangle 23"/>
        <xdr:cNvSpPr>
          <a:spLocks noChangeArrowheads="1"/>
        </xdr:cNvSpPr>
      </xdr:nvSpPr>
      <xdr:spPr bwMode="auto">
        <a:xfrm>
          <a:off x="7942068" y="663249"/>
          <a:ext cx="5065200" cy="337282"/>
        </a:xfrm>
        <a:prstGeom prst="rect">
          <a:avLst/>
        </a:prstGeom>
        <a:solidFill>
          <a:schemeClr val="bg1">
            <a:lumMod val="75000"/>
          </a:schemeClr>
        </a:solidFill>
        <a:ln w="9525">
          <a:solidFill>
            <a:srgbClr val="000000"/>
          </a:solidFill>
          <a:miter lim="800000"/>
          <a:headEnd/>
          <a:tailEnd/>
        </a:ln>
      </xdr:spPr>
      <xdr:txBody>
        <a:bodyPr vertOverflow="clip" wrap="square" lIns="36576" tIns="27432" rIns="36576" bIns="27432" anchor="ctr" upright="1"/>
        <a:lstStyle/>
        <a:p>
          <a:pPr algn="ctr" rtl="0">
            <a:defRPr sz="1000"/>
          </a:pPr>
          <a:r>
            <a:rPr lang="fr-FR" sz="1500" b="1" i="0" u="none" strike="noStrike" baseline="0">
              <a:solidFill>
                <a:srgbClr val="000000"/>
              </a:solidFill>
              <a:latin typeface="Times New Roman"/>
              <a:cs typeface="Times New Roman"/>
            </a:rPr>
            <a:t>CONFEDERATIONS</a:t>
          </a:r>
        </a:p>
      </xdr:txBody>
    </xdr:sp>
    <xdr:clientData fLocksWithSheet="0"/>
  </xdr:twoCellAnchor>
  <xdr:twoCellAnchor editAs="absolute">
    <xdr:from>
      <xdr:col>3</xdr:col>
      <xdr:colOff>6851</xdr:colOff>
      <xdr:row>9</xdr:row>
      <xdr:rowOff>11938</xdr:rowOff>
    </xdr:from>
    <xdr:to>
      <xdr:col>4</xdr:col>
      <xdr:colOff>2220</xdr:colOff>
      <xdr:row>11</xdr:row>
      <xdr:rowOff>88048</xdr:rowOff>
    </xdr:to>
    <xdr:sp macro="[0]!MACRO_OUVRIR_ENVIES" textlink="" fLocksText="0">
      <xdr:nvSpPr>
        <xdr:cNvPr id="80" name="Rectangle 29"/>
        <xdr:cNvSpPr>
          <a:spLocks noChangeArrowheads="1"/>
        </xdr:cNvSpPr>
      </xdr:nvSpPr>
      <xdr:spPr bwMode="auto">
        <a:xfrm>
          <a:off x="7942067" y="1005553"/>
          <a:ext cx="2530800" cy="322801"/>
        </a:xfrm>
        <a:prstGeom prst="rect">
          <a:avLst/>
        </a:prstGeom>
        <a:solidFill>
          <a:srgbClr val="B2B2B2"/>
        </a:solidFill>
        <a:ln w="9525">
          <a:solidFill>
            <a:srgbClr val="000000"/>
          </a:solidFill>
          <a:miter lim="800000"/>
          <a:headEnd/>
          <a:tailEnd/>
        </a:ln>
      </xdr:spPr>
      <xdr:txBody>
        <a:bodyPr vertOverflow="clip" wrap="square" lIns="36576" tIns="27432" rIns="36576" bIns="27432" anchor="ctr" upright="1"/>
        <a:lstStyle/>
        <a:p>
          <a:pPr algn="ctr" rtl="0">
            <a:defRPr sz="1000"/>
          </a:pPr>
          <a:r>
            <a:rPr lang="fr-FR" sz="1500" b="1" i="0" u="none" strike="noStrike" baseline="0">
              <a:solidFill>
                <a:srgbClr val="FF6600"/>
              </a:solidFill>
              <a:latin typeface="Times New Roman"/>
              <a:cs typeface="Times New Roman"/>
            </a:rPr>
            <a:t>ENVIES</a:t>
          </a:r>
        </a:p>
      </xdr:txBody>
    </xdr:sp>
    <xdr:clientData fLocksWithSheet="0"/>
  </xdr:twoCellAnchor>
  <xdr:twoCellAnchor editAs="absolute">
    <xdr:from>
      <xdr:col>4</xdr:col>
      <xdr:colOff>2554</xdr:colOff>
      <xdr:row>11</xdr:row>
      <xdr:rowOff>94706</xdr:rowOff>
    </xdr:from>
    <xdr:to>
      <xdr:col>4</xdr:col>
      <xdr:colOff>2536954</xdr:colOff>
      <xdr:row>14</xdr:row>
      <xdr:rowOff>25933</xdr:rowOff>
    </xdr:to>
    <xdr:sp macro="[0]!MACRO_OUVRIR_SALAIRE" textlink="" fLocksText="0">
      <xdr:nvSpPr>
        <xdr:cNvPr id="81" name="Rectangle 28"/>
        <xdr:cNvSpPr>
          <a:spLocks noChangeArrowheads="1"/>
        </xdr:cNvSpPr>
      </xdr:nvSpPr>
      <xdr:spPr bwMode="auto">
        <a:xfrm>
          <a:off x="10473201" y="1335012"/>
          <a:ext cx="2534400" cy="301263"/>
        </a:xfrm>
        <a:prstGeom prst="rect">
          <a:avLst/>
        </a:prstGeom>
        <a:solidFill>
          <a:schemeClr val="bg1">
            <a:lumMod val="75000"/>
          </a:schemeClr>
        </a:solidFill>
        <a:ln w="9525">
          <a:solidFill>
            <a:srgbClr val="000000"/>
          </a:solidFill>
          <a:miter lim="800000"/>
          <a:headEnd/>
          <a:tailEnd/>
        </a:ln>
      </xdr:spPr>
      <xdr:txBody>
        <a:bodyPr vertOverflow="clip" wrap="square" lIns="36576" tIns="27432" rIns="36576" bIns="27432" anchor="ctr" upright="1"/>
        <a:lstStyle/>
        <a:p>
          <a:pPr algn="ctr" rtl="0">
            <a:defRPr sz="1000"/>
          </a:pPr>
          <a:r>
            <a:rPr lang="fr-FR" sz="1500" b="1" i="0" u="none" strike="noStrike" baseline="0">
              <a:solidFill>
                <a:srgbClr val="00FFFF"/>
              </a:solidFill>
              <a:latin typeface="Times New Roman"/>
              <a:cs typeface="Times New Roman"/>
            </a:rPr>
            <a:t>SALAIRE</a:t>
          </a:r>
        </a:p>
      </xdr:txBody>
    </xdr:sp>
    <xdr:clientData fLocksWithSheet="0"/>
  </xdr:twoCellAnchor>
  <xdr:twoCellAnchor editAs="absolute">
    <xdr:from>
      <xdr:col>4</xdr:col>
      <xdr:colOff>1779</xdr:colOff>
      <xdr:row>9</xdr:row>
      <xdr:rowOff>11936</xdr:rowOff>
    </xdr:from>
    <xdr:to>
      <xdr:col>4</xdr:col>
      <xdr:colOff>2536179</xdr:colOff>
      <xdr:row>11</xdr:row>
      <xdr:rowOff>88050</xdr:rowOff>
    </xdr:to>
    <xdr:sp macro="[0]!MACRO_OUVRE_DIVERS" textlink="" fLocksText="0">
      <xdr:nvSpPr>
        <xdr:cNvPr id="82" name="Rectangle 30"/>
        <xdr:cNvSpPr>
          <a:spLocks noChangeArrowheads="1"/>
        </xdr:cNvSpPr>
      </xdr:nvSpPr>
      <xdr:spPr bwMode="auto">
        <a:xfrm>
          <a:off x="10472426" y="1005551"/>
          <a:ext cx="2534400" cy="322805"/>
        </a:xfrm>
        <a:prstGeom prst="rect">
          <a:avLst/>
        </a:prstGeom>
        <a:solidFill>
          <a:srgbClr val="B2B2B2"/>
        </a:solidFill>
        <a:ln w="9525">
          <a:solidFill>
            <a:srgbClr val="000000"/>
          </a:solidFill>
          <a:miter lim="800000"/>
          <a:headEnd/>
          <a:tailEnd/>
        </a:ln>
      </xdr:spPr>
      <xdr:txBody>
        <a:bodyPr vertOverflow="clip" wrap="square" lIns="36576" tIns="27432" rIns="36576" bIns="27432" anchor="ctr" upright="1"/>
        <a:lstStyle/>
        <a:p>
          <a:pPr algn="ctr" rtl="0">
            <a:defRPr sz="1000"/>
          </a:pPr>
          <a:r>
            <a:rPr lang="fr-FR" sz="1500" b="1" i="0" u="none" strike="noStrike" baseline="0">
              <a:solidFill>
                <a:srgbClr val="FFFF00"/>
              </a:solidFill>
              <a:latin typeface="Times New Roman"/>
              <a:cs typeface="Times New Roman"/>
            </a:rPr>
            <a:t>DIVERS</a:t>
          </a:r>
        </a:p>
      </xdr:txBody>
    </xdr:sp>
    <xdr:clientData fLocksWithSheet="0"/>
  </xdr:twoCellAnchor>
  <xdr:twoCellAnchor editAs="absolute">
    <xdr:from>
      <xdr:col>4</xdr:col>
      <xdr:colOff>1</xdr:colOff>
      <xdr:row>14</xdr:row>
      <xdr:rowOff>34212</xdr:rowOff>
    </xdr:from>
    <xdr:to>
      <xdr:col>4</xdr:col>
      <xdr:colOff>2538001</xdr:colOff>
      <xdr:row>16</xdr:row>
      <xdr:rowOff>107922</xdr:rowOff>
    </xdr:to>
    <xdr:sp macro="[0]!MACRO_EURO" textlink="" fLocksText="0">
      <xdr:nvSpPr>
        <xdr:cNvPr id="84" name="Rectangle 31"/>
        <xdr:cNvSpPr>
          <a:spLocks noChangeArrowheads="1"/>
        </xdr:cNvSpPr>
      </xdr:nvSpPr>
      <xdr:spPr bwMode="auto">
        <a:xfrm>
          <a:off x="10470648" y="1644554"/>
          <a:ext cx="2538000" cy="320400"/>
        </a:xfrm>
        <a:prstGeom prst="rect">
          <a:avLst/>
        </a:prstGeom>
        <a:solidFill>
          <a:srgbClr val="B2B2B2"/>
        </a:solidFill>
        <a:ln w="9525">
          <a:solidFill>
            <a:srgbClr val="000000"/>
          </a:solidFill>
          <a:miter lim="800000"/>
          <a:headEnd/>
          <a:tailEnd/>
        </a:ln>
      </xdr:spPr>
      <xdr:txBody>
        <a:bodyPr vertOverflow="clip" wrap="square" lIns="36576" tIns="27432" rIns="36576" bIns="27432" anchor="ctr" upright="1"/>
        <a:lstStyle/>
        <a:p>
          <a:pPr algn="ctr" rtl="0">
            <a:defRPr sz="1000"/>
          </a:pPr>
          <a:r>
            <a:rPr lang="fr-FR" sz="1500" b="1" i="0" u="none" strike="noStrike" baseline="0">
              <a:solidFill>
                <a:srgbClr val="FFCC00"/>
              </a:solidFill>
              <a:latin typeface="Times New Roman"/>
              <a:cs typeface="Times New Roman"/>
            </a:rPr>
            <a:t>€UROS </a:t>
          </a:r>
          <a:r>
            <a:rPr lang="fr-FR" sz="1500" b="1" i="0" u="none" strike="noStrike" baseline="0">
              <a:solidFill>
                <a:sysClr val="windowText" lastClr="000000"/>
              </a:solidFill>
              <a:latin typeface="Times New Roman"/>
              <a:cs typeface="Times New Roman"/>
            </a:rPr>
            <a:t>=&gt;</a:t>
          </a:r>
          <a:r>
            <a:rPr lang="fr-FR" sz="1500" b="1" i="0" u="none" strike="noStrike" baseline="0">
              <a:solidFill>
                <a:srgbClr val="FFCC00"/>
              </a:solidFill>
              <a:latin typeface="Times New Roman"/>
              <a:cs typeface="Times New Roman"/>
            </a:rPr>
            <a:t> </a:t>
          </a:r>
          <a:r>
            <a:rPr lang="fr-FR" sz="1500" b="1" i="0" u="none" strike="noStrike" baseline="0">
              <a:solidFill>
                <a:srgbClr val="800000"/>
              </a:solidFill>
              <a:latin typeface="Times New Roman"/>
              <a:cs typeface="Times New Roman"/>
            </a:rPr>
            <a:t>FRANCS</a:t>
          </a:r>
        </a:p>
      </xdr:txBody>
    </xdr:sp>
    <xdr:clientData fLocksWithSheet="0"/>
  </xdr:twoCellAnchor>
  <xdr:twoCellAnchor editAs="absolute">
    <xdr:from>
      <xdr:col>1</xdr:col>
      <xdr:colOff>6853</xdr:colOff>
      <xdr:row>46</xdr:row>
      <xdr:rowOff>13704</xdr:rowOff>
    </xdr:from>
    <xdr:to>
      <xdr:col>22</xdr:col>
      <xdr:colOff>6852</xdr:colOff>
      <xdr:row>47</xdr:row>
      <xdr:rowOff>6852</xdr:rowOff>
    </xdr:to>
    <xdr:sp macro="[0]!MACRO.CHERCHE.FICHIER.A.MODIFIER" textlink="" fLocksText="0">
      <xdr:nvSpPr>
        <xdr:cNvPr id="85" name="Rectangle 6"/>
        <xdr:cNvSpPr>
          <a:spLocks noChangeArrowheads="1"/>
        </xdr:cNvSpPr>
      </xdr:nvSpPr>
      <xdr:spPr bwMode="auto">
        <a:xfrm>
          <a:off x="13706" y="10724190"/>
          <a:ext cx="39052499" cy="500234"/>
        </a:xfrm>
        <a:prstGeom prst="rect">
          <a:avLst/>
        </a:prstGeom>
        <a:noFill/>
        <a:ln w="9525">
          <a:noFill/>
          <a:miter lim="800000"/>
          <a:headEnd/>
          <a:tailEnd/>
        </a:ln>
      </xdr:spPr>
    </xdr:sp>
    <xdr:clientData fLocksWithSheet="0"/>
  </xdr:twoCellAnchor>
  <xdr:twoCellAnchor editAs="absolute">
    <xdr:from>
      <xdr:col>3</xdr:col>
      <xdr:colOff>5480</xdr:colOff>
      <xdr:row>11</xdr:row>
      <xdr:rowOff>94704</xdr:rowOff>
    </xdr:from>
    <xdr:to>
      <xdr:col>4</xdr:col>
      <xdr:colOff>1781</xdr:colOff>
      <xdr:row>14</xdr:row>
      <xdr:rowOff>25931</xdr:rowOff>
    </xdr:to>
    <xdr:sp macro="[0]!MACRO_OUVRIR_FACTURE" textlink="" fLocksText="0">
      <xdr:nvSpPr>
        <xdr:cNvPr id="86" name="Rectangle 27"/>
        <xdr:cNvSpPr>
          <a:spLocks noChangeArrowheads="1"/>
        </xdr:cNvSpPr>
      </xdr:nvSpPr>
      <xdr:spPr bwMode="auto">
        <a:xfrm>
          <a:off x="7940696" y="1335010"/>
          <a:ext cx="2529951" cy="301263"/>
        </a:xfrm>
        <a:prstGeom prst="rect">
          <a:avLst/>
        </a:prstGeom>
        <a:solidFill>
          <a:schemeClr val="bg1">
            <a:lumMod val="75000"/>
          </a:schemeClr>
        </a:solidFill>
        <a:ln w="9525">
          <a:solidFill>
            <a:srgbClr val="000000"/>
          </a:solidFill>
          <a:miter lim="800000"/>
          <a:headEnd/>
          <a:tailEnd/>
        </a:ln>
      </xdr:spPr>
      <xdr:txBody>
        <a:bodyPr vertOverflow="clip" wrap="square" lIns="36576" tIns="27432" rIns="36576" bIns="27432" anchor="ctr" upright="1"/>
        <a:lstStyle/>
        <a:p>
          <a:pPr algn="ctr" rtl="0">
            <a:defRPr sz="1000"/>
          </a:pPr>
          <a:r>
            <a:rPr lang="fr-FR" sz="1500" b="1" i="0" u="none" strike="noStrike" baseline="0">
              <a:solidFill>
                <a:srgbClr val="008000"/>
              </a:solidFill>
              <a:latin typeface="Times New Roman"/>
              <a:cs typeface="Times New Roman"/>
            </a:rPr>
            <a:t>FACTURE</a:t>
          </a:r>
        </a:p>
      </xdr:txBody>
    </xdr:sp>
    <xdr:clientData fLocksWithSheet="0"/>
  </xdr:twoCellAnchor>
  <xdr:twoCellAnchor>
    <xdr:from>
      <xdr:col>5</xdr:col>
      <xdr:colOff>0</xdr:colOff>
      <xdr:row>32</xdr:row>
      <xdr:rowOff>0</xdr:rowOff>
    </xdr:from>
    <xdr:to>
      <xdr:col>5</xdr:col>
      <xdr:colOff>0</xdr:colOff>
      <xdr:row>70</xdr:row>
      <xdr:rowOff>13705</xdr:rowOff>
    </xdr:to>
    <xdr:cxnSp macro="">
      <xdr:nvCxnSpPr>
        <xdr:cNvPr id="98" name="Connecteur droit 57"/>
        <xdr:cNvCxnSpPr>
          <a:cxnSpLocks noChangeShapeType="1"/>
        </xdr:cNvCxnSpPr>
      </xdr:nvCxnSpPr>
      <xdr:spPr bwMode="auto">
        <a:xfrm flipH="1">
          <a:off x="13012932" y="6598975"/>
          <a:ext cx="0" cy="12060431"/>
        </a:xfrm>
        <a:prstGeom prst="line">
          <a:avLst/>
        </a:prstGeom>
        <a:noFill/>
        <a:ln w="15875" algn="ctr">
          <a:solidFill>
            <a:srgbClr val="000000"/>
          </a:solidFill>
          <a:round/>
          <a:headEnd/>
          <a:tailEnd/>
        </a:ln>
      </xdr:spPr>
    </xdr:cxnSp>
    <xdr:clientData/>
  </xdr:twoCellAnchor>
  <xdr:twoCellAnchor editAs="absolute">
    <xdr:from>
      <xdr:col>3</xdr:col>
      <xdr:colOff>6852</xdr:colOff>
      <xdr:row>14</xdr:row>
      <xdr:rowOff>34265</xdr:rowOff>
    </xdr:from>
    <xdr:to>
      <xdr:col>4</xdr:col>
      <xdr:colOff>1781</xdr:colOff>
      <xdr:row>16</xdr:row>
      <xdr:rowOff>107975</xdr:rowOff>
    </xdr:to>
    <xdr:sp macro="[0]!MACRO_ATTEINDRE_PHRASES" textlink="">
      <xdr:nvSpPr>
        <xdr:cNvPr id="101" name="Rectangle 30"/>
        <xdr:cNvSpPr>
          <a:spLocks noChangeArrowheads="1"/>
        </xdr:cNvSpPr>
      </xdr:nvSpPr>
      <xdr:spPr bwMode="auto">
        <a:xfrm>
          <a:off x="7942068" y="1644607"/>
          <a:ext cx="2530360" cy="320400"/>
        </a:xfrm>
        <a:prstGeom prst="rect">
          <a:avLst/>
        </a:prstGeom>
        <a:solidFill>
          <a:srgbClr val="B2B2B2"/>
        </a:solidFill>
        <a:ln w="9525">
          <a:solidFill>
            <a:srgbClr val="000000"/>
          </a:solidFill>
          <a:miter lim="800000"/>
          <a:headEnd/>
          <a:tailEnd/>
        </a:ln>
      </xdr:spPr>
      <xdr:txBody>
        <a:bodyPr vertOverflow="clip" wrap="square" lIns="36576" tIns="27432" rIns="36576" bIns="27432" anchor="ctr" upright="1"/>
        <a:lstStyle/>
        <a:p>
          <a:pPr algn="ctr" rtl="0">
            <a:defRPr sz="1000"/>
          </a:pPr>
          <a:r>
            <a:rPr lang="fr-FR" sz="1500" b="1" i="0" u="none" strike="noStrike" baseline="0">
              <a:solidFill>
                <a:srgbClr val="00B0F0"/>
              </a:solidFill>
              <a:latin typeface="Times New Roman"/>
              <a:cs typeface="Times New Roman"/>
            </a:rPr>
            <a:t>PHRASES</a:t>
          </a:r>
        </a:p>
      </xdr:txBody>
    </xdr:sp>
    <xdr:clientData fLocksWithSheet="0"/>
  </xdr:twoCellAnchor>
  <xdr:twoCellAnchor editAs="absolute">
    <xdr:from>
      <xdr:col>1</xdr:col>
      <xdr:colOff>5773</xdr:colOff>
      <xdr:row>1</xdr:row>
      <xdr:rowOff>6853</xdr:rowOff>
    </xdr:from>
    <xdr:to>
      <xdr:col>2</xdr:col>
      <xdr:colOff>2630</xdr:colOff>
      <xdr:row>3</xdr:row>
      <xdr:rowOff>74694</xdr:rowOff>
    </xdr:to>
    <xdr:sp macro="[0]!MACRO_OUVRIR_CHAMPIONNAT" textlink="" fLocksText="0">
      <xdr:nvSpPr>
        <xdr:cNvPr id="102" name="Rectangle 1"/>
        <xdr:cNvSpPr>
          <a:spLocks noChangeArrowheads="1"/>
        </xdr:cNvSpPr>
      </xdr:nvSpPr>
      <xdr:spPr bwMode="auto">
        <a:xfrm>
          <a:off x="5773" y="13706"/>
          <a:ext cx="5250108" cy="314531"/>
        </a:xfrm>
        <a:prstGeom prst="rect">
          <a:avLst/>
        </a:prstGeom>
        <a:blipFill>
          <a:blip xmlns:r="http://schemas.openxmlformats.org/officeDocument/2006/relationships" r:embed="rId1" cstate="print"/>
          <a:tile tx="0" ty="0" sx="100000" sy="100000" flip="none" algn="tl"/>
        </a:blipFill>
        <a:ln w="9525">
          <a:solidFill>
            <a:srgbClr val="000000"/>
          </a:solidFill>
          <a:miter lim="800000"/>
          <a:headEnd/>
          <a:tailEnd/>
        </a:ln>
      </xdr:spPr>
      <xdr:txBody>
        <a:bodyPr vertOverflow="clip" wrap="square" lIns="36576" tIns="32004" rIns="36576" bIns="32004" anchor="ctr" upright="1"/>
        <a:lstStyle/>
        <a:p>
          <a:pPr algn="ctr" rtl="0">
            <a:defRPr sz="1000"/>
          </a:pPr>
          <a:r>
            <a:rPr lang="fr-FR" sz="1500" b="1" i="0" u="none" strike="noStrike" baseline="0">
              <a:solidFill>
                <a:srgbClr val="0000FF"/>
              </a:solidFill>
              <a:latin typeface="Times New Roman"/>
              <a:cs typeface="Times New Roman"/>
            </a:rPr>
            <a:t>CHAMPI</a:t>
          </a:r>
          <a:r>
            <a:rPr lang="fr-FR" sz="1500" b="1" i="0" u="none" strike="noStrike" baseline="0">
              <a:solidFill>
                <a:srgbClr val="FFFFFF"/>
              </a:solidFill>
              <a:latin typeface="Times New Roman"/>
              <a:cs typeface="Times New Roman"/>
            </a:rPr>
            <a:t>ONNAT  D</a:t>
          </a:r>
          <a:r>
            <a:rPr lang="fr-FR" sz="1500" b="1" i="0" u="none" strike="noStrike" baseline="0">
              <a:solidFill>
                <a:srgbClr val="FF0000"/>
              </a:solidFill>
              <a:latin typeface="Times New Roman"/>
              <a:cs typeface="Times New Roman"/>
            </a:rPr>
            <a:t>E FRANCE</a:t>
          </a:r>
        </a:p>
      </xdr:txBody>
    </xdr:sp>
    <xdr:clientData fLocksWithSheet="0"/>
  </xdr:twoCellAnchor>
  <xdr:twoCellAnchor>
    <xdr:from>
      <xdr:col>1</xdr:col>
      <xdr:colOff>0</xdr:colOff>
      <xdr:row>16</xdr:row>
      <xdr:rowOff>109641</xdr:rowOff>
    </xdr:from>
    <xdr:to>
      <xdr:col>5</xdr:col>
      <xdr:colOff>0</xdr:colOff>
      <xdr:row>16</xdr:row>
      <xdr:rowOff>109641</xdr:rowOff>
    </xdr:to>
    <xdr:cxnSp macro="">
      <xdr:nvCxnSpPr>
        <xdr:cNvPr id="48" name="Connecteur droit 47"/>
        <xdr:cNvCxnSpPr/>
      </xdr:nvCxnSpPr>
      <xdr:spPr bwMode="auto">
        <a:xfrm>
          <a:off x="6853" y="1966673"/>
          <a:ext cx="13006079" cy="0"/>
        </a:xfrm>
        <a:prstGeom prst="line">
          <a:avLst/>
        </a:prstGeom>
        <a:solidFill>
          <a:srgbClr val="FFFFFF"/>
        </a:solidFill>
        <a:ln w="19050" cap="flat" cmpd="sng" algn="ctr">
          <a:solidFill>
            <a:srgbClr val="000000"/>
          </a:solidFill>
          <a:prstDash val="solid"/>
          <a:round/>
          <a:headEnd type="none" w="med" len="med"/>
          <a:tailEnd type="none" w="med" len="med"/>
        </a:ln>
        <a:effectLst/>
      </xdr:spPr>
    </xdr:cxnSp>
    <xdr:clientData/>
  </xdr:twoCellAnchor>
  <xdr:twoCellAnchor editAs="absolute">
    <xdr:from>
      <xdr:col>1</xdr:col>
      <xdr:colOff>0</xdr:colOff>
      <xdr:row>31</xdr:row>
      <xdr:rowOff>13707</xdr:rowOff>
    </xdr:from>
    <xdr:to>
      <xdr:col>15</xdr:col>
      <xdr:colOff>18173</xdr:colOff>
      <xdr:row>32</xdr:row>
      <xdr:rowOff>11786</xdr:rowOff>
    </xdr:to>
    <xdr:sp macro="[0]!MACRO.CHERCHE.FICHIER.A.MODIFIER" textlink="" fLocksText="0">
      <xdr:nvSpPr>
        <xdr:cNvPr id="49" name="Rectangle 1944"/>
        <xdr:cNvSpPr>
          <a:spLocks noChangeArrowheads="1"/>
        </xdr:cNvSpPr>
      </xdr:nvSpPr>
      <xdr:spPr bwMode="auto">
        <a:xfrm>
          <a:off x="6853" y="6105595"/>
          <a:ext cx="26046420" cy="505166"/>
        </a:xfrm>
        <a:prstGeom prst="rect">
          <a:avLst/>
        </a:prstGeom>
        <a:noFill/>
        <a:ln w="9525">
          <a:noFill/>
          <a:miter lim="800000"/>
          <a:headEnd/>
          <a:tailEnd/>
        </a:ln>
      </xdr:spPr>
    </xdr:sp>
    <xdr:clientData fLocksWithSheet="0"/>
  </xdr:twoCellAnchor>
  <xdr:twoCellAnchor editAs="absolute">
    <xdr:from>
      <xdr:col>1</xdr:col>
      <xdr:colOff>0</xdr:colOff>
      <xdr:row>40</xdr:row>
      <xdr:rowOff>253543</xdr:rowOff>
    </xdr:from>
    <xdr:to>
      <xdr:col>5</xdr:col>
      <xdr:colOff>3872</xdr:colOff>
      <xdr:row>46</xdr:row>
      <xdr:rowOff>7400</xdr:rowOff>
    </xdr:to>
    <xdr:sp macro="[0]!MACRO.VER.JUSTE.OU.FAUX" textlink="" fLocksText="0">
      <xdr:nvSpPr>
        <xdr:cNvPr id="47" name="Rectangle 1944"/>
        <xdr:cNvSpPr>
          <a:spLocks noChangeArrowheads="1"/>
        </xdr:cNvSpPr>
      </xdr:nvSpPr>
      <xdr:spPr bwMode="auto">
        <a:xfrm>
          <a:off x="0" y="9264604"/>
          <a:ext cx="13033488" cy="1445881"/>
        </a:xfrm>
        <a:prstGeom prst="rect">
          <a:avLst/>
        </a:prstGeom>
        <a:noFill/>
        <a:ln w="9525">
          <a:noFill/>
          <a:miter lim="800000"/>
          <a:headEnd/>
          <a:tailEnd/>
        </a:ln>
      </xdr:spPr>
    </xdr:sp>
    <xdr:clientData fLocksWithSheet="0"/>
  </xdr:twoCellAnchor>
  <xdr:twoCellAnchor editAs="oneCell">
    <xdr:from>
      <xdr:col>4</xdr:col>
      <xdr:colOff>6853</xdr:colOff>
      <xdr:row>142</xdr:row>
      <xdr:rowOff>164457</xdr:rowOff>
    </xdr:from>
    <xdr:to>
      <xdr:col>5</xdr:col>
      <xdr:colOff>1252</xdr:colOff>
      <xdr:row>146</xdr:row>
      <xdr:rowOff>47791</xdr:rowOff>
    </xdr:to>
    <xdr:sp macro="[0]!MACRO.ECRIRE.L1" textlink="" fLocksText="0">
      <xdr:nvSpPr>
        <xdr:cNvPr id="64" name="Rectangle 1"/>
        <xdr:cNvSpPr>
          <a:spLocks noChangeArrowheads="1"/>
        </xdr:cNvSpPr>
      </xdr:nvSpPr>
      <xdr:spPr bwMode="auto">
        <a:xfrm flipV="1">
          <a:off x="10477500" y="25237820"/>
          <a:ext cx="2536684" cy="479503"/>
        </a:xfrm>
        <a:prstGeom prst="rect">
          <a:avLst/>
        </a:prstGeom>
        <a:blipFill>
          <a:blip xmlns:r="http://schemas.openxmlformats.org/officeDocument/2006/relationships" r:embed="rId1" cstate="print"/>
          <a:tile tx="0" ty="0" sx="100000" sy="100000" flip="none" algn="tl"/>
        </a:blipFill>
        <a:ln w="9525">
          <a:solidFill>
            <a:srgbClr val="000000"/>
          </a:solidFill>
          <a:miter lim="800000"/>
          <a:headEnd/>
          <a:tailEnd/>
        </a:ln>
      </xdr:spPr>
      <xdr:txBody>
        <a:bodyPr vertOverflow="clip" wrap="square" lIns="36576" tIns="32004" rIns="36576" bIns="32004" anchor="ctr" upright="1"/>
        <a:lstStyle/>
        <a:p>
          <a:pPr algn="ctr" rtl="0">
            <a:defRPr sz="1000"/>
          </a:pPr>
          <a:r>
            <a:rPr lang="fr-FR" sz="1300" b="1" i="0" u="none" strike="noStrike" baseline="0">
              <a:solidFill>
                <a:srgbClr val="0000FF"/>
              </a:solidFill>
              <a:latin typeface="Times New Roman"/>
              <a:cs typeface="Times New Roman"/>
            </a:rPr>
            <a:t>CHAMPI</a:t>
          </a:r>
          <a:r>
            <a:rPr lang="fr-FR" sz="1300" b="1" i="0" u="none" strike="noStrike" baseline="0">
              <a:solidFill>
                <a:schemeClr val="bg1">
                  <a:lumMod val="20000"/>
                  <a:lumOff val="80000"/>
                </a:schemeClr>
              </a:solidFill>
              <a:latin typeface="Times New Roman"/>
              <a:cs typeface="Times New Roman"/>
            </a:rPr>
            <a:t>ONNATD</a:t>
          </a:r>
          <a:r>
            <a:rPr lang="fr-FR" sz="1300" b="1" i="0" u="none" strike="noStrike" baseline="0">
              <a:solidFill>
                <a:srgbClr val="FF0000"/>
              </a:solidFill>
              <a:latin typeface="Times New Roman"/>
              <a:cs typeface="Times New Roman"/>
            </a:rPr>
            <a:t>E FRANCE</a:t>
          </a:r>
        </a:p>
      </xdr:txBody>
    </xdr:sp>
    <xdr:clientData fLocksWithSheet="0"/>
  </xdr:twoCellAnchor>
  <xdr:twoCellAnchor editAs="oneCell">
    <xdr:from>
      <xdr:col>4</xdr:col>
      <xdr:colOff>6851</xdr:colOff>
      <xdr:row>146</xdr:row>
      <xdr:rowOff>54837</xdr:rowOff>
    </xdr:from>
    <xdr:to>
      <xdr:col>5</xdr:col>
      <xdr:colOff>1250</xdr:colOff>
      <xdr:row>149</xdr:row>
      <xdr:rowOff>116328</xdr:rowOff>
    </xdr:to>
    <xdr:sp macro="[0]!MACRO.ECRIRE.LDC" textlink="" fLocksText="0">
      <xdr:nvSpPr>
        <xdr:cNvPr id="87" name="Rectangle 1"/>
        <xdr:cNvSpPr>
          <a:spLocks noChangeArrowheads="1"/>
        </xdr:cNvSpPr>
      </xdr:nvSpPr>
      <xdr:spPr bwMode="auto">
        <a:xfrm flipV="1">
          <a:off x="10477498" y="30349819"/>
          <a:ext cx="2534400" cy="493200"/>
        </a:xfrm>
        <a:prstGeom prst="rect">
          <a:avLst/>
        </a:prstGeom>
        <a:solidFill>
          <a:srgbClr val="B2B2B2"/>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300" b="1" i="0" u="none" strike="noStrike" baseline="0">
              <a:solidFill>
                <a:srgbClr val="0000FF"/>
              </a:solidFill>
              <a:latin typeface="Times New Roman"/>
              <a:cs typeface="Times New Roman"/>
            </a:rPr>
            <a:t>CHAMPION'S LEAGUE</a:t>
          </a:r>
        </a:p>
      </xdr:txBody>
    </xdr:sp>
    <xdr:clientData fLocksWithSheet="0"/>
  </xdr:twoCellAnchor>
  <xdr:twoCellAnchor editAs="oneCell">
    <xdr:from>
      <xdr:col>4</xdr:col>
      <xdr:colOff>6856</xdr:colOff>
      <xdr:row>149</xdr:row>
      <xdr:rowOff>123378</xdr:rowOff>
    </xdr:from>
    <xdr:to>
      <xdr:col>5</xdr:col>
      <xdr:colOff>1255</xdr:colOff>
      <xdr:row>153</xdr:row>
      <xdr:rowOff>40966</xdr:rowOff>
    </xdr:to>
    <xdr:sp macro="[0]!MACRO.ECRIRE.UEFA" textlink="" fLocksText="0">
      <xdr:nvSpPr>
        <xdr:cNvPr id="88" name="Rectangle 1"/>
        <xdr:cNvSpPr>
          <a:spLocks noChangeArrowheads="1"/>
        </xdr:cNvSpPr>
      </xdr:nvSpPr>
      <xdr:spPr bwMode="auto">
        <a:xfrm flipV="1">
          <a:off x="10477503" y="30850069"/>
          <a:ext cx="2534400" cy="493200"/>
        </a:xfrm>
        <a:prstGeom prst="rect">
          <a:avLst/>
        </a:prstGeom>
        <a:solidFill>
          <a:srgbClr val="969696"/>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300" b="1" i="0" u="none" strike="noStrike" baseline="0">
              <a:solidFill>
                <a:srgbClr val="000080"/>
              </a:solidFill>
              <a:latin typeface="Times New Roman"/>
              <a:cs typeface="Times New Roman"/>
            </a:rPr>
            <a:t>UEFA</a:t>
          </a:r>
        </a:p>
      </xdr:txBody>
    </xdr:sp>
    <xdr:clientData fLocksWithSheet="0"/>
  </xdr:twoCellAnchor>
  <xdr:twoCellAnchor editAs="oneCell">
    <xdr:from>
      <xdr:col>4</xdr:col>
      <xdr:colOff>6855</xdr:colOff>
      <xdr:row>153</xdr:row>
      <xdr:rowOff>47974</xdr:rowOff>
    </xdr:from>
    <xdr:to>
      <xdr:col>5</xdr:col>
      <xdr:colOff>1254</xdr:colOff>
      <xdr:row>156</xdr:row>
      <xdr:rowOff>109466</xdr:rowOff>
    </xdr:to>
    <xdr:sp macro="[0]!MACRO.ECRIRE.COUPE.FRANCE" textlink="" fLocksText="0">
      <xdr:nvSpPr>
        <xdr:cNvPr id="89" name="Rectangle 1"/>
        <xdr:cNvSpPr>
          <a:spLocks noChangeArrowheads="1"/>
        </xdr:cNvSpPr>
      </xdr:nvSpPr>
      <xdr:spPr bwMode="auto">
        <a:xfrm flipV="1">
          <a:off x="10477502" y="31350276"/>
          <a:ext cx="2534400" cy="493200"/>
        </a:xfrm>
        <a:prstGeom prst="rect">
          <a:avLst/>
        </a:prstGeom>
        <a:solidFill>
          <a:srgbClr val="B2B2B2"/>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300" b="1" i="0" u="none" strike="noStrike" baseline="0">
              <a:solidFill>
                <a:schemeClr val="bg1">
                  <a:lumMod val="20000"/>
                  <a:lumOff val="80000"/>
                </a:schemeClr>
              </a:solidFill>
              <a:latin typeface="Times New Roman"/>
              <a:cs typeface="Times New Roman"/>
            </a:rPr>
            <a:t>COUPE DE FRANCE</a:t>
          </a:r>
        </a:p>
      </xdr:txBody>
    </xdr:sp>
    <xdr:clientData fLocksWithSheet="0"/>
  </xdr:twoCellAnchor>
  <xdr:twoCellAnchor editAs="oneCell">
    <xdr:from>
      <xdr:col>4</xdr:col>
      <xdr:colOff>6851</xdr:colOff>
      <xdr:row>156</xdr:row>
      <xdr:rowOff>116501</xdr:rowOff>
    </xdr:from>
    <xdr:to>
      <xdr:col>5</xdr:col>
      <xdr:colOff>1250</xdr:colOff>
      <xdr:row>160</xdr:row>
      <xdr:rowOff>34089</xdr:rowOff>
    </xdr:to>
    <xdr:sp macro="[0]!MACRO.ECRIRE.COUPE.LIGUE" textlink="" fLocksText="0">
      <xdr:nvSpPr>
        <xdr:cNvPr id="90" name="Rectangle 1"/>
        <xdr:cNvSpPr>
          <a:spLocks noChangeArrowheads="1"/>
        </xdr:cNvSpPr>
      </xdr:nvSpPr>
      <xdr:spPr bwMode="auto">
        <a:xfrm flipV="1">
          <a:off x="10477498" y="31850512"/>
          <a:ext cx="2534400" cy="493200"/>
        </a:xfrm>
        <a:prstGeom prst="rect">
          <a:avLst/>
        </a:prstGeom>
        <a:solidFill>
          <a:srgbClr val="969696"/>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300" b="1" i="0" u="none" strike="noStrike" baseline="0">
              <a:solidFill>
                <a:srgbClr val="FFFF00"/>
              </a:solidFill>
              <a:latin typeface="Times New Roman"/>
              <a:cs typeface="Times New Roman"/>
            </a:rPr>
            <a:t>COUPE DE LA LIGUE</a:t>
          </a:r>
        </a:p>
      </xdr:txBody>
    </xdr:sp>
    <xdr:clientData fLocksWithSheet="0"/>
  </xdr:twoCellAnchor>
  <xdr:twoCellAnchor editAs="oneCell">
    <xdr:from>
      <xdr:col>4</xdr:col>
      <xdr:colOff>6852</xdr:colOff>
      <xdr:row>160</xdr:row>
      <xdr:rowOff>41116</xdr:rowOff>
    </xdr:from>
    <xdr:to>
      <xdr:col>5</xdr:col>
      <xdr:colOff>1251</xdr:colOff>
      <xdr:row>163</xdr:row>
      <xdr:rowOff>102608</xdr:rowOff>
    </xdr:to>
    <xdr:sp macro="[0]!MACRO.ECRIRE.FORMULE1" textlink="" fLocksText="0">
      <xdr:nvSpPr>
        <xdr:cNvPr id="91" name="Rectangle 1"/>
        <xdr:cNvSpPr>
          <a:spLocks noChangeArrowheads="1"/>
        </xdr:cNvSpPr>
      </xdr:nvSpPr>
      <xdr:spPr bwMode="auto">
        <a:xfrm flipV="1">
          <a:off x="10477499" y="32350738"/>
          <a:ext cx="2534400" cy="493200"/>
        </a:xfrm>
        <a:prstGeom prst="rect">
          <a:avLst/>
        </a:prstGeom>
        <a:solidFill>
          <a:srgbClr val="B2B2B2"/>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300" b="1" i="0" u="none" strike="noStrike" baseline="0">
              <a:solidFill>
                <a:srgbClr val="7030A0"/>
              </a:solidFill>
              <a:latin typeface="Times New Roman"/>
              <a:cs typeface="Times New Roman"/>
            </a:rPr>
            <a:t>FORMULE 1</a:t>
          </a:r>
        </a:p>
      </xdr:txBody>
    </xdr:sp>
    <xdr:clientData fLocksWithSheet="0"/>
  </xdr:twoCellAnchor>
  <xdr:twoCellAnchor editAs="oneCell">
    <xdr:from>
      <xdr:col>4</xdr:col>
      <xdr:colOff>6853</xdr:colOff>
      <xdr:row>163</xdr:row>
      <xdr:rowOff>109643</xdr:rowOff>
    </xdr:from>
    <xdr:to>
      <xdr:col>5</xdr:col>
      <xdr:colOff>1252</xdr:colOff>
      <xdr:row>167</xdr:row>
      <xdr:rowOff>82051</xdr:rowOff>
    </xdr:to>
    <xdr:sp macro="[0]!MACRO.ECRIRE.MONDIAL" textlink="" fLocksText="0">
      <xdr:nvSpPr>
        <xdr:cNvPr id="92" name="Rectangle 1"/>
        <xdr:cNvSpPr>
          <a:spLocks noChangeArrowheads="1"/>
        </xdr:cNvSpPr>
      </xdr:nvSpPr>
      <xdr:spPr bwMode="auto">
        <a:xfrm flipV="1">
          <a:off x="10477500" y="32850974"/>
          <a:ext cx="2534400" cy="493200"/>
        </a:xfrm>
        <a:prstGeom prst="rect">
          <a:avLst/>
        </a:prstGeom>
        <a:solidFill>
          <a:srgbClr val="969696"/>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300" b="1" i="0" u="none" strike="noStrike" baseline="0">
              <a:solidFill>
                <a:srgbClr val="993300"/>
              </a:solidFill>
              <a:latin typeface="Times New Roman"/>
              <a:cs typeface="Times New Roman"/>
            </a:rPr>
            <a:t>COUPE DU MONDE</a:t>
          </a:r>
        </a:p>
      </xdr:txBody>
    </xdr:sp>
    <xdr:clientData fLocksWithSheet="0"/>
  </xdr:twoCellAnchor>
  <xdr:twoCellAnchor editAs="oneCell">
    <xdr:from>
      <xdr:col>4</xdr:col>
      <xdr:colOff>6853</xdr:colOff>
      <xdr:row>167</xdr:row>
      <xdr:rowOff>89083</xdr:rowOff>
    </xdr:from>
    <xdr:to>
      <xdr:col>5</xdr:col>
      <xdr:colOff>1252</xdr:colOff>
      <xdr:row>171</xdr:row>
      <xdr:rowOff>29092</xdr:rowOff>
    </xdr:to>
    <xdr:sp macro="[0]!MACRO.ECRIRE.EURO" textlink="" fLocksText="0">
      <xdr:nvSpPr>
        <xdr:cNvPr id="93" name="Rectangle 1"/>
        <xdr:cNvSpPr>
          <a:spLocks noChangeArrowheads="1"/>
        </xdr:cNvSpPr>
      </xdr:nvSpPr>
      <xdr:spPr bwMode="auto">
        <a:xfrm flipV="1">
          <a:off x="10477500" y="33351205"/>
          <a:ext cx="2534400" cy="460800"/>
        </a:xfrm>
        <a:prstGeom prst="rect">
          <a:avLst/>
        </a:prstGeom>
        <a:solidFill>
          <a:srgbClr val="B2B2B2"/>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300" b="1" i="0" u="none" strike="noStrike" baseline="0">
              <a:solidFill>
                <a:srgbClr val="008080"/>
              </a:solidFill>
              <a:latin typeface="Times New Roman"/>
              <a:cs typeface="Times New Roman"/>
            </a:rPr>
            <a:t>EURO</a:t>
          </a:r>
        </a:p>
      </xdr:txBody>
    </xdr:sp>
    <xdr:clientData fLocksWithSheet="0"/>
  </xdr:twoCellAnchor>
  <xdr:twoCellAnchor editAs="oneCell">
    <xdr:from>
      <xdr:col>4</xdr:col>
      <xdr:colOff>6853</xdr:colOff>
      <xdr:row>171</xdr:row>
      <xdr:rowOff>34262</xdr:rowOff>
    </xdr:from>
    <xdr:to>
      <xdr:col>5</xdr:col>
      <xdr:colOff>1252</xdr:colOff>
      <xdr:row>175</xdr:row>
      <xdr:rowOff>166</xdr:rowOff>
    </xdr:to>
    <xdr:sp macro="[0]!MACRO.ECRIRE.CONFEDERATIONS" textlink="" fLocksText="0">
      <xdr:nvSpPr>
        <xdr:cNvPr id="94" name="Rectangle 1"/>
        <xdr:cNvSpPr>
          <a:spLocks noChangeArrowheads="1"/>
        </xdr:cNvSpPr>
      </xdr:nvSpPr>
      <xdr:spPr bwMode="auto">
        <a:xfrm flipV="1">
          <a:off x="10477500" y="29184874"/>
          <a:ext cx="2536684" cy="500400"/>
        </a:xfrm>
        <a:prstGeom prst="rect">
          <a:avLst/>
        </a:prstGeom>
        <a:solidFill>
          <a:srgbClr val="969696"/>
        </a:solidFill>
        <a:ln w="9525">
          <a:solidFill>
            <a:srgbClr val="000000"/>
          </a:solidFill>
          <a:miter lim="800000"/>
          <a:headEnd/>
          <a:tailEnd/>
        </a:ln>
      </xdr:spPr>
      <xdr:txBody>
        <a:bodyPr vertOverflow="clip" wrap="square" lIns="36576" tIns="32004" rIns="36576" bIns="32004" anchor="ctr" upright="1"/>
        <a:lstStyle/>
        <a:p>
          <a:pPr algn="ctr" rtl="0">
            <a:defRPr sz="1000"/>
          </a:pPr>
          <a:r>
            <a:rPr lang="fr-FR" sz="1300" b="1" i="0" u="none" strike="noStrike" baseline="0">
              <a:solidFill>
                <a:schemeClr val="tx1"/>
              </a:solidFill>
              <a:latin typeface="Times New Roman"/>
              <a:cs typeface="Times New Roman"/>
            </a:rPr>
            <a:t>CONFEDERATIONS</a:t>
          </a:r>
        </a:p>
      </xdr:txBody>
    </xdr:sp>
    <xdr:clientData fLocksWithSheet="0"/>
  </xdr:twoCellAnchor>
  <xdr:twoCellAnchor>
    <xdr:from>
      <xdr:col>1</xdr:col>
      <xdr:colOff>5237255</xdr:colOff>
      <xdr:row>0</xdr:row>
      <xdr:rowOff>0</xdr:rowOff>
    </xdr:from>
    <xdr:to>
      <xdr:col>1</xdr:col>
      <xdr:colOff>5242176</xdr:colOff>
      <xdr:row>16</xdr:row>
      <xdr:rowOff>116493</xdr:rowOff>
    </xdr:to>
    <xdr:cxnSp macro="">
      <xdr:nvCxnSpPr>
        <xdr:cNvPr id="46" name="Connecteur droit 45"/>
        <xdr:cNvCxnSpPr/>
      </xdr:nvCxnSpPr>
      <xdr:spPr bwMode="auto">
        <a:xfrm>
          <a:off x="5244108" y="0"/>
          <a:ext cx="4921" cy="1973525"/>
        </a:xfrm>
        <a:prstGeom prst="line">
          <a:avLst/>
        </a:prstGeom>
        <a:solidFill>
          <a:srgbClr val="FFFFFF"/>
        </a:solidFill>
        <a:ln w="19050" cap="flat" cmpd="sng" algn="ctr">
          <a:solidFill>
            <a:srgbClr val="000000"/>
          </a:solidFill>
          <a:prstDash val="solid"/>
          <a:round/>
          <a:headEnd type="none" w="med" len="med"/>
          <a:tailEnd type="none" w="med" len="med"/>
        </a:ln>
        <a:effectLst/>
      </xdr:spPr>
    </xdr:cxnSp>
    <xdr:clientData/>
  </xdr:twoCellAnchor>
  <xdr:twoCellAnchor editAs="absolute">
    <xdr:from>
      <xdr:col>5</xdr:col>
      <xdr:colOff>0</xdr:colOff>
      <xdr:row>27</xdr:row>
      <xdr:rowOff>0</xdr:rowOff>
    </xdr:from>
    <xdr:to>
      <xdr:col>15</xdr:col>
      <xdr:colOff>3872</xdr:colOff>
      <xdr:row>31</xdr:row>
      <xdr:rowOff>6853</xdr:rowOff>
    </xdr:to>
    <xdr:sp macro="[0]!MACRO.VER.JUSTE.OU.FAUX" textlink="" fLocksText="0">
      <xdr:nvSpPr>
        <xdr:cNvPr id="50" name="Rectangle 1944"/>
        <xdr:cNvSpPr>
          <a:spLocks noChangeArrowheads="1"/>
        </xdr:cNvSpPr>
      </xdr:nvSpPr>
      <xdr:spPr bwMode="auto">
        <a:xfrm>
          <a:off x="13033489" y="4995486"/>
          <a:ext cx="13009951" cy="1103255"/>
        </a:xfrm>
        <a:prstGeom prst="rect">
          <a:avLst/>
        </a:prstGeom>
        <a:noFill/>
        <a:ln w="9525">
          <a:noFill/>
          <a:miter lim="800000"/>
          <a:headEnd/>
          <a:tailEnd/>
        </a:ln>
      </xdr:spPr>
    </xdr:sp>
    <xdr:clientData fLocksWithSheet="0"/>
  </xdr:twoCellAnchor>
  <xdr:twoCellAnchor>
    <xdr:from>
      <xdr:col>1</xdr:col>
      <xdr:colOff>6853</xdr:colOff>
      <xdr:row>23</xdr:row>
      <xdr:rowOff>294659</xdr:rowOff>
    </xdr:from>
    <xdr:to>
      <xdr:col>4</xdr:col>
      <xdr:colOff>2535432</xdr:colOff>
      <xdr:row>24</xdr:row>
      <xdr:rowOff>0</xdr:rowOff>
    </xdr:to>
    <xdr:cxnSp macro="">
      <xdr:nvCxnSpPr>
        <xdr:cNvPr id="51" name="Connecteur droit 50"/>
        <xdr:cNvCxnSpPr/>
      </xdr:nvCxnSpPr>
      <xdr:spPr bwMode="auto">
        <a:xfrm>
          <a:off x="13706" y="4084101"/>
          <a:ext cx="12992373" cy="6852"/>
        </a:xfrm>
        <a:prstGeom prst="line">
          <a:avLst/>
        </a:prstGeom>
        <a:solidFill>
          <a:srgbClr val="FFFFFF"/>
        </a:solidFill>
        <a:ln w="19050" cap="flat" cmpd="sng" algn="ctr">
          <a:solidFill>
            <a:srgbClr val="000000"/>
          </a:solidFill>
          <a:prstDash val="solid"/>
          <a:round/>
          <a:headEnd type="none" w="med" len="med"/>
          <a:tailEnd type="none" w="med" len="med"/>
        </a:ln>
        <a:effectLst/>
      </xdr:spPr>
    </xdr:cxnSp>
    <xdr:clientData/>
  </xdr:twoCellAnchor>
  <xdr:twoCellAnchor editAs="oneCell">
    <xdr:from>
      <xdr:col>4</xdr:col>
      <xdr:colOff>6856</xdr:colOff>
      <xdr:row>54</xdr:row>
      <xdr:rowOff>6853</xdr:rowOff>
    </xdr:from>
    <xdr:to>
      <xdr:col>4</xdr:col>
      <xdr:colOff>2527202</xdr:colOff>
      <xdr:row>68</xdr:row>
      <xdr:rowOff>6852</xdr:rowOff>
    </xdr:to>
    <xdr:sp macro="[0]!MACRO.EFFACE.PROGRAMME" textlink="" fLocksText="0">
      <xdr:nvSpPr>
        <xdr:cNvPr id="52" name="Rectangle 1"/>
        <xdr:cNvSpPr>
          <a:spLocks noChangeArrowheads="1"/>
        </xdr:cNvSpPr>
      </xdr:nvSpPr>
      <xdr:spPr bwMode="auto">
        <a:xfrm>
          <a:off x="10477503" y="16240468"/>
          <a:ext cx="2520346" cy="2110575"/>
        </a:xfrm>
        <a:prstGeom prst="rect">
          <a:avLst/>
        </a:prstGeom>
        <a:solidFill>
          <a:srgbClr val="00B0F0"/>
        </a:solidFill>
        <a:ln w="9525">
          <a:solidFill>
            <a:srgbClr val="000000"/>
          </a:solidFill>
          <a:miter lim="800000"/>
          <a:headEnd/>
          <a:tailEnd/>
        </a:ln>
        <a:effectLst>
          <a:outerShdw blurRad="50800" dist="50800" dir="5400000" algn="ctr" rotWithShape="0">
            <a:srgbClr val="000000"/>
          </a:outerShdw>
        </a:effectLst>
      </xdr:spPr>
      <xdr:txBody>
        <a:bodyPr vertOverflow="clip" wrap="square" lIns="45720" tIns="36576" rIns="45720" bIns="36576" anchor="ctr" upright="1"/>
        <a:lstStyle/>
        <a:p>
          <a:pPr algn="ctr" rtl="0">
            <a:defRPr sz="1000"/>
          </a:pPr>
          <a:r>
            <a:rPr lang="fr-FR" sz="2200" b="1" i="0" u="none" strike="noStrike" baseline="0">
              <a:solidFill>
                <a:schemeClr val="bg1">
                  <a:lumMod val="20000"/>
                  <a:lumOff val="80000"/>
                </a:schemeClr>
              </a:solidFill>
              <a:latin typeface="Times New Roman"/>
              <a:cs typeface="Times New Roman"/>
            </a:rPr>
            <a:t>VU</a:t>
          </a:r>
        </a:p>
      </xdr:txBody>
    </xdr:sp>
    <xdr:clientData fLocksWithSheet="0"/>
  </xdr:twoCellAnchor>
  <xdr:twoCellAnchor editAs="absolute">
    <xdr:from>
      <xdr:col>1</xdr:col>
      <xdr:colOff>0</xdr:colOff>
      <xdr:row>24</xdr:row>
      <xdr:rowOff>0</xdr:rowOff>
    </xdr:from>
    <xdr:to>
      <xdr:col>4</xdr:col>
      <xdr:colOff>2539304</xdr:colOff>
      <xdr:row>26</xdr:row>
      <xdr:rowOff>0</xdr:rowOff>
    </xdr:to>
    <xdr:sp macro="[0]!MACRO_ATTEINDRE_PROGRAMME" textlink="" fLocksText="0">
      <xdr:nvSpPr>
        <xdr:cNvPr id="53" name="Rectangle 1944"/>
        <xdr:cNvSpPr>
          <a:spLocks noChangeArrowheads="1"/>
        </xdr:cNvSpPr>
      </xdr:nvSpPr>
      <xdr:spPr bwMode="auto">
        <a:xfrm>
          <a:off x="0" y="4090953"/>
          <a:ext cx="13009951" cy="603022"/>
        </a:xfrm>
        <a:prstGeom prst="rect">
          <a:avLst/>
        </a:prstGeom>
        <a:noFill/>
        <a:ln w="9525">
          <a:noFill/>
          <a:miter lim="800000"/>
          <a:headEnd/>
          <a:tailEnd/>
        </a:ln>
      </xdr:spPr>
    </xdr:sp>
    <xdr:clientData fLocksWithSheet="0"/>
  </xdr:twoCellAnchor>
  <xdr:twoCellAnchor editAs="absolute">
    <xdr:from>
      <xdr:col>1</xdr:col>
      <xdr:colOff>0</xdr:colOff>
      <xdr:row>22</xdr:row>
      <xdr:rowOff>0</xdr:rowOff>
    </xdr:from>
    <xdr:to>
      <xdr:col>5</xdr:col>
      <xdr:colOff>3872</xdr:colOff>
      <xdr:row>24</xdr:row>
      <xdr:rowOff>0</xdr:rowOff>
    </xdr:to>
    <xdr:sp macro="[0]!MACRO_ATTEINDRE_RDV" textlink="" fLocksText="0">
      <xdr:nvSpPr>
        <xdr:cNvPr id="54" name="Rectangle 1944"/>
        <xdr:cNvSpPr>
          <a:spLocks noChangeArrowheads="1"/>
        </xdr:cNvSpPr>
      </xdr:nvSpPr>
      <xdr:spPr bwMode="auto">
        <a:xfrm>
          <a:off x="6853" y="3487932"/>
          <a:ext cx="13009951" cy="603022"/>
        </a:xfrm>
        <a:prstGeom prst="rect">
          <a:avLst/>
        </a:prstGeom>
        <a:noFill/>
        <a:ln w="9525">
          <a:noFill/>
          <a:miter lim="800000"/>
          <a:headEnd/>
          <a:tailEnd/>
        </a:ln>
      </xdr:spPr>
    </xdr:sp>
    <xdr:clientData fLocksWithSheet="0"/>
  </xdr:twoCellAnchor>
</xdr:wsDr>
</file>

<file path=xl/drawings/drawing2.xml><?xml version="1.0" encoding="utf-8"?>
<xdr:wsDr xmlns:xdr="http://schemas.openxmlformats.org/drawingml/2006/spreadsheetDrawing" xmlns:a="http://schemas.openxmlformats.org/drawingml/2006/main">
  <xdr:twoCellAnchor>
    <xdr:from>
      <xdr:col>3</xdr:col>
      <xdr:colOff>0</xdr:colOff>
      <xdr:row>25</xdr:row>
      <xdr:rowOff>323849</xdr:rowOff>
    </xdr:from>
    <xdr:to>
      <xdr:col>4</xdr:col>
      <xdr:colOff>9525</xdr:colOff>
      <xdr:row>27</xdr:row>
      <xdr:rowOff>9524</xdr:rowOff>
    </xdr:to>
    <xdr:sp macro="[0]!MACRO_OUVRIR_COUPE_DE_LA_LIGUE_07_08" textlink="" fLocksText="0">
      <xdr:nvSpPr>
        <xdr:cNvPr id="61" name="Rectangle 1944"/>
        <xdr:cNvSpPr>
          <a:spLocks noChangeArrowheads="1"/>
        </xdr:cNvSpPr>
      </xdr:nvSpPr>
      <xdr:spPr bwMode="auto">
        <a:xfrm>
          <a:off x="13573125" y="8848724"/>
          <a:ext cx="4533900" cy="333375"/>
        </a:xfrm>
        <a:prstGeom prst="rect">
          <a:avLst/>
        </a:prstGeom>
        <a:noFill/>
        <a:ln w="9525">
          <a:noFill/>
          <a:miter lim="800000"/>
          <a:headEnd/>
          <a:tailEnd/>
        </a:ln>
      </xdr:spPr>
    </xdr:sp>
    <xdr:clientData fLocksWithSheet="0"/>
  </xdr:twoCellAnchor>
  <xdr:twoCellAnchor>
    <xdr:from>
      <xdr:col>2</xdr:col>
      <xdr:colOff>0</xdr:colOff>
      <xdr:row>25</xdr:row>
      <xdr:rowOff>314325</xdr:rowOff>
    </xdr:from>
    <xdr:to>
      <xdr:col>3</xdr:col>
      <xdr:colOff>9525</xdr:colOff>
      <xdr:row>27</xdr:row>
      <xdr:rowOff>9525</xdr:rowOff>
    </xdr:to>
    <xdr:sp macro="[0]!MACRO_OUVRIR_COUPE_DE_LA_LIGUE_08_09" textlink="" fLocksText="0">
      <xdr:nvSpPr>
        <xdr:cNvPr id="62" name="Rectangle 1944"/>
        <xdr:cNvSpPr>
          <a:spLocks noChangeArrowheads="1"/>
        </xdr:cNvSpPr>
      </xdr:nvSpPr>
      <xdr:spPr bwMode="auto">
        <a:xfrm>
          <a:off x="9048750" y="8839200"/>
          <a:ext cx="4533900" cy="342900"/>
        </a:xfrm>
        <a:prstGeom prst="rect">
          <a:avLst/>
        </a:prstGeom>
        <a:noFill/>
        <a:ln w="9525">
          <a:noFill/>
          <a:miter lim="800000"/>
          <a:headEnd/>
          <a:tailEnd/>
        </a:ln>
      </xdr:spPr>
    </xdr:sp>
    <xdr:clientData fLocksWithSheet="0"/>
  </xdr:twoCellAnchor>
  <xdr:twoCellAnchor>
    <xdr:from>
      <xdr:col>1</xdr:col>
      <xdr:colOff>0</xdr:colOff>
      <xdr:row>25</xdr:row>
      <xdr:rowOff>323849</xdr:rowOff>
    </xdr:from>
    <xdr:to>
      <xdr:col>2</xdr:col>
      <xdr:colOff>9525</xdr:colOff>
      <xdr:row>27</xdr:row>
      <xdr:rowOff>9524</xdr:rowOff>
    </xdr:to>
    <xdr:sp macro="[0]!MACRO_OUVRIR_COUPE_DE_LA_LIGUE_09_10" textlink="" fLocksText="0">
      <xdr:nvSpPr>
        <xdr:cNvPr id="63" name="Rectangle 1944"/>
        <xdr:cNvSpPr>
          <a:spLocks noChangeArrowheads="1"/>
        </xdr:cNvSpPr>
      </xdr:nvSpPr>
      <xdr:spPr bwMode="auto">
        <a:xfrm>
          <a:off x="4524375" y="8848724"/>
          <a:ext cx="4533900" cy="333375"/>
        </a:xfrm>
        <a:prstGeom prst="rect">
          <a:avLst/>
        </a:prstGeom>
        <a:noFill/>
        <a:ln w="9525">
          <a:noFill/>
          <a:miter lim="800000"/>
          <a:headEnd/>
          <a:tailEnd/>
        </a:ln>
      </xdr:spPr>
    </xdr:sp>
    <xdr:clientData fLocksWithSheet="0"/>
  </xdr:twoCellAnchor>
  <xdr:twoCellAnchor>
    <xdr:from>
      <xdr:col>0</xdr:col>
      <xdr:colOff>0</xdr:colOff>
      <xdr:row>25</xdr:row>
      <xdr:rowOff>323849</xdr:rowOff>
    </xdr:from>
    <xdr:to>
      <xdr:col>1</xdr:col>
      <xdr:colOff>9525</xdr:colOff>
      <xdr:row>27</xdr:row>
      <xdr:rowOff>9524</xdr:rowOff>
    </xdr:to>
    <xdr:sp macro="[0]!MACRO_OUVRIR_COUPE_DE_LA_LIGUE_10_11" textlink="" fLocksText="0">
      <xdr:nvSpPr>
        <xdr:cNvPr id="64" name="Rectangle 1944"/>
        <xdr:cNvSpPr>
          <a:spLocks noChangeArrowheads="1"/>
        </xdr:cNvSpPr>
      </xdr:nvSpPr>
      <xdr:spPr bwMode="auto">
        <a:xfrm>
          <a:off x="0" y="8848724"/>
          <a:ext cx="4533900" cy="333375"/>
        </a:xfrm>
        <a:prstGeom prst="rect">
          <a:avLst/>
        </a:prstGeom>
        <a:noFill/>
        <a:ln w="9525">
          <a:noFill/>
          <a:miter lim="800000"/>
          <a:headEnd/>
          <a:tailEnd/>
        </a:ln>
      </xdr:spPr>
    </xdr:sp>
    <xdr:clientData fLocksWithSheet="0"/>
  </xdr:twoCellAnchor>
  <xdr:twoCellAnchor>
    <xdr:from>
      <xdr:col>3</xdr:col>
      <xdr:colOff>0</xdr:colOff>
      <xdr:row>25</xdr:row>
      <xdr:rowOff>0</xdr:rowOff>
    </xdr:from>
    <xdr:to>
      <xdr:col>4</xdr:col>
      <xdr:colOff>9525</xdr:colOff>
      <xdr:row>26</xdr:row>
      <xdr:rowOff>0</xdr:rowOff>
    </xdr:to>
    <xdr:sp macro="[0]!MACRO_OUVRIR_COUPE_DE_LA_LIGUE_11_12" textlink="" fLocksText="0">
      <xdr:nvSpPr>
        <xdr:cNvPr id="65" name="Rectangle 1944"/>
        <xdr:cNvSpPr>
          <a:spLocks noChangeArrowheads="1"/>
        </xdr:cNvSpPr>
      </xdr:nvSpPr>
      <xdr:spPr bwMode="auto">
        <a:xfrm>
          <a:off x="13573125" y="8524875"/>
          <a:ext cx="4533900" cy="323850"/>
        </a:xfrm>
        <a:prstGeom prst="rect">
          <a:avLst/>
        </a:prstGeom>
        <a:noFill/>
        <a:ln w="9525">
          <a:noFill/>
          <a:miter lim="800000"/>
          <a:headEnd/>
          <a:tailEnd/>
        </a:ln>
      </xdr:spPr>
    </xdr:sp>
    <xdr:clientData fLocksWithSheet="0"/>
  </xdr:twoCellAnchor>
  <xdr:twoCellAnchor>
    <xdr:from>
      <xdr:col>2</xdr:col>
      <xdr:colOff>0</xdr:colOff>
      <xdr:row>25</xdr:row>
      <xdr:rowOff>0</xdr:rowOff>
    </xdr:from>
    <xdr:to>
      <xdr:col>3</xdr:col>
      <xdr:colOff>9525</xdr:colOff>
      <xdr:row>26</xdr:row>
      <xdr:rowOff>0</xdr:rowOff>
    </xdr:to>
    <xdr:sp macro="[0]!MACRO_OUVRIR_COUPE_DE_LA_LIGUE_12_13" textlink="" fLocksText="0">
      <xdr:nvSpPr>
        <xdr:cNvPr id="66" name="Rectangle 1944"/>
        <xdr:cNvSpPr>
          <a:spLocks noChangeArrowheads="1"/>
        </xdr:cNvSpPr>
      </xdr:nvSpPr>
      <xdr:spPr bwMode="auto">
        <a:xfrm>
          <a:off x="9048750" y="8524875"/>
          <a:ext cx="4533900" cy="323850"/>
        </a:xfrm>
        <a:prstGeom prst="rect">
          <a:avLst/>
        </a:prstGeom>
        <a:noFill/>
        <a:ln w="9525">
          <a:noFill/>
          <a:miter lim="800000"/>
          <a:headEnd/>
          <a:tailEnd/>
        </a:ln>
      </xdr:spPr>
    </xdr:sp>
    <xdr:clientData fLocksWithSheet="0"/>
  </xdr:twoCellAnchor>
  <xdr:twoCellAnchor>
    <xdr:from>
      <xdr:col>1</xdr:col>
      <xdr:colOff>0</xdr:colOff>
      <xdr:row>25</xdr:row>
      <xdr:rowOff>0</xdr:rowOff>
    </xdr:from>
    <xdr:to>
      <xdr:col>2</xdr:col>
      <xdr:colOff>9525</xdr:colOff>
      <xdr:row>26</xdr:row>
      <xdr:rowOff>0</xdr:rowOff>
    </xdr:to>
    <xdr:sp macro="[0]!MACRO_OUVRIR_COUPE_DE_LA_LIGUE_13_14" textlink="" fLocksText="0">
      <xdr:nvSpPr>
        <xdr:cNvPr id="67" name="Rectangle 1944"/>
        <xdr:cNvSpPr>
          <a:spLocks noChangeArrowheads="1"/>
        </xdr:cNvSpPr>
      </xdr:nvSpPr>
      <xdr:spPr bwMode="auto">
        <a:xfrm>
          <a:off x="4524375" y="8524875"/>
          <a:ext cx="4533900" cy="323850"/>
        </a:xfrm>
        <a:prstGeom prst="rect">
          <a:avLst/>
        </a:prstGeom>
        <a:noFill/>
        <a:ln w="9525">
          <a:noFill/>
          <a:miter lim="800000"/>
          <a:headEnd/>
          <a:tailEnd/>
        </a:ln>
      </xdr:spPr>
    </xdr:sp>
    <xdr:clientData fLocksWithSheet="0"/>
  </xdr:twoCellAnchor>
  <xdr:twoCellAnchor>
    <xdr:from>
      <xdr:col>0</xdr:col>
      <xdr:colOff>0</xdr:colOff>
      <xdr:row>25</xdr:row>
      <xdr:rowOff>9524</xdr:rowOff>
    </xdr:from>
    <xdr:to>
      <xdr:col>1</xdr:col>
      <xdr:colOff>9525</xdr:colOff>
      <xdr:row>25</xdr:row>
      <xdr:rowOff>323849</xdr:rowOff>
    </xdr:to>
    <xdr:sp macro="[0]!MACRO_OUVRIR_COUPE_DE_LA_LIGUE_14_15" textlink="" fLocksText="0">
      <xdr:nvSpPr>
        <xdr:cNvPr id="68" name="Rectangle 1944"/>
        <xdr:cNvSpPr>
          <a:spLocks noChangeArrowheads="1"/>
        </xdr:cNvSpPr>
      </xdr:nvSpPr>
      <xdr:spPr bwMode="auto">
        <a:xfrm>
          <a:off x="0" y="8534399"/>
          <a:ext cx="4533900" cy="314325"/>
        </a:xfrm>
        <a:prstGeom prst="rect">
          <a:avLst/>
        </a:prstGeom>
        <a:noFill/>
        <a:ln w="9525">
          <a:noFill/>
          <a:miter lim="800000"/>
          <a:headEnd/>
          <a:tailEnd/>
        </a:ln>
      </xdr:spPr>
    </xdr:sp>
    <xdr:clientData fLocksWithSheet="0"/>
  </xdr:twoCellAnchor>
  <xdr:twoCellAnchor>
    <xdr:from>
      <xdr:col>3</xdr:col>
      <xdr:colOff>0</xdr:colOff>
      <xdr:row>23</xdr:row>
      <xdr:rowOff>314324</xdr:rowOff>
    </xdr:from>
    <xdr:to>
      <xdr:col>4</xdr:col>
      <xdr:colOff>9525</xdr:colOff>
      <xdr:row>24</xdr:row>
      <xdr:rowOff>323849</xdr:rowOff>
    </xdr:to>
    <xdr:sp macro="[0]!MACRO_OUVRIR_COUPE_DE_LA_LIGUE_15_16" textlink="" fLocksText="0">
      <xdr:nvSpPr>
        <xdr:cNvPr id="69" name="Rectangle 1944"/>
        <xdr:cNvSpPr>
          <a:spLocks noChangeArrowheads="1"/>
        </xdr:cNvSpPr>
      </xdr:nvSpPr>
      <xdr:spPr bwMode="auto">
        <a:xfrm>
          <a:off x="13573125" y="8191499"/>
          <a:ext cx="4533900" cy="333375"/>
        </a:xfrm>
        <a:prstGeom prst="rect">
          <a:avLst/>
        </a:prstGeom>
        <a:noFill/>
        <a:ln w="9525">
          <a:noFill/>
          <a:miter lim="800000"/>
          <a:headEnd/>
          <a:tailEnd/>
        </a:ln>
      </xdr:spPr>
    </xdr:sp>
    <xdr:clientData fLocksWithSheet="0"/>
  </xdr:twoCellAnchor>
  <xdr:twoCellAnchor>
    <xdr:from>
      <xdr:col>2</xdr:col>
      <xdr:colOff>0</xdr:colOff>
      <xdr:row>23</xdr:row>
      <xdr:rowOff>314325</xdr:rowOff>
    </xdr:from>
    <xdr:to>
      <xdr:col>3</xdr:col>
      <xdr:colOff>9525</xdr:colOff>
      <xdr:row>24</xdr:row>
      <xdr:rowOff>323849</xdr:rowOff>
    </xdr:to>
    <xdr:sp macro="[0]!MACRO_OUVRIR_COUPE_DE_LA_LIGUE_16_17" textlink="" fLocksText="0">
      <xdr:nvSpPr>
        <xdr:cNvPr id="70" name="Rectangle 1944"/>
        <xdr:cNvSpPr>
          <a:spLocks noChangeArrowheads="1"/>
        </xdr:cNvSpPr>
      </xdr:nvSpPr>
      <xdr:spPr bwMode="auto">
        <a:xfrm>
          <a:off x="9048750" y="8191500"/>
          <a:ext cx="4533900" cy="333374"/>
        </a:xfrm>
        <a:prstGeom prst="rect">
          <a:avLst/>
        </a:prstGeom>
        <a:noFill/>
        <a:ln w="9525">
          <a:noFill/>
          <a:miter lim="800000"/>
          <a:headEnd/>
          <a:tailEnd/>
        </a:ln>
      </xdr:spPr>
    </xdr:sp>
    <xdr:clientData fLocksWithSheet="0"/>
  </xdr:twoCellAnchor>
  <xdr:twoCellAnchor>
    <xdr:from>
      <xdr:col>1</xdr:col>
      <xdr:colOff>0</xdr:colOff>
      <xdr:row>23</xdr:row>
      <xdr:rowOff>314324</xdr:rowOff>
    </xdr:from>
    <xdr:to>
      <xdr:col>1</xdr:col>
      <xdr:colOff>4514850</xdr:colOff>
      <xdr:row>24</xdr:row>
      <xdr:rowOff>323849</xdr:rowOff>
    </xdr:to>
    <xdr:sp macro="[0]!MACRO_OUVRIR_COUPE_DE_LA_LIGUE_17_18" textlink="" fLocksText="0">
      <xdr:nvSpPr>
        <xdr:cNvPr id="71" name="Rectangle 1944"/>
        <xdr:cNvSpPr>
          <a:spLocks noChangeArrowheads="1"/>
        </xdr:cNvSpPr>
      </xdr:nvSpPr>
      <xdr:spPr bwMode="auto">
        <a:xfrm>
          <a:off x="4524375" y="8191499"/>
          <a:ext cx="4514850" cy="333375"/>
        </a:xfrm>
        <a:prstGeom prst="rect">
          <a:avLst/>
        </a:prstGeom>
        <a:noFill/>
        <a:ln w="9525">
          <a:noFill/>
          <a:miter lim="800000"/>
          <a:headEnd/>
          <a:tailEnd/>
        </a:ln>
      </xdr:spPr>
    </xdr:sp>
    <xdr:clientData fLocksWithSheet="0"/>
  </xdr:twoCellAnchor>
  <xdr:twoCellAnchor>
    <xdr:from>
      <xdr:col>3</xdr:col>
      <xdr:colOff>0</xdr:colOff>
      <xdr:row>21</xdr:row>
      <xdr:rowOff>9526</xdr:rowOff>
    </xdr:from>
    <xdr:to>
      <xdr:col>4</xdr:col>
      <xdr:colOff>9525</xdr:colOff>
      <xdr:row>21</xdr:row>
      <xdr:rowOff>314326</xdr:rowOff>
    </xdr:to>
    <xdr:sp macro="[0]!MACRO_OUVRIR_COUPE_DE_FRANCE_07_08" textlink="" fLocksText="0">
      <xdr:nvSpPr>
        <xdr:cNvPr id="72" name="Rectangle 1944"/>
        <xdr:cNvSpPr>
          <a:spLocks noChangeArrowheads="1"/>
        </xdr:cNvSpPr>
      </xdr:nvSpPr>
      <xdr:spPr bwMode="auto">
        <a:xfrm>
          <a:off x="13573125" y="7239001"/>
          <a:ext cx="4533900" cy="304800"/>
        </a:xfrm>
        <a:prstGeom prst="rect">
          <a:avLst/>
        </a:prstGeom>
        <a:noFill/>
        <a:ln w="9525">
          <a:noFill/>
          <a:miter lim="800000"/>
          <a:headEnd/>
          <a:tailEnd/>
        </a:ln>
      </xdr:spPr>
    </xdr:sp>
    <xdr:clientData fLocksWithSheet="0"/>
  </xdr:twoCellAnchor>
  <xdr:twoCellAnchor>
    <xdr:from>
      <xdr:col>1</xdr:col>
      <xdr:colOff>4524374</xdr:colOff>
      <xdr:row>20</xdr:row>
      <xdr:rowOff>314325</xdr:rowOff>
    </xdr:from>
    <xdr:to>
      <xdr:col>2</xdr:col>
      <xdr:colOff>4524374</xdr:colOff>
      <xdr:row>22</xdr:row>
      <xdr:rowOff>0</xdr:rowOff>
    </xdr:to>
    <xdr:sp macro="[0]!MACRO_OUVRIR_COUPE_DE_FRANCE_08_09" textlink="" fLocksText="0">
      <xdr:nvSpPr>
        <xdr:cNvPr id="73" name="Rectangle 1944"/>
        <xdr:cNvSpPr>
          <a:spLocks noChangeArrowheads="1"/>
        </xdr:cNvSpPr>
      </xdr:nvSpPr>
      <xdr:spPr bwMode="auto">
        <a:xfrm>
          <a:off x="9048749" y="7219950"/>
          <a:ext cx="4524375" cy="333375"/>
        </a:xfrm>
        <a:prstGeom prst="rect">
          <a:avLst/>
        </a:prstGeom>
        <a:noFill/>
        <a:ln w="9525">
          <a:noFill/>
          <a:miter lim="800000"/>
          <a:headEnd/>
          <a:tailEnd/>
        </a:ln>
      </xdr:spPr>
    </xdr:sp>
    <xdr:clientData fLocksWithSheet="0"/>
  </xdr:twoCellAnchor>
  <xdr:twoCellAnchor>
    <xdr:from>
      <xdr:col>1</xdr:col>
      <xdr:colOff>0</xdr:colOff>
      <xdr:row>21</xdr:row>
      <xdr:rowOff>1</xdr:rowOff>
    </xdr:from>
    <xdr:to>
      <xdr:col>2</xdr:col>
      <xdr:colOff>0</xdr:colOff>
      <xdr:row>21</xdr:row>
      <xdr:rowOff>304800</xdr:rowOff>
    </xdr:to>
    <xdr:sp macro="[0]!MACRO_OUVRIR_COUPE_DE_FRANCE_09_10" textlink="" fLocksText="0">
      <xdr:nvSpPr>
        <xdr:cNvPr id="74" name="Rectangle 1944"/>
        <xdr:cNvSpPr>
          <a:spLocks noChangeArrowheads="1"/>
        </xdr:cNvSpPr>
      </xdr:nvSpPr>
      <xdr:spPr bwMode="auto">
        <a:xfrm>
          <a:off x="4524375" y="7229476"/>
          <a:ext cx="4524375" cy="304799"/>
        </a:xfrm>
        <a:prstGeom prst="rect">
          <a:avLst/>
        </a:prstGeom>
        <a:noFill/>
        <a:ln w="9525">
          <a:noFill/>
          <a:miter lim="800000"/>
          <a:headEnd/>
          <a:tailEnd/>
        </a:ln>
      </xdr:spPr>
    </xdr:sp>
    <xdr:clientData fLocksWithSheet="0"/>
  </xdr:twoCellAnchor>
  <xdr:twoCellAnchor>
    <xdr:from>
      <xdr:col>0</xdr:col>
      <xdr:colOff>0</xdr:colOff>
      <xdr:row>21</xdr:row>
      <xdr:rowOff>0</xdr:rowOff>
    </xdr:from>
    <xdr:to>
      <xdr:col>1</xdr:col>
      <xdr:colOff>9525</xdr:colOff>
      <xdr:row>21</xdr:row>
      <xdr:rowOff>314325</xdr:rowOff>
    </xdr:to>
    <xdr:sp macro="[0]!MACRO_OUVRIR_COUPE_DE_FRANCE_10_11" textlink="" fLocksText="0">
      <xdr:nvSpPr>
        <xdr:cNvPr id="75" name="Rectangle 1944"/>
        <xdr:cNvSpPr>
          <a:spLocks noChangeArrowheads="1"/>
        </xdr:cNvSpPr>
      </xdr:nvSpPr>
      <xdr:spPr bwMode="auto">
        <a:xfrm>
          <a:off x="0" y="7229475"/>
          <a:ext cx="4533900" cy="314325"/>
        </a:xfrm>
        <a:prstGeom prst="rect">
          <a:avLst/>
        </a:prstGeom>
        <a:noFill/>
        <a:ln w="9525">
          <a:noFill/>
          <a:miter lim="800000"/>
          <a:headEnd/>
          <a:tailEnd/>
        </a:ln>
      </xdr:spPr>
    </xdr:sp>
    <xdr:clientData fLocksWithSheet="0"/>
  </xdr:twoCellAnchor>
  <xdr:twoCellAnchor>
    <xdr:from>
      <xdr:col>3</xdr:col>
      <xdr:colOff>0</xdr:colOff>
      <xdr:row>20</xdr:row>
      <xdr:rowOff>1</xdr:rowOff>
    </xdr:from>
    <xdr:to>
      <xdr:col>4</xdr:col>
      <xdr:colOff>9525</xdr:colOff>
      <xdr:row>21</xdr:row>
      <xdr:rowOff>1</xdr:rowOff>
    </xdr:to>
    <xdr:sp macro="[0]!MACRO_OUVRIR_COUPE_DE_FRANCE_11_12" textlink="" fLocksText="0">
      <xdr:nvSpPr>
        <xdr:cNvPr id="76" name="Rectangle 1944"/>
        <xdr:cNvSpPr>
          <a:spLocks noChangeArrowheads="1"/>
        </xdr:cNvSpPr>
      </xdr:nvSpPr>
      <xdr:spPr bwMode="auto">
        <a:xfrm>
          <a:off x="13573125" y="6905626"/>
          <a:ext cx="4533900" cy="323850"/>
        </a:xfrm>
        <a:prstGeom prst="rect">
          <a:avLst/>
        </a:prstGeom>
        <a:noFill/>
        <a:ln w="9525">
          <a:noFill/>
          <a:miter lim="800000"/>
          <a:headEnd/>
          <a:tailEnd/>
        </a:ln>
      </xdr:spPr>
    </xdr:sp>
    <xdr:clientData fLocksWithSheet="0"/>
  </xdr:twoCellAnchor>
  <xdr:twoCellAnchor>
    <xdr:from>
      <xdr:col>2</xdr:col>
      <xdr:colOff>0</xdr:colOff>
      <xdr:row>20</xdr:row>
      <xdr:rowOff>0</xdr:rowOff>
    </xdr:from>
    <xdr:to>
      <xdr:col>3</xdr:col>
      <xdr:colOff>0</xdr:colOff>
      <xdr:row>21</xdr:row>
      <xdr:rowOff>9525</xdr:rowOff>
    </xdr:to>
    <xdr:sp macro="[0]!MACRO_OUVRIR_COUPE_DE_FRANCE_12_13" textlink="" fLocksText="0">
      <xdr:nvSpPr>
        <xdr:cNvPr id="77" name="Rectangle 1944"/>
        <xdr:cNvSpPr>
          <a:spLocks noChangeArrowheads="1"/>
        </xdr:cNvSpPr>
      </xdr:nvSpPr>
      <xdr:spPr bwMode="auto">
        <a:xfrm>
          <a:off x="9048750" y="6905625"/>
          <a:ext cx="4524375" cy="333375"/>
        </a:xfrm>
        <a:prstGeom prst="rect">
          <a:avLst/>
        </a:prstGeom>
        <a:noFill/>
        <a:ln w="9525">
          <a:noFill/>
          <a:miter lim="800000"/>
          <a:headEnd/>
          <a:tailEnd/>
        </a:ln>
      </xdr:spPr>
    </xdr:sp>
    <xdr:clientData fLocksWithSheet="0"/>
  </xdr:twoCellAnchor>
  <xdr:twoCellAnchor>
    <xdr:from>
      <xdr:col>1</xdr:col>
      <xdr:colOff>0</xdr:colOff>
      <xdr:row>20</xdr:row>
      <xdr:rowOff>1</xdr:rowOff>
    </xdr:from>
    <xdr:to>
      <xdr:col>2</xdr:col>
      <xdr:colOff>0</xdr:colOff>
      <xdr:row>21</xdr:row>
      <xdr:rowOff>9525</xdr:rowOff>
    </xdr:to>
    <xdr:sp macro="[0]!MACRO_OUVRIR_COUPE_DE_FRANCE_13_14" textlink="" fLocksText="0">
      <xdr:nvSpPr>
        <xdr:cNvPr id="78" name="Rectangle 1944"/>
        <xdr:cNvSpPr>
          <a:spLocks noChangeArrowheads="1"/>
        </xdr:cNvSpPr>
      </xdr:nvSpPr>
      <xdr:spPr bwMode="auto">
        <a:xfrm>
          <a:off x="4524375" y="6905626"/>
          <a:ext cx="4524375" cy="333374"/>
        </a:xfrm>
        <a:prstGeom prst="rect">
          <a:avLst/>
        </a:prstGeom>
        <a:noFill/>
        <a:ln w="9525">
          <a:noFill/>
          <a:miter lim="800000"/>
          <a:headEnd/>
          <a:tailEnd/>
        </a:ln>
      </xdr:spPr>
    </xdr:sp>
    <xdr:clientData fLocksWithSheet="0"/>
  </xdr:twoCellAnchor>
  <xdr:twoCellAnchor>
    <xdr:from>
      <xdr:col>0</xdr:col>
      <xdr:colOff>0</xdr:colOff>
      <xdr:row>20</xdr:row>
      <xdr:rowOff>0</xdr:rowOff>
    </xdr:from>
    <xdr:to>
      <xdr:col>0</xdr:col>
      <xdr:colOff>4524374</xdr:colOff>
      <xdr:row>20</xdr:row>
      <xdr:rowOff>323849</xdr:rowOff>
    </xdr:to>
    <xdr:sp macro="[0]!MACRO_OUVRIR_COUPE_DE_FRANCE_14_15" textlink="" fLocksText="0">
      <xdr:nvSpPr>
        <xdr:cNvPr id="79" name="Rectangle 1944"/>
        <xdr:cNvSpPr>
          <a:spLocks noChangeArrowheads="1"/>
        </xdr:cNvSpPr>
      </xdr:nvSpPr>
      <xdr:spPr bwMode="auto">
        <a:xfrm>
          <a:off x="0" y="6905625"/>
          <a:ext cx="4524374" cy="323849"/>
        </a:xfrm>
        <a:prstGeom prst="rect">
          <a:avLst/>
        </a:prstGeom>
        <a:noFill/>
        <a:ln w="9525">
          <a:noFill/>
          <a:miter lim="800000"/>
          <a:headEnd/>
          <a:tailEnd/>
        </a:ln>
      </xdr:spPr>
    </xdr:sp>
    <xdr:clientData fLocksWithSheet="0"/>
  </xdr:twoCellAnchor>
  <xdr:twoCellAnchor>
    <xdr:from>
      <xdr:col>3</xdr:col>
      <xdr:colOff>0</xdr:colOff>
      <xdr:row>19</xdr:row>
      <xdr:rowOff>0</xdr:rowOff>
    </xdr:from>
    <xdr:to>
      <xdr:col>4</xdr:col>
      <xdr:colOff>9525</xdr:colOff>
      <xdr:row>20</xdr:row>
      <xdr:rowOff>0</xdr:rowOff>
    </xdr:to>
    <xdr:sp macro="[0]!MACRO_OUVRIR_COUPE_DE_FRANCE_15_16" textlink="" fLocksText="0">
      <xdr:nvSpPr>
        <xdr:cNvPr id="80" name="Rectangle 1944"/>
        <xdr:cNvSpPr>
          <a:spLocks noChangeArrowheads="1"/>
        </xdr:cNvSpPr>
      </xdr:nvSpPr>
      <xdr:spPr bwMode="auto">
        <a:xfrm>
          <a:off x="13573125" y="6581775"/>
          <a:ext cx="4533900" cy="323850"/>
        </a:xfrm>
        <a:prstGeom prst="rect">
          <a:avLst/>
        </a:prstGeom>
        <a:noFill/>
        <a:ln w="9525">
          <a:noFill/>
          <a:miter lim="800000"/>
          <a:headEnd/>
          <a:tailEnd/>
        </a:ln>
      </xdr:spPr>
    </xdr:sp>
    <xdr:clientData fLocksWithSheet="0"/>
  </xdr:twoCellAnchor>
  <xdr:twoCellAnchor>
    <xdr:from>
      <xdr:col>0</xdr:col>
      <xdr:colOff>4524374</xdr:colOff>
      <xdr:row>19</xdr:row>
      <xdr:rowOff>1</xdr:rowOff>
    </xdr:from>
    <xdr:to>
      <xdr:col>1</xdr:col>
      <xdr:colOff>4524374</xdr:colOff>
      <xdr:row>20</xdr:row>
      <xdr:rowOff>9525</xdr:rowOff>
    </xdr:to>
    <xdr:sp macro="[0]!MACRO_OUVRIR_COUPE_DE_FRANCE_17_18" textlink="" fLocksText="0">
      <xdr:nvSpPr>
        <xdr:cNvPr id="81" name="Rectangle 1944"/>
        <xdr:cNvSpPr>
          <a:spLocks noChangeArrowheads="1"/>
        </xdr:cNvSpPr>
      </xdr:nvSpPr>
      <xdr:spPr bwMode="auto">
        <a:xfrm>
          <a:off x="4524374" y="6581776"/>
          <a:ext cx="4524375" cy="333374"/>
        </a:xfrm>
        <a:prstGeom prst="rect">
          <a:avLst/>
        </a:prstGeom>
        <a:noFill/>
        <a:ln w="9525">
          <a:noFill/>
          <a:miter lim="800000"/>
          <a:headEnd/>
          <a:tailEnd/>
        </a:ln>
      </xdr:spPr>
    </xdr:sp>
    <xdr:clientData fLocksWithSheet="0"/>
  </xdr:twoCellAnchor>
  <xdr:twoCellAnchor>
    <xdr:from>
      <xdr:col>3</xdr:col>
      <xdr:colOff>0</xdr:colOff>
      <xdr:row>16</xdr:row>
      <xdr:rowOff>9526</xdr:rowOff>
    </xdr:from>
    <xdr:to>
      <xdr:col>4</xdr:col>
      <xdr:colOff>9525</xdr:colOff>
      <xdr:row>16</xdr:row>
      <xdr:rowOff>314326</xdr:rowOff>
    </xdr:to>
    <xdr:sp macro="[0]!MACRO_OUVRIR_CONFEDERATION_2003" textlink="" fLocksText="0">
      <xdr:nvSpPr>
        <xdr:cNvPr id="82" name="Rectangle 1944"/>
        <xdr:cNvSpPr>
          <a:spLocks noChangeArrowheads="1"/>
        </xdr:cNvSpPr>
      </xdr:nvSpPr>
      <xdr:spPr bwMode="auto">
        <a:xfrm>
          <a:off x="13573125" y="5619751"/>
          <a:ext cx="4533900" cy="304800"/>
        </a:xfrm>
        <a:prstGeom prst="rect">
          <a:avLst/>
        </a:prstGeom>
        <a:noFill/>
        <a:ln w="9525">
          <a:noFill/>
          <a:miter lim="800000"/>
          <a:headEnd/>
          <a:tailEnd/>
        </a:ln>
      </xdr:spPr>
    </xdr:sp>
    <xdr:clientData fLocksWithSheet="0"/>
  </xdr:twoCellAnchor>
  <xdr:twoCellAnchor>
    <xdr:from>
      <xdr:col>2</xdr:col>
      <xdr:colOff>0</xdr:colOff>
      <xdr:row>16</xdr:row>
      <xdr:rowOff>0</xdr:rowOff>
    </xdr:from>
    <xdr:to>
      <xdr:col>3</xdr:col>
      <xdr:colOff>9525</xdr:colOff>
      <xdr:row>16</xdr:row>
      <xdr:rowOff>314325</xdr:rowOff>
    </xdr:to>
    <xdr:sp macro="[0]!MACRO_OUVRIR_CONFEDERATION_2005" textlink="" fLocksText="0">
      <xdr:nvSpPr>
        <xdr:cNvPr id="83" name="Rectangle 1944"/>
        <xdr:cNvSpPr>
          <a:spLocks noChangeArrowheads="1"/>
        </xdr:cNvSpPr>
      </xdr:nvSpPr>
      <xdr:spPr bwMode="auto">
        <a:xfrm>
          <a:off x="9048750" y="5610225"/>
          <a:ext cx="4533900" cy="314325"/>
        </a:xfrm>
        <a:prstGeom prst="rect">
          <a:avLst/>
        </a:prstGeom>
        <a:noFill/>
        <a:ln w="9525">
          <a:noFill/>
          <a:miter lim="800000"/>
          <a:headEnd/>
          <a:tailEnd/>
        </a:ln>
      </xdr:spPr>
    </xdr:sp>
    <xdr:clientData fLocksWithSheet="0"/>
  </xdr:twoCellAnchor>
  <xdr:twoCellAnchor>
    <xdr:from>
      <xdr:col>1</xdr:col>
      <xdr:colOff>0</xdr:colOff>
      <xdr:row>16</xdr:row>
      <xdr:rowOff>0</xdr:rowOff>
    </xdr:from>
    <xdr:to>
      <xdr:col>2</xdr:col>
      <xdr:colOff>9525</xdr:colOff>
      <xdr:row>17</xdr:row>
      <xdr:rowOff>0</xdr:rowOff>
    </xdr:to>
    <xdr:sp macro="[0]!MACRO_OUVRIR_CONFEDERATION_2009" textlink="" fLocksText="0">
      <xdr:nvSpPr>
        <xdr:cNvPr id="84" name="Rectangle 1944"/>
        <xdr:cNvSpPr>
          <a:spLocks noChangeArrowheads="1"/>
        </xdr:cNvSpPr>
      </xdr:nvSpPr>
      <xdr:spPr bwMode="auto">
        <a:xfrm>
          <a:off x="4524375" y="5610225"/>
          <a:ext cx="4533900" cy="323850"/>
        </a:xfrm>
        <a:prstGeom prst="rect">
          <a:avLst/>
        </a:prstGeom>
        <a:noFill/>
        <a:ln w="9525">
          <a:noFill/>
          <a:miter lim="800000"/>
          <a:headEnd/>
          <a:tailEnd/>
        </a:ln>
      </xdr:spPr>
    </xdr:sp>
    <xdr:clientData fLocksWithSheet="0"/>
  </xdr:twoCellAnchor>
  <xdr:twoCellAnchor>
    <xdr:from>
      <xdr:col>0</xdr:col>
      <xdr:colOff>0</xdr:colOff>
      <xdr:row>16</xdr:row>
      <xdr:rowOff>0</xdr:rowOff>
    </xdr:from>
    <xdr:to>
      <xdr:col>1</xdr:col>
      <xdr:colOff>9525</xdr:colOff>
      <xdr:row>16</xdr:row>
      <xdr:rowOff>314325</xdr:rowOff>
    </xdr:to>
    <xdr:sp macro="[0]!MACRO_OUVRIR_CONFEDERATION_2013" textlink="" fLocksText="0">
      <xdr:nvSpPr>
        <xdr:cNvPr id="85" name="Rectangle 1944"/>
        <xdr:cNvSpPr>
          <a:spLocks noChangeArrowheads="1"/>
        </xdr:cNvSpPr>
      </xdr:nvSpPr>
      <xdr:spPr bwMode="auto">
        <a:xfrm>
          <a:off x="0" y="5610225"/>
          <a:ext cx="4533900" cy="314325"/>
        </a:xfrm>
        <a:prstGeom prst="rect">
          <a:avLst/>
        </a:prstGeom>
        <a:noFill/>
        <a:ln w="9525">
          <a:noFill/>
          <a:miter lim="800000"/>
          <a:headEnd/>
          <a:tailEnd/>
        </a:ln>
      </xdr:spPr>
    </xdr:sp>
    <xdr:clientData fLocksWithSheet="0"/>
  </xdr:twoCellAnchor>
  <xdr:twoCellAnchor>
    <xdr:from>
      <xdr:col>3</xdr:col>
      <xdr:colOff>9525</xdr:colOff>
      <xdr:row>14</xdr:row>
      <xdr:rowOff>314325</xdr:rowOff>
    </xdr:from>
    <xdr:to>
      <xdr:col>4</xdr:col>
      <xdr:colOff>0</xdr:colOff>
      <xdr:row>16</xdr:row>
      <xdr:rowOff>0</xdr:rowOff>
    </xdr:to>
    <xdr:sp macro="[0]!MACRO_OUVRIR_CONFEDERATIONS_2017" textlink="" fLocksText="0">
      <xdr:nvSpPr>
        <xdr:cNvPr id="86" name="Rectangle 1944"/>
        <xdr:cNvSpPr>
          <a:spLocks noChangeArrowheads="1"/>
        </xdr:cNvSpPr>
      </xdr:nvSpPr>
      <xdr:spPr bwMode="auto">
        <a:xfrm>
          <a:off x="13582650" y="5276850"/>
          <a:ext cx="4514850" cy="333375"/>
        </a:xfrm>
        <a:prstGeom prst="rect">
          <a:avLst/>
        </a:prstGeom>
        <a:noFill/>
        <a:ln w="9525">
          <a:noFill/>
          <a:miter lim="800000"/>
          <a:headEnd/>
          <a:tailEnd/>
        </a:ln>
      </xdr:spPr>
    </xdr:sp>
    <xdr:clientData fLocksWithSheet="0"/>
  </xdr:twoCellAnchor>
  <xdr:twoCellAnchor>
    <xdr:from>
      <xdr:col>2</xdr:col>
      <xdr:colOff>4514850</xdr:colOff>
      <xdr:row>13</xdr:row>
      <xdr:rowOff>9524</xdr:rowOff>
    </xdr:from>
    <xdr:to>
      <xdr:col>4</xdr:col>
      <xdr:colOff>0</xdr:colOff>
      <xdr:row>13</xdr:row>
      <xdr:rowOff>323849</xdr:rowOff>
    </xdr:to>
    <xdr:sp macro="[0]!MACRO_OUVRIR_COUPE_DE_LUEFA_03_04" textlink="" fLocksText="0">
      <xdr:nvSpPr>
        <xdr:cNvPr id="87" name="Rectangle 1944"/>
        <xdr:cNvSpPr>
          <a:spLocks noChangeArrowheads="1"/>
        </xdr:cNvSpPr>
      </xdr:nvSpPr>
      <xdr:spPr bwMode="auto">
        <a:xfrm>
          <a:off x="13563600" y="4648199"/>
          <a:ext cx="4533900" cy="314325"/>
        </a:xfrm>
        <a:prstGeom prst="rect">
          <a:avLst/>
        </a:prstGeom>
        <a:noFill/>
        <a:ln w="9525">
          <a:noFill/>
          <a:miter lim="800000"/>
          <a:headEnd/>
          <a:tailEnd/>
        </a:ln>
      </xdr:spPr>
    </xdr:sp>
    <xdr:clientData fLocksWithSheet="0"/>
  </xdr:twoCellAnchor>
  <xdr:twoCellAnchor>
    <xdr:from>
      <xdr:col>1</xdr:col>
      <xdr:colOff>4514850</xdr:colOff>
      <xdr:row>13</xdr:row>
      <xdr:rowOff>9525</xdr:rowOff>
    </xdr:from>
    <xdr:to>
      <xdr:col>3</xdr:col>
      <xdr:colOff>0</xdr:colOff>
      <xdr:row>14</xdr:row>
      <xdr:rowOff>0</xdr:rowOff>
    </xdr:to>
    <xdr:sp macro="[0]!MACRO_OUVRIR_COUPE_DE_LUEFA_04_05" textlink="" fLocksText="0">
      <xdr:nvSpPr>
        <xdr:cNvPr id="88" name="Rectangle 1944"/>
        <xdr:cNvSpPr>
          <a:spLocks noChangeArrowheads="1"/>
        </xdr:cNvSpPr>
      </xdr:nvSpPr>
      <xdr:spPr bwMode="auto">
        <a:xfrm>
          <a:off x="9039225" y="4648200"/>
          <a:ext cx="4533900" cy="314325"/>
        </a:xfrm>
        <a:prstGeom prst="rect">
          <a:avLst/>
        </a:prstGeom>
        <a:noFill/>
        <a:ln w="9525">
          <a:noFill/>
          <a:miter lim="800000"/>
          <a:headEnd/>
          <a:tailEnd/>
        </a:ln>
      </xdr:spPr>
    </xdr:sp>
    <xdr:clientData fLocksWithSheet="0"/>
  </xdr:twoCellAnchor>
  <xdr:twoCellAnchor>
    <xdr:from>
      <xdr:col>0</xdr:col>
      <xdr:colOff>4514850</xdr:colOff>
      <xdr:row>13</xdr:row>
      <xdr:rowOff>9525</xdr:rowOff>
    </xdr:from>
    <xdr:to>
      <xdr:col>2</xdr:col>
      <xdr:colOff>0</xdr:colOff>
      <xdr:row>13</xdr:row>
      <xdr:rowOff>323849</xdr:rowOff>
    </xdr:to>
    <xdr:sp macro="[0]!MACRO_OUVRIR_COUPE_DE_LUEFA_05_06" textlink="" fLocksText="0">
      <xdr:nvSpPr>
        <xdr:cNvPr id="89" name="Rectangle 1944"/>
        <xdr:cNvSpPr>
          <a:spLocks noChangeArrowheads="1"/>
        </xdr:cNvSpPr>
      </xdr:nvSpPr>
      <xdr:spPr bwMode="auto">
        <a:xfrm>
          <a:off x="4514850" y="4648200"/>
          <a:ext cx="4533900" cy="314324"/>
        </a:xfrm>
        <a:prstGeom prst="rect">
          <a:avLst/>
        </a:prstGeom>
        <a:noFill/>
        <a:ln w="9525">
          <a:noFill/>
          <a:miter lim="800000"/>
          <a:headEnd/>
          <a:tailEnd/>
        </a:ln>
      </xdr:spPr>
    </xdr:sp>
    <xdr:clientData fLocksWithSheet="0"/>
  </xdr:twoCellAnchor>
  <xdr:twoCellAnchor>
    <xdr:from>
      <xdr:col>0</xdr:col>
      <xdr:colOff>0</xdr:colOff>
      <xdr:row>13</xdr:row>
      <xdr:rowOff>1</xdr:rowOff>
    </xdr:from>
    <xdr:to>
      <xdr:col>1</xdr:col>
      <xdr:colOff>9525</xdr:colOff>
      <xdr:row>14</xdr:row>
      <xdr:rowOff>1</xdr:rowOff>
    </xdr:to>
    <xdr:sp macro="[0]!MACRO_OUVRIR_COUPE_DE_LUEFA_06_07" textlink="" fLocksText="0">
      <xdr:nvSpPr>
        <xdr:cNvPr id="90" name="Rectangle 1944"/>
        <xdr:cNvSpPr>
          <a:spLocks noChangeArrowheads="1"/>
        </xdr:cNvSpPr>
      </xdr:nvSpPr>
      <xdr:spPr bwMode="auto">
        <a:xfrm>
          <a:off x="0" y="4638676"/>
          <a:ext cx="4533900" cy="323850"/>
        </a:xfrm>
        <a:prstGeom prst="rect">
          <a:avLst/>
        </a:prstGeom>
        <a:noFill/>
        <a:ln w="9525">
          <a:noFill/>
          <a:miter lim="800000"/>
          <a:headEnd/>
          <a:tailEnd/>
        </a:ln>
      </xdr:spPr>
    </xdr:sp>
    <xdr:clientData fLocksWithSheet="0"/>
  </xdr:twoCellAnchor>
  <xdr:twoCellAnchor>
    <xdr:from>
      <xdr:col>2</xdr:col>
      <xdr:colOff>4514850</xdr:colOff>
      <xdr:row>12</xdr:row>
      <xdr:rowOff>0</xdr:rowOff>
    </xdr:from>
    <xdr:to>
      <xdr:col>4</xdr:col>
      <xdr:colOff>0</xdr:colOff>
      <xdr:row>13</xdr:row>
      <xdr:rowOff>9525</xdr:rowOff>
    </xdr:to>
    <xdr:sp macro="[0]!MACRO_OUVRIR_COUPE_DE_LUEFA_07_08" textlink="" fLocksText="0">
      <xdr:nvSpPr>
        <xdr:cNvPr id="91" name="Rectangle 1944"/>
        <xdr:cNvSpPr>
          <a:spLocks noChangeArrowheads="1"/>
        </xdr:cNvSpPr>
      </xdr:nvSpPr>
      <xdr:spPr bwMode="auto">
        <a:xfrm>
          <a:off x="13563600" y="4314825"/>
          <a:ext cx="4533900" cy="333375"/>
        </a:xfrm>
        <a:prstGeom prst="rect">
          <a:avLst/>
        </a:prstGeom>
        <a:noFill/>
        <a:ln w="9525">
          <a:noFill/>
          <a:miter lim="800000"/>
          <a:headEnd/>
          <a:tailEnd/>
        </a:ln>
      </xdr:spPr>
    </xdr:sp>
    <xdr:clientData fLocksWithSheet="0"/>
  </xdr:twoCellAnchor>
  <xdr:twoCellAnchor>
    <xdr:from>
      <xdr:col>1</xdr:col>
      <xdr:colOff>4514850</xdr:colOff>
      <xdr:row>12</xdr:row>
      <xdr:rowOff>0</xdr:rowOff>
    </xdr:from>
    <xdr:to>
      <xdr:col>3</xdr:col>
      <xdr:colOff>0</xdr:colOff>
      <xdr:row>13</xdr:row>
      <xdr:rowOff>9525</xdr:rowOff>
    </xdr:to>
    <xdr:sp macro="[0]!MACRO_OUVRIR_COUPE_DE_LUEFA_08_09" textlink="" fLocksText="0">
      <xdr:nvSpPr>
        <xdr:cNvPr id="92" name="Rectangle 1944"/>
        <xdr:cNvSpPr>
          <a:spLocks noChangeArrowheads="1"/>
        </xdr:cNvSpPr>
      </xdr:nvSpPr>
      <xdr:spPr bwMode="auto">
        <a:xfrm>
          <a:off x="9039225" y="4314825"/>
          <a:ext cx="4533900" cy="333375"/>
        </a:xfrm>
        <a:prstGeom prst="rect">
          <a:avLst/>
        </a:prstGeom>
        <a:noFill/>
        <a:ln w="9525">
          <a:noFill/>
          <a:miter lim="800000"/>
          <a:headEnd/>
          <a:tailEnd/>
        </a:ln>
      </xdr:spPr>
    </xdr:sp>
    <xdr:clientData fLocksWithSheet="0"/>
  </xdr:twoCellAnchor>
  <xdr:twoCellAnchor>
    <xdr:from>
      <xdr:col>0</xdr:col>
      <xdr:colOff>4514850</xdr:colOff>
      <xdr:row>12</xdr:row>
      <xdr:rowOff>9525</xdr:rowOff>
    </xdr:from>
    <xdr:to>
      <xdr:col>2</xdr:col>
      <xdr:colOff>0</xdr:colOff>
      <xdr:row>13</xdr:row>
      <xdr:rowOff>9525</xdr:rowOff>
    </xdr:to>
    <xdr:sp macro="[0]!MACRO_OUVRIR_COUPE_DE_LUEFA_09_10" textlink="" fLocksText="0">
      <xdr:nvSpPr>
        <xdr:cNvPr id="93" name="Rectangle 1944"/>
        <xdr:cNvSpPr>
          <a:spLocks noChangeArrowheads="1"/>
        </xdr:cNvSpPr>
      </xdr:nvSpPr>
      <xdr:spPr bwMode="auto">
        <a:xfrm>
          <a:off x="4514850" y="4324350"/>
          <a:ext cx="4533900" cy="323850"/>
        </a:xfrm>
        <a:prstGeom prst="rect">
          <a:avLst/>
        </a:prstGeom>
        <a:noFill/>
        <a:ln w="9525">
          <a:noFill/>
          <a:miter lim="800000"/>
          <a:headEnd/>
          <a:tailEnd/>
        </a:ln>
      </xdr:spPr>
    </xdr:sp>
    <xdr:clientData fLocksWithSheet="0"/>
  </xdr:twoCellAnchor>
  <xdr:twoCellAnchor>
    <xdr:from>
      <xdr:col>0</xdr:col>
      <xdr:colOff>0</xdr:colOff>
      <xdr:row>12</xdr:row>
      <xdr:rowOff>0</xdr:rowOff>
    </xdr:from>
    <xdr:to>
      <xdr:col>1</xdr:col>
      <xdr:colOff>9525</xdr:colOff>
      <xdr:row>13</xdr:row>
      <xdr:rowOff>0</xdr:rowOff>
    </xdr:to>
    <xdr:sp macro="[0]!MACRO_OUVRIR_COUPE_DE_LUEFA_10_11" textlink="" fLocksText="0">
      <xdr:nvSpPr>
        <xdr:cNvPr id="94" name="Rectangle 1944"/>
        <xdr:cNvSpPr>
          <a:spLocks noChangeArrowheads="1"/>
        </xdr:cNvSpPr>
      </xdr:nvSpPr>
      <xdr:spPr bwMode="auto">
        <a:xfrm>
          <a:off x="0" y="4314825"/>
          <a:ext cx="4533900" cy="323850"/>
        </a:xfrm>
        <a:prstGeom prst="rect">
          <a:avLst/>
        </a:prstGeom>
        <a:noFill/>
        <a:ln w="9525">
          <a:noFill/>
          <a:miter lim="800000"/>
          <a:headEnd/>
          <a:tailEnd/>
        </a:ln>
      </xdr:spPr>
    </xdr:sp>
    <xdr:clientData fLocksWithSheet="0"/>
  </xdr:twoCellAnchor>
  <xdr:twoCellAnchor>
    <xdr:from>
      <xdr:col>2</xdr:col>
      <xdr:colOff>4514850</xdr:colOff>
      <xdr:row>11</xdr:row>
      <xdr:rowOff>9525</xdr:rowOff>
    </xdr:from>
    <xdr:to>
      <xdr:col>4</xdr:col>
      <xdr:colOff>0</xdr:colOff>
      <xdr:row>12</xdr:row>
      <xdr:rowOff>19050</xdr:rowOff>
    </xdr:to>
    <xdr:sp macro="[0]!MACRO_OUVRIR_COUPE_DE_LUEFA_11_12" textlink="" fLocksText="0">
      <xdr:nvSpPr>
        <xdr:cNvPr id="95" name="Rectangle 1944"/>
        <xdr:cNvSpPr>
          <a:spLocks noChangeArrowheads="1"/>
        </xdr:cNvSpPr>
      </xdr:nvSpPr>
      <xdr:spPr bwMode="auto">
        <a:xfrm>
          <a:off x="13563600" y="4000500"/>
          <a:ext cx="4533900" cy="333375"/>
        </a:xfrm>
        <a:prstGeom prst="rect">
          <a:avLst/>
        </a:prstGeom>
        <a:noFill/>
        <a:ln w="9525">
          <a:noFill/>
          <a:miter lim="800000"/>
          <a:headEnd/>
          <a:tailEnd/>
        </a:ln>
      </xdr:spPr>
    </xdr:sp>
    <xdr:clientData fLocksWithSheet="0"/>
  </xdr:twoCellAnchor>
  <xdr:twoCellAnchor>
    <xdr:from>
      <xdr:col>1</xdr:col>
      <xdr:colOff>4514850</xdr:colOff>
      <xdr:row>11</xdr:row>
      <xdr:rowOff>9524</xdr:rowOff>
    </xdr:from>
    <xdr:to>
      <xdr:col>3</xdr:col>
      <xdr:colOff>0</xdr:colOff>
      <xdr:row>12</xdr:row>
      <xdr:rowOff>9525</xdr:rowOff>
    </xdr:to>
    <xdr:sp macro="[0]!MACRO_OUVRIR_COUPE_DE_LUEFA_12_13" textlink="" fLocksText="0">
      <xdr:nvSpPr>
        <xdr:cNvPr id="96" name="Rectangle 1944"/>
        <xdr:cNvSpPr>
          <a:spLocks noChangeArrowheads="1"/>
        </xdr:cNvSpPr>
      </xdr:nvSpPr>
      <xdr:spPr bwMode="auto">
        <a:xfrm>
          <a:off x="9039225" y="4000499"/>
          <a:ext cx="4533900" cy="323851"/>
        </a:xfrm>
        <a:prstGeom prst="rect">
          <a:avLst/>
        </a:prstGeom>
        <a:noFill/>
        <a:ln w="9525">
          <a:noFill/>
          <a:miter lim="800000"/>
          <a:headEnd/>
          <a:tailEnd/>
        </a:ln>
      </xdr:spPr>
    </xdr:sp>
    <xdr:clientData fLocksWithSheet="0"/>
  </xdr:twoCellAnchor>
  <xdr:twoCellAnchor>
    <xdr:from>
      <xdr:col>0</xdr:col>
      <xdr:colOff>4514850</xdr:colOff>
      <xdr:row>11</xdr:row>
      <xdr:rowOff>9525</xdr:rowOff>
    </xdr:from>
    <xdr:to>
      <xdr:col>2</xdr:col>
      <xdr:colOff>0</xdr:colOff>
      <xdr:row>12</xdr:row>
      <xdr:rowOff>9525</xdr:rowOff>
    </xdr:to>
    <xdr:sp macro="[0]!MACRO_OUVRIR_COUPE_DE_LUEFA_13_14" textlink="" fLocksText="0">
      <xdr:nvSpPr>
        <xdr:cNvPr id="97" name="Rectangle 1944"/>
        <xdr:cNvSpPr>
          <a:spLocks noChangeArrowheads="1"/>
        </xdr:cNvSpPr>
      </xdr:nvSpPr>
      <xdr:spPr bwMode="auto">
        <a:xfrm>
          <a:off x="4514850" y="4000500"/>
          <a:ext cx="4533900" cy="323850"/>
        </a:xfrm>
        <a:prstGeom prst="rect">
          <a:avLst/>
        </a:prstGeom>
        <a:noFill/>
        <a:ln w="9525">
          <a:noFill/>
          <a:miter lim="800000"/>
          <a:headEnd/>
          <a:tailEnd/>
        </a:ln>
      </xdr:spPr>
    </xdr:sp>
    <xdr:clientData fLocksWithSheet="0"/>
  </xdr:twoCellAnchor>
  <xdr:twoCellAnchor>
    <xdr:from>
      <xdr:col>0</xdr:col>
      <xdr:colOff>0</xdr:colOff>
      <xdr:row>11</xdr:row>
      <xdr:rowOff>0</xdr:rowOff>
    </xdr:from>
    <xdr:to>
      <xdr:col>1</xdr:col>
      <xdr:colOff>9525</xdr:colOff>
      <xdr:row>12</xdr:row>
      <xdr:rowOff>9525</xdr:rowOff>
    </xdr:to>
    <xdr:sp macro="[0]!MACRO_OUVRIR_COUPE_DE_LUEFA_2014_15" textlink="" fLocksText="0">
      <xdr:nvSpPr>
        <xdr:cNvPr id="98" name="Rectangle 1944"/>
        <xdr:cNvSpPr>
          <a:spLocks noChangeArrowheads="1"/>
        </xdr:cNvSpPr>
      </xdr:nvSpPr>
      <xdr:spPr bwMode="auto">
        <a:xfrm>
          <a:off x="0" y="3990975"/>
          <a:ext cx="4533900" cy="333375"/>
        </a:xfrm>
        <a:prstGeom prst="rect">
          <a:avLst/>
        </a:prstGeom>
        <a:noFill/>
        <a:ln w="9525">
          <a:noFill/>
          <a:miter lim="800000"/>
          <a:headEnd/>
          <a:tailEnd/>
        </a:ln>
      </xdr:spPr>
    </xdr:sp>
    <xdr:clientData fLocksWithSheet="0"/>
  </xdr:twoCellAnchor>
  <xdr:twoCellAnchor>
    <xdr:from>
      <xdr:col>2</xdr:col>
      <xdr:colOff>4514850</xdr:colOff>
      <xdr:row>10</xdr:row>
      <xdr:rowOff>9525</xdr:rowOff>
    </xdr:from>
    <xdr:to>
      <xdr:col>4</xdr:col>
      <xdr:colOff>0</xdr:colOff>
      <xdr:row>11</xdr:row>
      <xdr:rowOff>9525</xdr:rowOff>
    </xdr:to>
    <xdr:sp macro="[0]!MACRO_OUVRIR_COUPE_DE_LUEFA_2015_16" textlink="" fLocksText="0">
      <xdr:nvSpPr>
        <xdr:cNvPr id="99" name="Rectangle 1944"/>
        <xdr:cNvSpPr>
          <a:spLocks noChangeArrowheads="1"/>
        </xdr:cNvSpPr>
      </xdr:nvSpPr>
      <xdr:spPr bwMode="auto">
        <a:xfrm>
          <a:off x="13563600" y="3676650"/>
          <a:ext cx="4533900" cy="323850"/>
        </a:xfrm>
        <a:prstGeom prst="rect">
          <a:avLst/>
        </a:prstGeom>
        <a:noFill/>
        <a:ln w="9525">
          <a:noFill/>
          <a:miter lim="800000"/>
          <a:headEnd/>
          <a:tailEnd/>
        </a:ln>
      </xdr:spPr>
    </xdr:sp>
    <xdr:clientData fLocksWithSheet="0"/>
  </xdr:twoCellAnchor>
  <xdr:twoCellAnchor>
    <xdr:from>
      <xdr:col>1</xdr:col>
      <xdr:colOff>0</xdr:colOff>
      <xdr:row>10</xdr:row>
      <xdr:rowOff>9525</xdr:rowOff>
    </xdr:from>
    <xdr:to>
      <xdr:col>1</xdr:col>
      <xdr:colOff>4514850</xdr:colOff>
      <xdr:row>11</xdr:row>
      <xdr:rowOff>9525</xdr:rowOff>
    </xdr:to>
    <xdr:sp macro="[0]!MACRO_OUVRIR_COUPE_DE_LUEFA_2017_18" textlink="" fLocksText="0">
      <xdr:nvSpPr>
        <xdr:cNvPr id="100" name="Rectangle 1944"/>
        <xdr:cNvSpPr>
          <a:spLocks noChangeArrowheads="1"/>
        </xdr:cNvSpPr>
      </xdr:nvSpPr>
      <xdr:spPr bwMode="auto">
        <a:xfrm>
          <a:off x="4524375" y="3676650"/>
          <a:ext cx="4514850" cy="323850"/>
        </a:xfrm>
        <a:prstGeom prst="rect">
          <a:avLst/>
        </a:prstGeom>
        <a:noFill/>
        <a:ln w="9525">
          <a:noFill/>
          <a:miter lim="800000"/>
          <a:headEnd/>
          <a:tailEnd/>
        </a:ln>
      </xdr:spPr>
    </xdr:sp>
    <xdr:clientData fLocksWithSheet="0"/>
  </xdr:twoCellAnchor>
  <xdr:twoCellAnchor>
    <xdr:from>
      <xdr:col>3</xdr:col>
      <xdr:colOff>0</xdr:colOff>
      <xdr:row>7</xdr:row>
      <xdr:rowOff>1</xdr:rowOff>
    </xdr:from>
    <xdr:to>
      <xdr:col>4</xdr:col>
      <xdr:colOff>9525</xdr:colOff>
      <xdr:row>8</xdr:row>
      <xdr:rowOff>1</xdr:rowOff>
    </xdr:to>
    <xdr:sp macro="[0]!MACRO_OUVRIR_CHAMPIONS_LEAGUE_01_02" textlink="" fLocksText="0">
      <xdr:nvSpPr>
        <xdr:cNvPr id="101" name="Rectangle 1944"/>
        <xdr:cNvSpPr>
          <a:spLocks noChangeArrowheads="1"/>
        </xdr:cNvSpPr>
      </xdr:nvSpPr>
      <xdr:spPr bwMode="auto">
        <a:xfrm>
          <a:off x="13573125" y="2695576"/>
          <a:ext cx="4533900" cy="323850"/>
        </a:xfrm>
        <a:prstGeom prst="rect">
          <a:avLst/>
        </a:prstGeom>
        <a:noFill/>
        <a:ln w="9525">
          <a:noFill/>
          <a:miter lim="800000"/>
          <a:headEnd/>
          <a:tailEnd/>
        </a:ln>
      </xdr:spPr>
    </xdr:sp>
    <xdr:clientData fLocksWithSheet="0"/>
  </xdr:twoCellAnchor>
  <xdr:twoCellAnchor>
    <xdr:from>
      <xdr:col>2</xdr:col>
      <xdr:colOff>0</xdr:colOff>
      <xdr:row>7</xdr:row>
      <xdr:rowOff>9525</xdr:rowOff>
    </xdr:from>
    <xdr:to>
      <xdr:col>3</xdr:col>
      <xdr:colOff>9525</xdr:colOff>
      <xdr:row>7</xdr:row>
      <xdr:rowOff>314325</xdr:rowOff>
    </xdr:to>
    <xdr:sp macro="[0]!MACRO_OUVRIR_CHAMPIONS_LEAGUE_02_03" textlink="" fLocksText="0">
      <xdr:nvSpPr>
        <xdr:cNvPr id="102" name="Rectangle 1944"/>
        <xdr:cNvSpPr>
          <a:spLocks noChangeArrowheads="1"/>
        </xdr:cNvSpPr>
      </xdr:nvSpPr>
      <xdr:spPr bwMode="auto">
        <a:xfrm>
          <a:off x="9048750" y="2705100"/>
          <a:ext cx="4533900" cy="304800"/>
        </a:xfrm>
        <a:prstGeom prst="rect">
          <a:avLst/>
        </a:prstGeom>
        <a:noFill/>
        <a:ln w="9525">
          <a:noFill/>
          <a:miter lim="800000"/>
          <a:headEnd/>
          <a:tailEnd/>
        </a:ln>
      </xdr:spPr>
    </xdr:sp>
    <xdr:clientData fLocksWithSheet="0"/>
  </xdr:twoCellAnchor>
  <xdr:twoCellAnchor>
    <xdr:from>
      <xdr:col>1</xdr:col>
      <xdr:colOff>0</xdr:colOff>
      <xdr:row>6</xdr:row>
      <xdr:rowOff>323849</xdr:rowOff>
    </xdr:from>
    <xdr:to>
      <xdr:col>2</xdr:col>
      <xdr:colOff>9525</xdr:colOff>
      <xdr:row>7</xdr:row>
      <xdr:rowOff>314324</xdr:rowOff>
    </xdr:to>
    <xdr:sp macro="[0]!MACRO_OUVRIR_CHAMPIONS_LEAGUE_03_04" textlink="" fLocksText="0">
      <xdr:nvSpPr>
        <xdr:cNvPr id="103" name="Rectangle 1944"/>
        <xdr:cNvSpPr>
          <a:spLocks noChangeArrowheads="1"/>
        </xdr:cNvSpPr>
      </xdr:nvSpPr>
      <xdr:spPr bwMode="auto">
        <a:xfrm>
          <a:off x="4524375" y="2695574"/>
          <a:ext cx="4533900" cy="314325"/>
        </a:xfrm>
        <a:prstGeom prst="rect">
          <a:avLst/>
        </a:prstGeom>
        <a:noFill/>
        <a:ln w="9525">
          <a:noFill/>
          <a:miter lim="800000"/>
          <a:headEnd/>
          <a:tailEnd/>
        </a:ln>
      </xdr:spPr>
    </xdr:sp>
    <xdr:clientData fLocksWithSheet="0"/>
  </xdr:twoCellAnchor>
  <xdr:twoCellAnchor>
    <xdr:from>
      <xdr:col>0</xdr:col>
      <xdr:colOff>0</xdr:colOff>
      <xdr:row>7</xdr:row>
      <xdr:rowOff>9525</xdr:rowOff>
    </xdr:from>
    <xdr:to>
      <xdr:col>1</xdr:col>
      <xdr:colOff>9525</xdr:colOff>
      <xdr:row>8</xdr:row>
      <xdr:rowOff>0</xdr:rowOff>
    </xdr:to>
    <xdr:sp macro="[0]!MACRO_OUVRIR_CHAMPIONS_LEAGUE_04_05" textlink="" fLocksText="0">
      <xdr:nvSpPr>
        <xdr:cNvPr id="104" name="Rectangle 1944"/>
        <xdr:cNvSpPr>
          <a:spLocks noChangeArrowheads="1"/>
        </xdr:cNvSpPr>
      </xdr:nvSpPr>
      <xdr:spPr bwMode="auto">
        <a:xfrm>
          <a:off x="0" y="2705100"/>
          <a:ext cx="4533900" cy="314325"/>
        </a:xfrm>
        <a:prstGeom prst="rect">
          <a:avLst/>
        </a:prstGeom>
        <a:noFill/>
        <a:ln w="9525">
          <a:noFill/>
          <a:miter lim="800000"/>
          <a:headEnd/>
          <a:tailEnd/>
        </a:ln>
      </xdr:spPr>
    </xdr:sp>
    <xdr:clientData fLocksWithSheet="0"/>
  </xdr:twoCellAnchor>
  <xdr:twoCellAnchor>
    <xdr:from>
      <xdr:col>3</xdr:col>
      <xdr:colOff>1</xdr:colOff>
      <xdr:row>5</xdr:row>
      <xdr:rowOff>323849</xdr:rowOff>
    </xdr:from>
    <xdr:to>
      <xdr:col>4</xdr:col>
      <xdr:colOff>9526</xdr:colOff>
      <xdr:row>7</xdr:row>
      <xdr:rowOff>9524</xdr:rowOff>
    </xdr:to>
    <xdr:sp macro="[0]!MACRO_OUVRIR_CHAMPIONS_LEAGUE_05_06" textlink="" fLocksText="0">
      <xdr:nvSpPr>
        <xdr:cNvPr id="105" name="Rectangle 1944"/>
        <xdr:cNvSpPr>
          <a:spLocks noChangeArrowheads="1"/>
        </xdr:cNvSpPr>
      </xdr:nvSpPr>
      <xdr:spPr bwMode="auto">
        <a:xfrm>
          <a:off x="13573126" y="2371724"/>
          <a:ext cx="4533900" cy="333375"/>
        </a:xfrm>
        <a:prstGeom prst="rect">
          <a:avLst/>
        </a:prstGeom>
        <a:noFill/>
        <a:ln w="9525">
          <a:noFill/>
          <a:miter lim="800000"/>
          <a:headEnd/>
          <a:tailEnd/>
        </a:ln>
      </xdr:spPr>
    </xdr:sp>
    <xdr:clientData fLocksWithSheet="0"/>
  </xdr:twoCellAnchor>
  <xdr:twoCellAnchor>
    <xdr:from>
      <xdr:col>2</xdr:col>
      <xdr:colOff>0</xdr:colOff>
      <xdr:row>6</xdr:row>
      <xdr:rowOff>0</xdr:rowOff>
    </xdr:from>
    <xdr:to>
      <xdr:col>3</xdr:col>
      <xdr:colOff>9525</xdr:colOff>
      <xdr:row>6</xdr:row>
      <xdr:rowOff>323849</xdr:rowOff>
    </xdr:to>
    <xdr:sp macro="[0]!MACRO_OUVRIR_CHAMPIONS_LEAGUE_06_07" textlink="" fLocksText="0">
      <xdr:nvSpPr>
        <xdr:cNvPr id="106" name="Rectangle 1944"/>
        <xdr:cNvSpPr>
          <a:spLocks noChangeArrowheads="1"/>
        </xdr:cNvSpPr>
      </xdr:nvSpPr>
      <xdr:spPr bwMode="auto">
        <a:xfrm>
          <a:off x="9048750" y="2371725"/>
          <a:ext cx="4533900" cy="323849"/>
        </a:xfrm>
        <a:prstGeom prst="rect">
          <a:avLst/>
        </a:prstGeom>
        <a:noFill/>
        <a:ln w="9525">
          <a:noFill/>
          <a:miter lim="800000"/>
          <a:headEnd/>
          <a:tailEnd/>
        </a:ln>
      </xdr:spPr>
    </xdr:sp>
    <xdr:clientData fLocksWithSheet="0"/>
  </xdr:twoCellAnchor>
  <xdr:twoCellAnchor>
    <xdr:from>
      <xdr:col>0</xdr:col>
      <xdr:colOff>4514850</xdr:colOff>
      <xdr:row>6</xdr:row>
      <xdr:rowOff>0</xdr:rowOff>
    </xdr:from>
    <xdr:to>
      <xdr:col>2</xdr:col>
      <xdr:colOff>0</xdr:colOff>
      <xdr:row>7</xdr:row>
      <xdr:rowOff>0</xdr:rowOff>
    </xdr:to>
    <xdr:sp macro="[0]!MACRO_OUVRIR_CHAMPIONS_LEAGUE_07_08" textlink="" fLocksText="0">
      <xdr:nvSpPr>
        <xdr:cNvPr id="107" name="Rectangle 1944"/>
        <xdr:cNvSpPr>
          <a:spLocks noChangeArrowheads="1"/>
        </xdr:cNvSpPr>
      </xdr:nvSpPr>
      <xdr:spPr bwMode="auto">
        <a:xfrm>
          <a:off x="4514850" y="2371725"/>
          <a:ext cx="4533900" cy="323850"/>
        </a:xfrm>
        <a:prstGeom prst="rect">
          <a:avLst/>
        </a:prstGeom>
        <a:noFill/>
        <a:ln w="9525">
          <a:noFill/>
          <a:miter lim="800000"/>
          <a:headEnd/>
          <a:tailEnd/>
        </a:ln>
      </xdr:spPr>
    </xdr:sp>
    <xdr:clientData fLocksWithSheet="0"/>
  </xdr:twoCellAnchor>
  <xdr:twoCellAnchor>
    <xdr:from>
      <xdr:col>0</xdr:col>
      <xdr:colOff>0</xdr:colOff>
      <xdr:row>6</xdr:row>
      <xdr:rowOff>1</xdr:rowOff>
    </xdr:from>
    <xdr:to>
      <xdr:col>1</xdr:col>
      <xdr:colOff>9525</xdr:colOff>
      <xdr:row>6</xdr:row>
      <xdr:rowOff>314325</xdr:rowOff>
    </xdr:to>
    <xdr:sp macro="[0]!MACRO_OUVRIR_CHAMPIONS_LEAGUE_08_09" textlink="" fLocksText="0">
      <xdr:nvSpPr>
        <xdr:cNvPr id="108" name="Rectangle 1944"/>
        <xdr:cNvSpPr>
          <a:spLocks noChangeArrowheads="1"/>
        </xdr:cNvSpPr>
      </xdr:nvSpPr>
      <xdr:spPr bwMode="auto">
        <a:xfrm>
          <a:off x="0" y="2371726"/>
          <a:ext cx="4533900" cy="314324"/>
        </a:xfrm>
        <a:prstGeom prst="rect">
          <a:avLst/>
        </a:prstGeom>
        <a:noFill/>
        <a:ln w="9525">
          <a:noFill/>
          <a:miter lim="800000"/>
          <a:headEnd/>
          <a:tailEnd/>
        </a:ln>
      </xdr:spPr>
    </xdr:sp>
    <xdr:clientData fLocksWithSheet="0"/>
  </xdr:twoCellAnchor>
  <xdr:twoCellAnchor>
    <xdr:from>
      <xdr:col>2</xdr:col>
      <xdr:colOff>4514850</xdr:colOff>
      <xdr:row>5</xdr:row>
      <xdr:rowOff>0</xdr:rowOff>
    </xdr:from>
    <xdr:to>
      <xdr:col>4</xdr:col>
      <xdr:colOff>0</xdr:colOff>
      <xdr:row>6</xdr:row>
      <xdr:rowOff>0</xdr:rowOff>
    </xdr:to>
    <xdr:sp macro="[0]!MACRO_OUVRIR_CHAMPIONS_LEAGUE_09_10" textlink="" fLocksText="0">
      <xdr:nvSpPr>
        <xdr:cNvPr id="109" name="Rectangle 1944"/>
        <xdr:cNvSpPr>
          <a:spLocks noChangeArrowheads="1"/>
        </xdr:cNvSpPr>
      </xdr:nvSpPr>
      <xdr:spPr bwMode="auto">
        <a:xfrm>
          <a:off x="13563600" y="2047875"/>
          <a:ext cx="4533900" cy="323850"/>
        </a:xfrm>
        <a:prstGeom prst="rect">
          <a:avLst/>
        </a:prstGeom>
        <a:noFill/>
        <a:ln w="9525">
          <a:noFill/>
          <a:miter lim="800000"/>
          <a:headEnd/>
          <a:tailEnd/>
        </a:ln>
      </xdr:spPr>
    </xdr:sp>
    <xdr:clientData fLocksWithSheet="0"/>
  </xdr:twoCellAnchor>
  <xdr:twoCellAnchor>
    <xdr:from>
      <xdr:col>2</xdr:col>
      <xdr:colOff>0</xdr:colOff>
      <xdr:row>5</xdr:row>
      <xdr:rowOff>0</xdr:rowOff>
    </xdr:from>
    <xdr:to>
      <xdr:col>3</xdr:col>
      <xdr:colOff>9525</xdr:colOff>
      <xdr:row>5</xdr:row>
      <xdr:rowOff>323849</xdr:rowOff>
    </xdr:to>
    <xdr:sp macro="[0]!MACRO_OUVRIR_CHAMPIONS_LEAGUE_10_11" textlink="" fLocksText="0">
      <xdr:nvSpPr>
        <xdr:cNvPr id="110" name="Rectangle 1944"/>
        <xdr:cNvSpPr>
          <a:spLocks noChangeArrowheads="1"/>
        </xdr:cNvSpPr>
      </xdr:nvSpPr>
      <xdr:spPr bwMode="auto">
        <a:xfrm>
          <a:off x="9048750" y="2047875"/>
          <a:ext cx="4533900" cy="323849"/>
        </a:xfrm>
        <a:prstGeom prst="rect">
          <a:avLst/>
        </a:prstGeom>
        <a:noFill/>
        <a:ln w="9525">
          <a:noFill/>
          <a:miter lim="800000"/>
          <a:headEnd/>
          <a:tailEnd/>
        </a:ln>
      </xdr:spPr>
    </xdr:sp>
    <xdr:clientData fLocksWithSheet="0"/>
  </xdr:twoCellAnchor>
  <xdr:twoCellAnchor>
    <xdr:from>
      <xdr:col>0</xdr:col>
      <xdr:colOff>4514850</xdr:colOff>
      <xdr:row>5</xdr:row>
      <xdr:rowOff>0</xdr:rowOff>
    </xdr:from>
    <xdr:to>
      <xdr:col>2</xdr:col>
      <xdr:colOff>0</xdr:colOff>
      <xdr:row>6</xdr:row>
      <xdr:rowOff>0</xdr:rowOff>
    </xdr:to>
    <xdr:sp macro="[0]!MACRO_OUVRIR_CHAMPIONS_LEAGUE_11_12" textlink="" fLocksText="0">
      <xdr:nvSpPr>
        <xdr:cNvPr id="111" name="Rectangle 1944"/>
        <xdr:cNvSpPr>
          <a:spLocks noChangeArrowheads="1"/>
        </xdr:cNvSpPr>
      </xdr:nvSpPr>
      <xdr:spPr bwMode="auto">
        <a:xfrm>
          <a:off x="4514850" y="2047875"/>
          <a:ext cx="4533900" cy="323850"/>
        </a:xfrm>
        <a:prstGeom prst="rect">
          <a:avLst/>
        </a:prstGeom>
        <a:noFill/>
        <a:ln w="9525">
          <a:noFill/>
          <a:miter lim="800000"/>
          <a:headEnd/>
          <a:tailEnd/>
        </a:ln>
      </xdr:spPr>
    </xdr:sp>
    <xdr:clientData fLocksWithSheet="0"/>
  </xdr:twoCellAnchor>
  <xdr:twoCellAnchor>
    <xdr:from>
      <xdr:col>0</xdr:col>
      <xdr:colOff>0</xdr:colOff>
      <xdr:row>5</xdr:row>
      <xdr:rowOff>0</xdr:rowOff>
    </xdr:from>
    <xdr:to>
      <xdr:col>1</xdr:col>
      <xdr:colOff>9525</xdr:colOff>
      <xdr:row>6</xdr:row>
      <xdr:rowOff>9525</xdr:rowOff>
    </xdr:to>
    <xdr:sp macro="[0]!MACRO_OUVRIR_CHAMPIONS_LEAGUE_12_13" textlink="" fLocksText="0">
      <xdr:nvSpPr>
        <xdr:cNvPr id="112" name="Rectangle 1944"/>
        <xdr:cNvSpPr>
          <a:spLocks noChangeArrowheads="1"/>
        </xdr:cNvSpPr>
      </xdr:nvSpPr>
      <xdr:spPr bwMode="auto">
        <a:xfrm>
          <a:off x="0" y="2047875"/>
          <a:ext cx="4533900" cy="333375"/>
        </a:xfrm>
        <a:prstGeom prst="rect">
          <a:avLst/>
        </a:prstGeom>
        <a:noFill/>
        <a:ln w="9525">
          <a:noFill/>
          <a:miter lim="800000"/>
          <a:headEnd/>
          <a:tailEnd/>
        </a:ln>
      </xdr:spPr>
    </xdr:sp>
    <xdr:clientData fLocksWithSheet="0"/>
  </xdr:twoCellAnchor>
  <xdr:twoCellAnchor>
    <xdr:from>
      <xdr:col>2</xdr:col>
      <xdr:colOff>4505325</xdr:colOff>
      <xdr:row>4</xdr:row>
      <xdr:rowOff>0</xdr:rowOff>
    </xdr:from>
    <xdr:to>
      <xdr:col>3</xdr:col>
      <xdr:colOff>4495800</xdr:colOff>
      <xdr:row>5</xdr:row>
      <xdr:rowOff>0</xdr:rowOff>
    </xdr:to>
    <xdr:sp macro="[0]!MACRO_OUVRIR_CHAMPIONS_LEAGUE_13_14" textlink="" fLocksText="0">
      <xdr:nvSpPr>
        <xdr:cNvPr id="113" name="Rectangle 1944"/>
        <xdr:cNvSpPr>
          <a:spLocks noChangeArrowheads="1"/>
        </xdr:cNvSpPr>
      </xdr:nvSpPr>
      <xdr:spPr bwMode="auto">
        <a:xfrm>
          <a:off x="13554075" y="1724025"/>
          <a:ext cx="4514850" cy="323850"/>
        </a:xfrm>
        <a:prstGeom prst="rect">
          <a:avLst/>
        </a:prstGeom>
        <a:noFill/>
        <a:ln w="9525">
          <a:noFill/>
          <a:miter lim="800000"/>
          <a:headEnd/>
          <a:tailEnd/>
        </a:ln>
      </xdr:spPr>
    </xdr:sp>
    <xdr:clientData fLocksWithSheet="0"/>
  </xdr:twoCellAnchor>
  <xdr:twoCellAnchor>
    <xdr:from>
      <xdr:col>1</xdr:col>
      <xdr:colOff>4514850</xdr:colOff>
      <xdr:row>3</xdr:row>
      <xdr:rowOff>314325</xdr:rowOff>
    </xdr:from>
    <xdr:to>
      <xdr:col>3</xdr:col>
      <xdr:colOff>0</xdr:colOff>
      <xdr:row>4</xdr:row>
      <xdr:rowOff>323849</xdr:rowOff>
    </xdr:to>
    <xdr:sp macro="[0]!MACRO_OUVRIR_CHAMPIONS_LEAGUE_14_15" textlink="" fLocksText="0">
      <xdr:nvSpPr>
        <xdr:cNvPr id="114" name="Rectangle 1944"/>
        <xdr:cNvSpPr>
          <a:spLocks noChangeArrowheads="1"/>
        </xdr:cNvSpPr>
      </xdr:nvSpPr>
      <xdr:spPr bwMode="auto">
        <a:xfrm>
          <a:off x="9039225" y="1714500"/>
          <a:ext cx="4533900" cy="333374"/>
        </a:xfrm>
        <a:prstGeom prst="rect">
          <a:avLst/>
        </a:prstGeom>
        <a:noFill/>
        <a:ln w="9525">
          <a:noFill/>
          <a:miter lim="800000"/>
          <a:headEnd/>
          <a:tailEnd/>
        </a:ln>
      </xdr:spPr>
    </xdr:sp>
    <xdr:clientData fLocksWithSheet="0"/>
  </xdr:twoCellAnchor>
  <xdr:twoCellAnchor>
    <xdr:from>
      <xdr:col>0</xdr:col>
      <xdr:colOff>4514850</xdr:colOff>
      <xdr:row>3</xdr:row>
      <xdr:rowOff>314325</xdr:rowOff>
    </xdr:from>
    <xdr:to>
      <xdr:col>2</xdr:col>
      <xdr:colOff>0</xdr:colOff>
      <xdr:row>5</xdr:row>
      <xdr:rowOff>9525</xdr:rowOff>
    </xdr:to>
    <xdr:sp macro="[0]!MACRO_OUVRIR_CHAMPIONS_LEAGUE_15_16" textlink="" fLocksText="0">
      <xdr:nvSpPr>
        <xdr:cNvPr id="115" name="Rectangle 1944"/>
        <xdr:cNvSpPr>
          <a:spLocks noChangeArrowheads="1"/>
        </xdr:cNvSpPr>
      </xdr:nvSpPr>
      <xdr:spPr bwMode="auto">
        <a:xfrm>
          <a:off x="4514850" y="1714500"/>
          <a:ext cx="4533900" cy="342900"/>
        </a:xfrm>
        <a:prstGeom prst="rect">
          <a:avLst/>
        </a:prstGeom>
        <a:noFill/>
        <a:ln w="9525">
          <a:noFill/>
          <a:miter lim="800000"/>
          <a:headEnd/>
          <a:tailEnd/>
        </a:ln>
      </xdr:spPr>
    </xdr:sp>
    <xdr:clientData fLocksWithSheet="0"/>
  </xdr:twoCellAnchor>
  <xdr:twoCellAnchor>
    <xdr:from>
      <xdr:col>0</xdr:col>
      <xdr:colOff>0</xdr:colOff>
      <xdr:row>4</xdr:row>
      <xdr:rowOff>9524</xdr:rowOff>
    </xdr:from>
    <xdr:to>
      <xdr:col>1</xdr:col>
      <xdr:colOff>9525</xdr:colOff>
      <xdr:row>5</xdr:row>
      <xdr:rowOff>19049</xdr:rowOff>
    </xdr:to>
    <xdr:sp macro="[0]!MACRO_OUVRIR_CHAMPIONS_LEAGUE_16_17" textlink="" fLocksText="0">
      <xdr:nvSpPr>
        <xdr:cNvPr id="116" name="Rectangle 1944"/>
        <xdr:cNvSpPr>
          <a:spLocks noChangeArrowheads="1"/>
        </xdr:cNvSpPr>
      </xdr:nvSpPr>
      <xdr:spPr bwMode="auto">
        <a:xfrm>
          <a:off x="0" y="1733549"/>
          <a:ext cx="4533900" cy="333375"/>
        </a:xfrm>
        <a:prstGeom prst="rect">
          <a:avLst/>
        </a:prstGeom>
        <a:noFill/>
        <a:ln w="9525">
          <a:noFill/>
          <a:miter lim="800000"/>
          <a:headEnd/>
          <a:tailEnd/>
        </a:ln>
      </xdr:spPr>
    </xdr:sp>
    <xdr:clientData fLocksWithSheet="0"/>
  </xdr:twoCellAnchor>
  <xdr:twoCellAnchor>
    <xdr:from>
      <xdr:col>0</xdr:col>
      <xdr:colOff>0</xdr:colOff>
      <xdr:row>0</xdr:row>
      <xdr:rowOff>0</xdr:rowOff>
    </xdr:from>
    <xdr:to>
      <xdr:col>4</xdr:col>
      <xdr:colOff>0</xdr:colOff>
      <xdr:row>2</xdr:row>
      <xdr:rowOff>19050</xdr:rowOff>
    </xdr:to>
    <xdr:sp macro="[0]!MACRO.A1" textlink="" fLocksText="0">
      <xdr:nvSpPr>
        <xdr:cNvPr id="58" name="Rectangle 1944"/>
        <xdr:cNvSpPr>
          <a:spLocks noChangeArrowheads="1"/>
        </xdr:cNvSpPr>
      </xdr:nvSpPr>
      <xdr:spPr bwMode="auto">
        <a:xfrm>
          <a:off x="0" y="0"/>
          <a:ext cx="18097500" cy="1095375"/>
        </a:xfrm>
        <a:prstGeom prst="rect">
          <a:avLst/>
        </a:prstGeom>
        <a:noFill/>
        <a:ln w="9525">
          <a:noFill/>
          <a:miter lim="800000"/>
          <a:headEnd/>
          <a:tailEnd/>
        </a:ln>
      </xdr:spPr>
    </xdr:sp>
    <xdr:clientData fLocksWithSheet="0"/>
  </xdr:twoCellAnchor>
  <xdr:twoCellAnchor>
    <xdr:from>
      <xdr:col>2</xdr:col>
      <xdr:colOff>4524374</xdr:colOff>
      <xdr:row>3</xdr:row>
      <xdr:rowOff>1</xdr:rowOff>
    </xdr:from>
    <xdr:to>
      <xdr:col>3</xdr:col>
      <xdr:colOff>4524374</xdr:colOff>
      <xdr:row>4</xdr:row>
      <xdr:rowOff>1</xdr:rowOff>
    </xdr:to>
    <xdr:sp macro="[0]!MACRO_OUVRIR_CHAMPIONS_LEAGUE_17_18" textlink="" fLocksText="0">
      <xdr:nvSpPr>
        <xdr:cNvPr id="59" name="Rectangle 1944"/>
        <xdr:cNvSpPr>
          <a:spLocks noChangeArrowheads="1"/>
        </xdr:cNvSpPr>
      </xdr:nvSpPr>
      <xdr:spPr bwMode="auto">
        <a:xfrm>
          <a:off x="13573124" y="1400176"/>
          <a:ext cx="4524375" cy="323850"/>
        </a:xfrm>
        <a:prstGeom prst="rect">
          <a:avLst/>
        </a:prstGeom>
        <a:noFill/>
        <a:ln w="9525">
          <a:noFill/>
          <a:miter lim="800000"/>
          <a:headEnd/>
          <a:tailEnd/>
        </a:ln>
      </xdr:spPr>
    </xdr:sp>
    <xdr:clientData fLocksWithSheet="0"/>
  </xdr:twoCellAnchor>
  <xdr:twoCellAnchor>
    <xdr:from>
      <xdr:col>1</xdr:col>
      <xdr:colOff>4514850</xdr:colOff>
      <xdr:row>10</xdr:row>
      <xdr:rowOff>9525</xdr:rowOff>
    </xdr:from>
    <xdr:to>
      <xdr:col>3</xdr:col>
      <xdr:colOff>0</xdr:colOff>
      <xdr:row>11</xdr:row>
      <xdr:rowOff>9524</xdr:rowOff>
    </xdr:to>
    <xdr:sp macro="[0]!MACRO_OUVRIR_COUPE_DE_LUEFA_2016_17" textlink="" fLocksText="0">
      <xdr:nvSpPr>
        <xdr:cNvPr id="60" name="Rectangle 1944"/>
        <xdr:cNvSpPr>
          <a:spLocks noChangeArrowheads="1"/>
        </xdr:cNvSpPr>
      </xdr:nvSpPr>
      <xdr:spPr bwMode="auto">
        <a:xfrm>
          <a:off x="9039225" y="3676650"/>
          <a:ext cx="4533900" cy="323849"/>
        </a:xfrm>
        <a:prstGeom prst="rect">
          <a:avLst/>
        </a:prstGeom>
        <a:noFill/>
        <a:ln w="9525">
          <a:noFill/>
          <a:miter lim="800000"/>
          <a:headEnd/>
          <a:tailEnd/>
        </a:ln>
      </xdr:spPr>
    </xdr:sp>
    <xdr:clientData fLocksWithSheet="0"/>
  </xdr:twoCellAnchor>
  <xdr:twoCellAnchor>
    <xdr:from>
      <xdr:col>2</xdr:col>
      <xdr:colOff>0</xdr:colOff>
      <xdr:row>18</xdr:row>
      <xdr:rowOff>323849</xdr:rowOff>
    </xdr:from>
    <xdr:to>
      <xdr:col>3</xdr:col>
      <xdr:colOff>0</xdr:colOff>
      <xdr:row>20</xdr:row>
      <xdr:rowOff>0</xdr:rowOff>
    </xdr:to>
    <xdr:sp macro="[0]!MACRO_OUVRIR_COUPE_DE_FRANCE_16_17" textlink="" fLocksText="0">
      <xdr:nvSpPr>
        <xdr:cNvPr id="117" name="Rectangle 1944"/>
        <xdr:cNvSpPr>
          <a:spLocks noChangeArrowheads="1"/>
        </xdr:cNvSpPr>
      </xdr:nvSpPr>
      <xdr:spPr bwMode="auto">
        <a:xfrm>
          <a:off x="9048750" y="6581774"/>
          <a:ext cx="4524375" cy="323851"/>
        </a:xfrm>
        <a:prstGeom prst="rect">
          <a:avLst/>
        </a:prstGeom>
        <a:noFill/>
        <a:ln w="9525">
          <a:noFill/>
          <a:miter lim="800000"/>
          <a:headEnd/>
          <a:tailEnd/>
        </a:ln>
      </xdr:spPr>
    </xdr:sp>
    <xdr:clientData fLocksWithSheet="0"/>
  </xdr:twoCellAnchor>
  <xdr:twoCellAnchor>
    <xdr:from>
      <xdr:col>0</xdr:col>
      <xdr:colOff>0</xdr:colOff>
      <xdr:row>24</xdr:row>
      <xdr:rowOff>0</xdr:rowOff>
    </xdr:from>
    <xdr:to>
      <xdr:col>0</xdr:col>
      <xdr:colOff>4514850</xdr:colOff>
      <xdr:row>24</xdr:row>
      <xdr:rowOff>323849</xdr:rowOff>
    </xdr:to>
    <xdr:sp macro="[0]!MACRO_OUVRIR_COUPE_DE_LA_LIGUE_18_19" textlink="" fLocksText="0">
      <xdr:nvSpPr>
        <xdr:cNvPr id="118" name="Rectangle 1944"/>
        <xdr:cNvSpPr>
          <a:spLocks noChangeArrowheads="1"/>
        </xdr:cNvSpPr>
      </xdr:nvSpPr>
      <xdr:spPr bwMode="auto">
        <a:xfrm>
          <a:off x="0" y="8201025"/>
          <a:ext cx="4514850" cy="323849"/>
        </a:xfrm>
        <a:prstGeom prst="rect">
          <a:avLst/>
        </a:prstGeom>
        <a:noFill/>
        <a:ln w="9525">
          <a:noFill/>
          <a:miter lim="800000"/>
          <a:headEnd/>
          <a:tailEnd/>
        </a:ln>
      </xdr:spPr>
    </xdr:sp>
    <xdr:clientData fLocksWithSheet="0"/>
  </xdr:twoCellAnchor>
  <xdr:twoCellAnchor>
    <xdr:from>
      <xdr:col>0</xdr:col>
      <xdr:colOff>0</xdr:colOff>
      <xdr:row>18</xdr:row>
      <xdr:rowOff>323849</xdr:rowOff>
    </xdr:from>
    <xdr:to>
      <xdr:col>0</xdr:col>
      <xdr:colOff>4524374</xdr:colOff>
      <xdr:row>20</xdr:row>
      <xdr:rowOff>9525</xdr:rowOff>
    </xdr:to>
    <xdr:sp macro="[0]!MACRO_OUVRIR_COUPE_DE_FRANCE_18_19" textlink="" fLocksText="0">
      <xdr:nvSpPr>
        <xdr:cNvPr id="119" name="Rectangle 1944"/>
        <xdr:cNvSpPr>
          <a:spLocks noChangeArrowheads="1"/>
        </xdr:cNvSpPr>
      </xdr:nvSpPr>
      <xdr:spPr bwMode="auto">
        <a:xfrm>
          <a:off x="0" y="6581774"/>
          <a:ext cx="4524374" cy="333376"/>
        </a:xfrm>
        <a:prstGeom prst="rect">
          <a:avLst/>
        </a:prstGeom>
        <a:noFill/>
        <a:ln w="9525">
          <a:noFill/>
          <a:miter lim="800000"/>
          <a:headEnd/>
          <a:tailEnd/>
        </a:ln>
      </xdr:spPr>
    </xdr:sp>
    <xdr:clientData fLocksWithSheet="0"/>
  </xdr:twoCellAnchor>
  <xdr:twoCellAnchor>
    <xdr:from>
      <xdr:col>0</xdr:col>
      <xdr:colOff>0</xdr:colOff>
      <xdr:row>14</xdr:row>
      <xdr:rowOff>314325</xdr:rowOff>
    </xdr:from>
    <xdr:to>
      <xdr:col>2</xdr:col>
      <xdr:colOff>4524374</xdr:colOff>
      <xdr:row>16</xdr:row>
      <xdr:rowOff>0</xdr:rowOff>
    </xdr:to>
    <xdr:sp macro="[0]!MACRO_OUVRIR_CONFEDERATIONS_2021" textlink="" fLocksText="0">
      <xdr:nvSpPr>
        <xdr:cNvPr id="120" name="Rectangle 1944"/>
        <xdr:cNvSpPr>
          <a:spLocks noChangeArrowheads="1"/>
        </xdr:cNvSpPr>
      </xdr:nvSpPr>
      <xdr:spPr bwMode="auto">
        <a:xfrm>
          <a:off x="0" y="5276850"/>
          <a:ext cx="13573124" cy="333375"/>
        </a:xfrm>
        <a:prstGeom prst="rect">
          <a:avLst/>
        </a:prstGeom>
        <a:noFill/>
        <a:ln w="9525">
          <a:noFill/>
          <a:miter lim="800000"/>
          <a:headEnd/>
          <a:tailEnd/>
        </a:ln>
      </xdr:spPr>
    </xdr:sp>
    <xdr:clientData fLocksWithSheet="0"/>
  </xdr:twoCellAnchor>
  <xdr:twoCellAnchor>
    <xdr:from>
      <xdr:col>0</xdr:col>
      <xdr:colOff>0</xdr:colOff>
      <xdr:row>10</xdr:row>
      <xdr:rowOff>9525</xdr:rowOff>
    </xdr:from>
    <xdr:to>
      <xdr:col>0</xdr:col>
      <xdr:colOff>4514850</xdr:colOff>
      <xdr:row>11</xdr:row>
      <xdr:rowOff>0</xdr:rowOff>
    </xdr:to>
    <xdr:sp macro="[0]!MACRO_OUVRIR_COUPE_DE_LUEFA_2018_19" textlink="" fLocksText="0">
      <xdr:nvSpPr>
        <xdr:cNvPr id="121" name="Rectangle 1944"/>
        <xdr:cNvSpPr>
          <a:spLocks noChangeArrowheads="1"/>
        </xdr:cNvSpPr>
      </xdr:nvSpPr>
      <xdr:spPr bwMode="auto">
        <a:xfrm>
          <a:off x="0" y="3676650"/>
          <a:ext cx="4514850" cy="314325"/>
        </a:xfrm>
        <a:prstGeom prst="rect">
          <a:avLst/>
        </a:prstGeom>
        <a:noFill/>
        <a:ln w="9525">
          <a:noFill/>
          <a:miter lim="800000"/>
          <a:headEnd/>
          <a:tailEnd/>
        </a:ln>
      </xdr:spPr>
    </xdr:sp>
    <xdr:clientData fLocksWithSheet="0"/>
  </xdr:twoCellAnchor>
  <xdr:twoCellAnchor>
    <xdr:from>
      <xdr:col>2</xdr:col>
      <xdr:colOff>0</xdr:colOff>
      <xdr:row>3</xdr:row>
      <xdr:rowOff>9526</xdr:rowOff>
    </xdr:from>
    <xdr:to>
      <xdr:col>3</xdr:col>
      <xdr:colOff>9524</xdr:colOff>
      <xdr:row>4</xdr:row>
      <xdr:rowOff>19050</xdr:rowOff>
    </xdr:to>
    <xdr:sp macro="[0]!MACRO_OUVRIR_CHAMPIONS_LEAGUE_18_19" textlink="" fLocksText="0">
      <xdr:nvSpPr>
        <xdr:cNvPr id="122" name="Rectangle 1944"/>
        <xdr:cNvSpPr>
          <a:spLocks noChangeArrowheads="1"/>
        </xdr:cNvSpPr>
      </xdr:nvSpPr>
      <xdr:spPr bwMode="auto">
        <a:xfrm>
          <a:off x="9048750" y="1409701"/>
          <a:ext cx="4533899" cy="333374"/>
        </a:xfrm>
        <a:prstGeom prst="rect">
          <a:avLst/>
        </a:prstGeom>
        <a:noFill/>
        <a:ln w="9525">
          <a:noFill/>
          <a:miter lim="800000"/>
          <a:headEnd/>
          <a:tailEnd/>
        </a:ln>
      </xdr:spPr>
    </xdr:sp>
    <xdr:clientData fLocksWithSheet="0"/>
  </xdr:twoCellAnchor>
  <xdr:twoCellAnchor>
    <xdr:from>
      <xdr:col>0</xdr:col>
      <xdr:colOff>0</xdr:colOff>
      <xdr:row>17</xdr:row>
      <xdr:rowOff>323849</xdr:rowOff>
    </xdr:from>
    <xdr:to>
      <xdr:col>4</xdr:col>
      <xdr:colOff>0</xdr:colOff>
      <xdr:row>18</xdr:row>
      <xdr:rowOff>314324</xdr:rowOff>
    </xdr:to>
    <xdr:sp macro="[0]!MACRO_OUVRIR_COUPE_DE_FRANCE_19_20" textlink="" fLocksText="0">
      <xdr:nvSpPr>
        <xdr:cNvPr id="123" name="Rectangle 1944"/>
        <xdr:cNvSpPr>
          <a:spLocks noChangeArrowheads="1"/>
        </xdr:cNvSpPr>
      </xdr:nvSpPr>
      <xdr:spPr bwMode="auto">
        <a:xfrm>
          <a:off x="0" y="6257924"/>
          <a:ext cx="18097500" cy="314325"/>
        </a:xfrm>
        <a:prstGeom prst="rect">
          <a:avLst/>
        </a:prstGeom>
        <a:noFill/>
        <a:ln w="9525">
          <a:noFill/>
          <a:miter lim="800000"/>
          <a:headEnd/>
          <a:tailEnd/>
        </a:ln>
      </xdr:spPr>
    </xdr:sp>
    <xdr:clientData fLocksWithSheet="0"/>
  </xdr:twoCellAnchor>
  <xdr:twoCellAnchor>
    <xdr:from>
      <xdr:col>0</xdr:col>
      <xdr:colOff>0</xdr:colOff>
      <xdr:row>23</xdr:row>
      <xdr:rowOff>0</xdr:rowOff>
    </xdr:from>
    <xdr:to>
      <xdr:col>4</xdr:col>
      <xdr:colOff>0</xdr:colOff>
      <xdr:row>23</xdr:row>
      <xdr:rowOff>323849</xdr:rowOff>
    </xdr:to>
    <xdr:sp macro="[0]!MACRO_OUVRIR_COUPE_DE_LA_LIGUE_19_20" textlink="" fLocksText="0">
      <xdr:nvSpPr>
        <xdr:cNvPr id="124" name="Rectangle 1944"/>
        <xdr:cNvSpPr>
          <a:spLocks noChangeArrowheads="1"/>
        </xdr:cNvSpPr>
      </xdr:nvSpPr>
      <xdr:spPr bwMode="auto">
        <a:xfrm>
          <a:off x="0" y="7877175"/>
          <a:ext cx="18097500" cy="323849"/>
        </a:xfrm>
        <a:prstGeom prst="rect">
          <a:avLst/>
        </a:prstGeom>
        <a:noFill/>
        <a:ln w="9525">
          <a:noFill/>
          <a:miter lim="800000"/>
          <a:headEnd/>
          <a:tailEnd/>
        </a:ln>
      </xdr:spPr>
    </xdr:sp>
    <xdr:clientData fLocksWithSheet="0"/>
  </xdr:twoCellAnchor>
  <xdr:twoCellAnchor>
    <xdr:from>
      <xdr:col>0</xdr:col>
      <xdr:colOff>0</xdr:colOff>
      <xdr:row>3</xdr:row>
      <xdr:rowOff>0</xdr:rowOff>
    </xdr:from>
    <xdr:to>
      <xdr:col>2</xdr:col>
      <xdr:colOff>0</xdr:colOff>
      <xdr:row>4</xdr:row>
      <xdr:rowOff>9524</xdr:rowOff>
    </xdr:to>
    <xdr:sp macro="[0]!MACRO_OUVRIR_CHAMPIONS_LEAGUE_19_20" textlink="" fLocksText="0">
      <xdr:nvSpPr>
        <xdr:cNvPr id="125" name="Rectangle 1944"/>
        <xdr:cNvSpPr>
          <a:spLocks noChangeArrowheads="1"/>
        </xdr:cNvSpPr>
      </xdr:nvSpPr>
      <xdr:spPr bwMode="auto">
        <a:xfrm>
          <a:off x="0" y="1400175"/>
          <a:ext cx="9048750" cy="333374"/>
        </a:xfrm>
        <a:prstGeom prst="rect">
          <a:avLst/>
        </a:prstGeom>
        <a:noFill/>
        <a:ln w="9525">
          <a:noFill/>
          <a:miter lim="800000"/>
          <a:headEnd/>
          <a:tailEnd/>
        </a:ln>
      </xdr:spPr>
    </xdr:sp>
    <xdr:clientData fLocksWithSheet="0"/>
  </xdr:twoCellAnchor>
  <xdr:twoCellAnchor>
    <xdr:from>
      <xdr:col>0</xdr:col>
      <xdr:colOff>0</xdr:colOff>
      <xdr:row>9</xdr:row>
      <xdr:rowOff>0</xdr:rowOff>
    </xdr:from>
    <xdr:to>
      <xdr:col>4</xdr:col>
      <xdr:colOff>0</xdr:colOff>
      <xdr:row>9</xdr:row>
      <xdr:rowOff>314325</xdr:rowOff>
    </xdr:to>
    <xdr:sp macro="[0]!MACRO_OUVRIR_COUPE_DE_LUEFA_2019_20" textlink="" fLocksText="0">
      <xdr:nvSpPr>
        <xdr:cNvPr id="126" name="Rectangle 1944"/>
        <xdr:cNvSpPr>
          <a:spLocks noChangeArrowheads="1"/>
        </xdr:cNvSpPr>
      </xdr:nvSpPr>
      <xdr:spPr bwMode="auto">
        <a:xfrm>
          <a:off x="0" y="3343275"/>
          <a:ext cx="18097500" cy="314325"/>
        </a:xfrm>
        <a:prstGeom prst="rect">
          <a:avLst/>
        </a:prstGeom>
        <a:noFill/>
        <a:ln w="9525">
          <a:noFill/>
          <a:miter lim="800000"/>
          <a:headEnd/>
          <a:tailEnd/>
        </a:ln>
      </xdr:spPr>
    </xdr:sp>
    <xdr:clientData fLocksWithSheet="0"/>
  </xdr:twoCellAnchor>
</xdr:wsDr>
</file>

<file path=xl/drawings/drawing3.xml><?xml version="1.0" encoding="utf-8"?>
<xdr:wsDr xmlns:xdr="http://schemas.openxmlformats.org/drawingml/2006/spreadsheetDrawing" xmlns:a="http://schemas.openxmlformats.org/drawingml/2006/main">
  <xdr:twoCellAnchor editAs="absolute">
    <xdr:from>
      <xdr:col>3</xdr:col>
      <xdr:colOff>0</xdr:colOff>
      <xdr:row>19</xdr:row>
      <xdr:rowOff>9524</xdr:rowOff>
    </xdr:from>
    <xdr:to>
      <xdr:col>4</xdr:col>
      <xdr:colOff>9525</xdr:colOff>
      <xdr:row>20</xdr:row>
      <xdr:rowOff>19049</xdr:rowOff>
    </xdr:to>
    <xdr:sp macro="[0]!MACRO_OUVRIR_FORMULE1_01" textlink="" fLocksText="0">
      <xdr:nvSpPr>
        <xdr:cNvPr id="67" name="Rectangle 1944"/>
        <xdr:cNvSpPr>
          <a:spLocks noChangeArrowheads="1"/>
        </xdr:cNvSpPr>
      </xdr:nvSpPr>
      <xdr:spPr bwMode="auto">
        <a:xfrm>
          <a:off x="13573125" y="8753474"/>
          <a:ext cx="4533900" cy="447675"/>
        </a:xfrm>
        <a:prstGeom prst="rect">
          <a:avLst/>
        </a:prstGeom>
        <a:noFill/>
        <a:ln w="9525">
          <a:noFill/>
          <a:miter lim="800000"/>
          <a:headEnd/>
          <a:tailEnd/>
        </a:ln>
      </xdr:spPr>
    </xdr:sp>
    <xdr:clientData fLocksWithSheet="0"/>
  </xdr:twoCellAnchor>
  <xdr:twoCellAnchor editAs="absolute">
    <xdr:from>
      <xdr:col>2</xdr:col>
      <xdr:colOff>0</xdr:colOff>
      <xdr:row>19</xdr:row>
      <xdr:rowOff>9525</xdr:rowOff>
    </xdr:from>
    <xdr:to>
      <xdr:col>3</xdr:col>
      <xdr:colOff>9525</xdr:colOff>
      <xdr:row>20</xdr:row>
      <xdr:rowOff>19050</xdr:rowOff>
    </xdr:to>
    <xdr:sp macro="[0]!MACRO_OUVRIR_FORMULE1_02" textlink="" fLocksText="0">
      <xdr:nvSpPr>
        <xdr:cNvPr id="68" name="Rectangle 1944"/>
        <xdr:cNvSpPr>
          <a:spLocks noChangeArrowheads="1"/>
        </xdr:cNvSpPr>
      </xdr:nvSpPr>
      <xdr:spPr bwMode="auto">
        <a:xfrm>
          <a:off x="9048750" y="8753475"/>
          <a:ext cx="4533900" cy="447675"/>
        </a:xfrm>
        <a:prstGeom prst="rect">
          <a:avLst/>
        </a:prstGeom>
        <a:noFill/>
        <a:ln w="9525">
          <a:noFill/>
          <a:miter lim="800000"/>
          <a:headEnd/>
          <a:tailEnd/>
        </a:ln>
      </xdr:spPr>
    </xdr:sp>
    <xdr:clientData fLocksWithSheet="0"/>
  </xdr:twoCellAnchor>
  <xdr:twoCellAnchor editAs="absolute">
    <xdr:from>
      <xdr:col>1</xdr:col>
      <xdr:colOff>0</xdr:colOff>
      <xdr:row>19</xdr:row>
      <xdr:rowOff>9525</xdr:rowOff>
    </xdr:from>
    <xdr:to>
      <xdr:col>2</xdr:col>
      <xdr:colOff>9525</xdr:colOff>
      <xdr:row>20</xdr:row>
      <xdr:rowOff>19050</xdr:rowOff>
    </xdr:to>
    <xdr:sp macro="[0]!MACRO_OUVRIR_FORMULE1_03" textlink="" fLocksText="0">
      <xdr:nvSpPr>
        <xdr:cNvPr id="69" name="Rectangle 1944"/>
        <xdr:cNvSpPr>
          <a:spLocks noChangeArrowheads="1"/>
        </xdr:cNvSpPr>
      </xdr:nvSpPr>
      <xdr:spPr bwMode="auto">
        <a:xfrm>
          <a:off x="4524375" y="8753475"/>
          <a:ext cx="4533900" cy="447675"/>
        </a:xfrm>
        <a:prstGeom prst="rect">
          <a:avLst/>
        </a:prstGeom>
        <a:noFill/>
        <a:ln w="9525">
          <a:noFill/>
          <a:miter lim="800000"/>
          <a:headEnd/>
          <a:tailEnd/>
        </a:ln>
      </xdr:spPr>
    </xdr:sp>
    <xdr:clientData fLocksWithSheet="0"/>
  </xdr:twoCellAnchor>
  <xdr:twoCellAnchor editAs="absolute">
    <xdr:from>
      <xdr:col>0</xdr:col>
      <xdr:colOff>0</xdr:colOff>
      <xdr:row>19</xdr:row>
      <xdr:rowOff>9525</xdr:rowOff>
    </xdr:from>
    <xdr:to>
      <xdr:col>1</xdr:col>
      <xdr:colOff>9525</xdr:colOff>
      <xdr:row>20</xdr:row>
      <xdr:rowOff>19050</xdr:rowOff>
    </xdr:to>
    <xdr:sp macro="[0]!MACRO_OUVRIR_FORMULE1_04" textlink="" fLocksText="0">
      <xdr:nvSpPr>
        <xdr:cNvPr id="70" name="Rectangle 1944"/>
        <xdr:cNvSpPr>
          <a:spLocks noChangeArrowheads="1"/>
        </xdr:cNvSpPr>
      </xdr:nvSpPr>
      <xdr:spPr bwMode="auto">
        <a:xfrm>
          <a:off x="0" y="8753475"/>
          <a:ext cx="4533900" cy="447675"/>
        </a:xfrm>
        <a:prstGeom prst="rect">
          <a:avLst/>
        </a:prstGeom>
        <a:noFill/>
        <a:ln w="9525">
          <a:noFill/>
          <a:miter lim="800000"/>
          <a:headEnd/>
          <a:tailEnd/>
        </a:ln>
      </xdr:spPr>
    </xdr:sp>
    <xdr:clientData fLocksWithSheet="0"/>
  </xdr:twoCellAnchor>
  <xdr:twoCellAnchor editAs="absolute">
    <xdr:from>
      <xdr:col>3</xdr:col>
      <xdr:colOff>0</xdr:colOff>
      <xdr:row>18</xdr:row>
      <xdr:rowOff>9525</xdr:rowOff>
    </xdr:from>
    <xdr:to>
      <xdr:col>4</xdr:col>
      <xdr:colOff>9525</xdr:colOff>
      <xdr:row>19</xdr:row>
      <xdr:rowOff>19050</xdr:rowOff>
    </xdr:to>
    <xdr:sp macro="[0]!MACRO_OUVRIR_FORMULE1_05" textlink="" fLocksText="0">
      <xdr:nvSpPr>
        <xdr:cNvPr id="71" name="Rectangle 1944"/>
        <xdr:cNvSpPr>
          <a:spLocks noChangeArrowheads="1"/>
        </xdr:cNvSpPr>
      </xdr:nvSpPr>
      <xdr:spPr bwMode="auto">
        <a:xfrm>
          <a:off x="13573125" y="8315325"/>
          <a:ext cx="4533900" cy="447675"/>
        </a:xfrm>
        <a:prstGeom prst="rect">
          <a:avLst/>
        </a:prstGeom>
        <a:noFill/>
        <a:ln w="9525">
          <a:noFill/>
          <a:miter lim="800000"/>
          <a:headEnd/>
          <a:tailEnd/>
        </a:ln>
      </xdr:spPr>
    </xdr:sp>
    <xdr:clientData fLocksWithSheet="0"/>
  </xdr:twoCellAnchor>
  <xdr:twoCellAnchor editAs="absolute">
    <xdr:from>
      <xdr:col>2</xdr:col>
      <xdr:colOff>0</xdr:colOff>
      <xdr:row>18</xdr:row>
      <xdr:rowOff>9525</xdr:rowOff>
    </xdr:from>
    <xdr:to>
      <xdr:col>3</xdr:col>
      <xdr:colOff>9525</xdr:colOff>
      <xdr:row>19</xdr:row>
      <xdr:rowOff>19050</xdr:rowOff>
    </xdr:to>
    <xdr:sp macro="[0]!MACRO_OUVRIR_FORMULE1_06" textlink="" fLocksText="0">
      <xdr:nvSpPr>
        <xdr:cNvPr id="72" name="Rectangle 1944"/>
        <xdr:cNvSpPr>
          <a:spLocks noChangeArrowheads="1"/>
        </xdr:cNvSpPr>
      </xdr:nvSpPr>
      <xdr:spPr bwMode="auto">
        <a:xfrm>
          <a:off x="9048750" y="8315325"/>
          <a:ext cx="4533900" cy="447675"/>
        </a:xfrm>
        <a:prstGeom prst="rect">
          <a:avLst/>
        </a:prstGeom>
        <a:noFill/>
        <a:ln w="9525">
          <a:noFill/>
          <a:miter lim="800000"/>
          <a:headEnd/>
          <a:tailEnd/>
        </a:ln>
      </xdr:spPr>
    </xdr:sp>
    <xdr:clientData fLocksWithSheet="0"/>
  </xdr:twoCellAnchor>
  <xdr:twoCellAnchor editAs="absolute">
    <xdr:from>
      <xdr:col>1</xdr:col>
      <xdr:colOff>0</xdr:colOff>
      <xdr:row>18</xdr:row>
      <xdr:rowOff>9525</xdr:rowOff>
    </xdr:from>
    <xdr:to>
      <xdr:col>2</xdr:col>
      <xdr:colOff>9525</xdr:colOff>
      <xdr:row>19</xdr:row>
      <xdr:rowOff>19050</xdr:rowOff>
    </xdr:to>
    <xdr:sp macro="[0]!MACRO_OUVRIR_FORMULE1_07" textlink="" fLocksText="0">
      <xdr:nvSpPr>
        <xdr:cNvPr id="73" name="Rectangle 1944"/>
        <xdr:cNvSpPr>
          <a:spLocks noChangeArrowheads="1"/>
        </xdr:cNvSpPr>
      </xdr:nvSpPr>
      <xdr:spPr bwMode="auto">
        <a:xfrm>
          <a:off x="4524375" y="8315325"/>
          <a:ext cx="4533900" cy="447675"/>
        </a:xfrm>
        <a:prstGeom prst="rect">
          <a:avLst/>
        </a:prstGeom>
        <a:noFill/>
        <a:ln w="9525">
          <a:noFill/>
          <a:miter lim="800000"/>
          <a:headEnd/>
          <a:tailEnd/>
        </a:ln>
      </xdr:spPr>
    </xdr:sp>
    <xdr:clientData fLocksWithSheet="0"/>
  </xdr:twoCellAnchor>
  <xdr:twoCellAnchor editAs="absolute">
    <xdr:from>
      <xdr:col>0</xdr:col>
      <xdr:colOff>0</xdr:colOff>
      <xdr:row>18</xdr:row>
      <xdr:rowOff>9525</xdr:rowOff>
    </xdr:from>
    <xdr:to>
      <xdr:col>1</xdr:col>
      <xdr:colOff>9525</xdr:colOff>
      <xdr:row>19</xdr:row>
      <xdr:rowOff>19050</xdr:rowOff>
    </xdr:to>
    <xdr:sp macro="[0]!MACRO_OUVRIR_FORMULE1_08" textlink="" fLocksText="0">
      <xdr:nvSpPr>
        <xdr:cNvPr id="74" name="Rectangle 1944"/>
        <xdr:cNvSpPr>
          <a:spLocks noChangeArrowheads="1"/>
        </xdr:cNvSpPr>
      </xdr:nvSpPr>
      <xdr:spPr bwMode="auto">
        <a:xfrm>
          <a:off x="0" y="8315325"/>
          <a:ext cx="4533900" cy="447675"/>
        </a:xfrm>
        <a:prstGeom prst="rect">
          <a:avLst/>
        </a:prstGeom>
        <a:noFill/>
        <a:ln w="9525">
          <a:noFill/>
          <a:miter lim="800000"/>
          <a:headEnd/>
          <a:tailEnd/>
        </a:ln>
      </xdr:spPr>
    </xdr:sp>
    <xdr:clientData fLocksWithSheet="0"/>
  </xdr:twoCellAnchor>
  <xdr:twoCellAnchor editAs="absolute">
    <xdr:from>
      <xdr:col>3</xdr:col>
      <xdr:colOff>0</xdr:colOff>
      <xdr:row>17</xdr:row>
      <xdr:rowOff>9525</xdr:rowOff>
    </xdr:from>
    <xdr:to>
      <xdr:col>4</xdr:col>
      <xdr:colOff>9525</xdr:colOff>
      <xdr:row>18</xdr:row>
      <xdr:rowOff>19050</xdr:rowOff>
    </xdr:to>
    <xdr:sp macro="[0]!MACRO_OUVRIR_FORMULE1_09" textlink="" fLocksText="0">
      <xdr:nvSpPr>
        <xdr:cNvPr id="75" name="Rectangle 1944"/>
        <xdr:cNvSpPr>
          <a:spLocks noChangeArrowheads="1"/>
        </xdr:cNvSpPr>
      </xdr:nvSpPr>
      <xdr:spPr bwMode="auto">
        <a:xfrm>
          <a:off x="13573125" y="7877175"/>
          <a:ext cx="4533900" cy="447675"/>
        </a:xfrm>
        <a:prstGeom prst="rect">
          <a:avLst/>
        </a:prstGeom>
        <a:noFill/>
        <a:ln w="9525">
          <a:noFill/>
          <a:miter lim="800000"/>
          <a:headEnd/>
          <a:tailEnd/>
        </a:ln>
      </xdr:spPr>
    </xdr:sp>
    <xdr:clientData fLocksWithSheet="0"/>
  </xdr:twoCellAnchor>
  <xdr:twoCellAnchor editAs="absolute">
    <xdr:from>
      <xdr:col>2</xdr:col>
      <xdr:colOff>0</xdr:colOff>
      <xdr:row>17</xdr:row>
      <xdr:rowOff>9525</xdr:rowOff>
    </xdr:from>
    <xdr:to>
      <xdr:col>3</xdr:col>
      <xdr:colOff>9525</xdr:colOff>
      <xdr:row>18</xdr:row>
      <xdr:rowOff>19050</xdr:rowOff>
    </xdr:to>
    <xdr:sp macro="[0]!MACRO_OUVRIR_FORMULE1_10" textlink="" fLocksText="0">
      <xdr:nvSpPr>
        <xdr:cNvPr id="76" name="Rectangle 1944"/>
        <xdr:cNvSpPr>
          <a:spLocks noChangeArrowheads="1"/>
        </xdr:cNvSpPr>
      </xdr:nvSpPr>
      <xdr:spPr bwMode="auto">
        <a:xfrm>
          <a:off x="9048750" y="7877175"/>
          <a:ext cx="4533900" cy="447675"/>
        </a:xfrm>
        <a:prstGeom prst="rect">
          <a:avLst/>
        </a:prstGeom>
        <a:noFill/>
        <a:ln w="9525">
          <a:noFill/>
          <a:miter lim="800000"/>
          <a:headEnd/>
          <a:tailEnd/>
        </a:ln>
      </xdr:spPr>
    </xdr:sp>
    <xdr:clientData fLocksWithSheet="0"/>
  </xdr:twoCellAnchor>
  <xdr:twoCellAnchor editAs="absolute">
    <xdr:from>
      <xdr:col>1</xdr:col>
      <xdr:colOff>0</xdr:colOff>
      <xdr:row>17</xdr:row>
      <xdr:rowOff>9525</xdr:rowOff>
    </xdr:from>
    <xdr:to>
      <xdr:col>2</xdr:col>
      <xdr:colOff>9525</xdr:colOff>
      <xdr:row>18</xdr:row>
      <xdr:rowOff>19050</xdr:rowOff>
    </xdr:to>
    <xdr:sp macro="[0]!MACRO_OUVRIR_FORMULE1_11" textlink="" fLocksText="0">
      <xdr:nvSpPr>
        <xdr:cNvPr id="77" name="Rectangle 1944"/>
        <xdr:cNvSpPr>
          <a:spLocks noChangeArrowheads="1"/>
        </xdr:cNvSpPr>
      </xdr:nvSpPr>
      <xdr:spPr bwMode="auto">
        <a:xfrm>
          <a:off x="4524375" y="7877175"/>
          <a:ext cx="4533900" cy="447675"/>
        </a:xfrm>
        <a:prstGeom prst="rect">
          <a:avLst/>
        </a:prstGeom>
        <a:noFill/>
        <a:ln w="9525">
          <a:noFill/>
          <a:miter lim="800000"/>
          <a:headEnd/>
          <a:tailEnd/>
        </a:ln>
      </xdr:spPr>
    </xdr:sp>
    <xdr:clientData fLocksWithSheet="0"/>
  </xdr:twoCellAnchor>
  <xdr:twoCellAnchor editAs="absolute">
    <xdr:from>
      <xdr:col>0</xdr:col>
      <xdr:colOff>0</xdr:colOff>
      <xdr:row>17</xdr:row>
      <xdr:rowOff>9525</xdr:rowOff>
    </xdr:from>
    <xdr:to>
      <xdr:col>1</xdr:col>
      <xdr:colOff>9525</xdr:colOff>
      <xdr:row>18</xdr:row>
      <xdr:rowOff>19050</xdr:rowOff>
    </xdr:to>
    <xdr:sp macro="[0]!MACRO_OUVRIR_FORMULE1_12" textlink="" fLocksText="0">
      <xdr:nvSpPr>
        <xdr:cNvPr id="78" name="Rectangle 1944"/>
        <xdr:cNvSpPr>
          <a:spLocks noChangeArrowheads="1"/>
        </xdr:cNvSpPr>
      </xdr:nvSpPr>
      <xdr:spPr bwMode="auto">
        <a:xfrm>
          <a:off x="0" y="7877175"/>
          <a:ext cx="4533900" cy="447675"/>
        </a:xfrm>
        <a:prstGeom prst="rect">
          <a:avLst/>
        </a:prstGeom>
        <a:noFill/>
        <a:ln w="9525">
          <a:noFill/>
          <a:miter lim="800000"/>
          <a:headEnd/>
          <a:tailEnd/>
        </a:ln>
      </xdr:spPr>
    </xdr:sp>
    <xdr:clientData fLocksWithSheet="0"/>
  </xdr:twoCellAnchor>
  <xdr:twoCellAnchor editAs="absolute">
    <xdr:from>
      <xdr:col>3</xdr:col>
      <xdr:colOff>0</xdr:colOff>
      <xdr:row>16</xdr:row>
      <xdr:rowOff>9525</xdr:rowOff>
    </xdr:from>
    <xdr:to>
      <xdr:col>4</xdr:col>
      <xdr:colOff>9525</xdr:colOff>
      <xdr:row>17</xdr:row>
      <xdr:rowOff>19050</xdr:rowOff>
    </xdr:to>
    <xdr:sp macro="[0]!MACRO_OUVRIR_FORMULE1_13" textlink="" fLocksText="0">
      <xdr:nvSpPr>
        <xdr:cNvPr id="79" name="Rectangle 1944"/>
        <xdr:cNvSpPr>
          <a:spLocks noChangeArrowheads="1"/>
        </xdr:cNvSpPr>
      </xdr:nvSpPr>
      <xdr:spPr bwMode="auto">
        <a:xfrm>
          <a:off x="13573125" y="7439025"/>
          <a:ext cx="4533900" cy="447675"/>
        </a:xfrm>
        <a:prstGeom prst="rect">
          <a:avLst/>
        </a:prstGeom>
        <a:noFill/>
        <a:ln w="9525">
          <a:noFill/>
          <a:miter lim="800000"/>
          <a:headEnd/>
          <a:tailEnd/>
        </a:ln>
      </xdr:spPr>
    </xdr:sp>
    <xdr:clientData fLocksWithSheet="0"/>
  </xdr:twoCellAnchor>
  <xdr:twoCellAnchor editAs="absolute">
    <xdr:from>
      <xdr:col>2</xdr:col>
      <xdr:colOff>0</xdr:colOff>
      <xdr:row>16</xdr:row>
      <xdr:rowOff>9525</xdr:rowOff>
    </xdr:from>
    <xdr:to>
      <xdr:col>3</xdr:col>
      <xdr:colOff>9525</xdr:colOff>
      <xdr:row>17</xdr:row>
      <xdr:rowOff>19050</xdr:rowOff>
    </xdr:to>
    <xdr:sp macro="[0]!MACRO_OUVRIR_FORMULE1_14" textlink="" fLocksText="0">
      <xdr:nvSpPr>
        <xdr:cNvPr id="80" name="Rectangle 1944"/>
        <xdr:cNvSpPr>
          <a:spLocks noChangeArrowheads="1"/>
        </xdr:cNvSpPr>
      </xdr:nvSpPr>
      <xdr:spPr bwMode="auto">
        <a:xfrm>
          <a:off x="9048750" y="7439025"/>
          <a:ext cx="4533900" cy="447675"/>
        </a:xfrm>
        <a:prstGeom prst="rect">
          <a:avLst/>
        </a:prstGeom>
        <a:noFill/>
        <a:ln w="9525">
          <a:noFill/>
          <a:miter lim="800000"/>
          <a:headEnd/>
          <a:tailEnd/>
        </a:ln>
      </xdr:spPr>
    </xdr:sp>
    <xdr:clientData fLocksWithSheet="0"/>
  </xdr:twoCellAnchor>
  <xdr:twoCellAnchor editAs="absolute">
    <xdr:from>
      <xdr:col>1</xdr:col>
      <xdr:colOff>0</xdr:colOff>
      <xdr:row>16</xdr:row>
      <xdr:rowOff>9525</xdr:rowOff>
    </xdr:from>
    <xdr:to>
      <xdr:col>2</xdr:col>
      <xdr:colOff>9525</xdr:colOff>
      <xdr:row>17</xdr:row>
      <xdr:rowOff>19050</xdr:rowOff>
    </xdr:to>
    <xdr:sp macro="[0]!MACRO_OUVRIR_FORMULE1_15" textlink="" fLocksText="0">
      <xdr:nvSpPr>
        <xdr:cNvPr id="81" name="Rectangle 1944"/>
        <xdr:cNvSpPr>
          <a:spLocks noChangeArrowheads="1"/>
        </xdr:cNvSpPr>
      </xdr:nvSpPr>
      <xdr:spPr bwMode="auto">
        <a:xfrm>
          <a:off x="4524375" y="7439025"/>
          <a:ext cx="4533900" cy="447675"/>
        </a:xfrm>
        <a:prstGeom prst="rect">
          <a:avLst/>
        </a:prstGeom>
        <a:noFill/>
        <a:ln w="9525">
          <a:noFill/>
          <a:miter lim="800000"/>
          <a:headEnd/>
          <a:tailEnd/>
        </a:ln>
      </xdr:spPr>
    </xdr:sp>
    <xdr:clientData fLocksWithSheet="0"/>
  </xdr:twoCellAnchor>
  <xdr:twoCellAnchor editAs="absolute">
    <xdr:from>
      <xdr:col>0</xdr:col>
      <xdr:colOff>0</xdr:colOff>
      <xdr:row>16</xdr:row>
      <xdr:rowOff>9525</xdr:rowOff>
    </xdr:from>
    <xdr:to>
      <xdr:col>1</xdr:col>
      <xdr:colOff>9525</xdr:colOff>
      <xdr:row>17</xdr:row>
      <xdr:rowOff>19050</xdr:rowOff>
    </xdr:to>
    <xdr:sp macro="[0]!MACRO_OUVRIR_FORMULE1_16" textlink="" fLocksText="0">
      <xdr:nvSpPr>
        <xdr:cNvPr id="82" name="Rectangle 1944"/>
        <xdr:cNvSpPr>
          <a:spLocks noChangeArrowheads="1"/>
        </xdr:cNvSpPr>
      </xdr:nvSpPr>
      <xdr:spPr bwMode="auto">
        <a:xfrm>
          <a:off x="0" y="7439025"/>
          <a:ext cx="4533900" cy="447675"/>
        </a:xfrm>
        <a:prstGeom prst="rect">
          <a:avLst/>
        </a:prstGeom>
        <a:noFill/>
        <a:ln w="9525">
          <a:noFill/>
          <a:miter lim="800000"/>
          <a:headEnd/>
          <a:tailEnd/>
        </a:ln>
      </xdr:spPr>
    </xdr:sp>
    <xdr:clientData fLocksWithSheet="0"/>
  </xdr:twoCellAnchor>
  <xdr:twoCellAnchor editAs="absolute">
    <xdr:from>
      <xdr:col>0</xdr:col>
      <xdr:colOff>0</xdr:colOff>
      <xdr:row>15</xdr:row>
      <xdr:rowOff>9525</xdr:rowOff>
    </xdr:from>
    <xdr:to>
      <xdr:col>1</xdr:col>
      <xdr:colOff>4514850</xdr:colOff>
      <xdr:row>16</xdr:row>
      <xdr:rowOff>19050</xdr:rowOff>
    </xdr:to>
    <xdr:sp macro="[0]!MACRO_OUVRIR_FORMULE1_19" textlink="" fLocksText="0">
      <xdr:nvSpPr>
        <xdr:cNvPr id="83" name="Rectangle 1944"/>
        <xdr:cNvSpPr>
          <a:spLocks noChangeArrowheads="1"/>
        </xdr:cNvSpPr>
      </xdr:nvSpPr>
      <xdr:spPr bwMode="auto">
        <a:xfrm>
          <a:off x="0" y="7000875"/>
          <a:ext cx="9039225" cy="447675"/>
        </a:xfrm>
        <a:prstGeom prst="rect">
          <a:avLst/>
        </a:prstGeom>
        <a:noFill/>
        <a:ln w="9525">
          <a:noFill/>
          <a:miter lim="800000"/>
          <a:headEnd/>
          <a:tailEnd/>
        </a:ln>
      </xdr:spPr>
    </xdr:sp>
    <xdr:clientData fLocksWithSheet="0"/>
  </xdr:twoCellAnchor>
  <xdr:twoCellAnchor editAs="absolute">
    <xdr:from>
      <xdr:col>3</xdr:col>
      <xdr:colOff>0</xdr:colOff>
      <xdr:row>13</xdr:row>
      <xdr:rowOff>0</xdr:rowOff>
    </xdr:from>
    <xdr:to>
      <xdr:col>4</xdr:col>
      <xdr:colOff>9525</xdr:colOff>
      <xdr:row>14</xdr:row>
      <xdr:rowOff>9525</xdr:rowOff>
    </xdr:to>
    <xdr:sp macro="[0]!MACRO_OUVRIR_EURO_2000" textlink="" fLocksText="0">
      <xdr:nvSpPr>
        <xdr:cNvPr id="84" name="Rectangle 1944"/>
        <xdr:cNvSpPr>
          <a:spLocks noChangeArrowheads="1"/>
        </xdr:cNvSpPr>
      </xdr:nvSpPr>
      <xdr:spPr bwMode="auto">
        <a:xfrm>
          <a:off x="13573125" y="6124575"/>
          <a:ext cx="4533900" cy="447675"/>
        </a:xfrm>
        <a:prstGeom prst="rect">
          <a:avLst/>
        </a:prstGeom>
        <a:noFill/>
        <a:ln w="9525">
          <a:noFill/>
          <a:miter lim="800000"/>
          <a:headEnd/>
          <a:tailEnd/>
        </a:ln>
      </xdr:spPr>
    </xdr:sp>
    <xdr:clientData fLocksWithSheet="0"/>
  </xdr:twoCellAnchor>
  <xdr:twoCellAnchor editAs="absolute">
    <xdr:from>
      <xdr:col>2</xdr:col>
      <xdr:colOff>0</xdr:colOff>
      <xdr:row>13</xdr:row>
      <xdr:rowOff>0</xdr:rowOff>
    </xdr:from>
    <xdr:to>
      <xdr:col>3</xdr:col>
      <xdr:colOff>9525</xdr:colOff>
      <xdr:row>14</xdr:row>
      <xdr:rowOff>9525</xdr:rowOff>
    </xdr:to>
    <xdr:sp macro="[0]!MACRO_OUVRIR_EURO_2004" textlink="" fLocksText="0">
      <xdr:nvSpPr>
        <xdr:cNvPr id="85" name="Rectangle 1944"/>
        <xdr:cNvSpPr>
          <a:spLocks noChangeArrowheads="1"/>
        </xdr:cNvSpPr>
      </xdr:nvSpPr>
      <xdr:spPr bwMode="auto">
        <a:xfrm>
          <a:off x="9048750" y="6124575"/>
          <a:ext cx="4533900" cy="447675"/>
        </a:xfrm>
        <a:prstGeom prst="rect">
          <a:avLst/>
        </a:prstGeom>
        <a:noFill/>
        <a:ln w="9525">
          <a:noFill/>
          <a:miter lim="800000"/>
          <a:headEnd/>
          <a:tailEnd/>
        </a:ln>
      </xdr:spPr>
    </xdr:sp>
    <xdr:clientData fLocksWithSheet="0"/>
  </xdr:twoCellAnchor>
  <xdr:twoCellAnchor editAs="absolute">
    <xdr:from>
      <xdr:col>1</xdr:col>
      <xdr:colOff>0</xdr:colOff>
      <xdr:row>13</xdr:row>
      <xdr:rowOff>0</xdr:rowOff>
    </xdr:from>
    <xdr:to>
      <xdr:col>2</xdr:col>
      <xdr:colOff>9525</xdr:colOff>
      <xdr:row>14</xdr:row>
      <xdr:rowOff>9525</xdr:rowOff>
    </xdr:to>
    <xdr:sp macro="[0]!MACRO_OUVRIR_EURO_2008" textlink="" fLocksText="0">
      <xdr:nvSpPr>
        <xdr:cNvPr id="86" name="Rectangle 1944"/>
        <xdr:cNvSpPr>
          <a:spLocks noChangeArrowheads="1"/>
        </xdr:cNvSpPr>
      </xdr:nvSpPr>
      <xdr:spPr bwMode="auto">
        <a:xfrm>
          <a:off x="4524375" y="6124575"/>
          <a:ext cx="4533900" cy="447675"/>
        </a:xfrm>
        <a:prstGeom prst="rect">
          <a:avLst/>
        </a:prstGeom>
        <a:noFill/>
        <a:ln w="9525">
          <a:noFill/>
          <a:miter lim="800000"/>
          <a:headEnd/>
          <a:tailEnd/>
        </a:ln>
      </xdr:spPr>
    </xdr:sp>
    <xdr:clientData fLocksWithSheet="0"/>
  </xdr:twoCellAnchor>
  <xdr:twoCellAnchor editAs="absolute">
    <xdr:from>
      <xdr:col>0</xdr:col>
      <xdr:colOff>0</xdr:colOff>
      <xdr:row>13</xdr:row>
      <xdr:rowOff>0</xdr:rowOff>
    </xdr:from>
    <xdr:to>
      <xdr:col>1</xdr:col>
      <xdr:colOff>9525</xdr:colOff>
      <xdr:row>14</xdr:row>
      <xdr:rowOff>9525</xdr:rowOff>
    </xdr:to>
    <xdr:sp macro="[0]!MACRO_OUVRIR_EURO_2012" textlink="" fLocksText="0">
      <xdr:nvSpPr>
        <xdr:cNvPr id="87" name="Rectangle 1944"/>
        <xdr:cNvSpPr>
          <a:spLocks noChangeArrowheads="1"/>
        </xdr:cNvSpPr>
      </xdr:nvSpPr>
      <xdr:spPr bwMode="auto">
        <a:xfrm>
          <a:off x="0" y="6124575"/>
          <a:ext cx="4533900" cy="447675"/>
        </a:xfrm>
        <a:prstGeom prst="rect">
          <a:avLst/>
        </a:prstGeom>
        <a:noFill/>
        <a:ln w="9525">
          <a:noFill/>
          <a:miter lim="800000"/>
          <a:headEnd/>
          <a:tailEnd/>
        </a:ln>
      </xdr:spPr>
    </xdr:sp>
    <xdr:clientData fLocksWithSheet="0"/>
  </xdr:twoCellAnchor>
  <xdr:twoCellAnchor editAs="absolute">
    <xdr:from>
      <xdr:col>3</xdr:col>
      <xdr:colOff>0</xdr:colOff>
      <xdr:row>12</xdr:row>
      <xdr:rowOff>0</xdr:rowOff>
    </xdr:from>
    <xdr:to>
      <xdr:col>4</xdr:col>
      <xdr:colOff>9525</xdr:colOff>
      <xdr:row>13</xdr:row>
      <xdr:rowOff>9525</xdr:rowOff>
    </xdr:to>
    <xdr:sp macro="[0]!MACRO_OUVRIR_EURO_2016" textlink="" fLocksText="0">
      <xdr:nvSpPr>
        <xdr:cNvPr id="88" name="Rectangle 1944"/>
        <xdr:cNvSpPr>
          <a:spLocks noChangeArrowheads="1"/>
        </xdr:cNvSpPr>
      </xdr:nvSpPr>
      <xdr:spPr bwMode="auto">
        <a:xfrm>
          <a:off x="13573125" y="5686425"/>
          <a:ext cx="4533900" cy="447675"/>
        </a:xfrm>
        <a:prstGeom prst="rect">
          <a:avLst/>
        </a:prstGeom>
        <a:noFill/>
        <a:ln w="9525">
          <a:noFill/>
          <a:miter lim="800000"/>
          <a:headEnd/>
          <a:tailEnd/>
        </a:ln>
      </xdr:spPr>
    </xdr:sp>
    <xdr:clientData fLocksWithSheet="0"/>
  </xdr:twoCellAnchor>
  <xdr:twoCellAnchor editAs="absolute">
    <xdr:from>
      <xdr:col>0</xdr:col>
      <xdr:colOff>0</xdr:colOff>
      <xdr:row>12</xdr:row>
      <xdr:rowOff>0</xdr:rowOff>
    </xdr:from>
    <xdr:to>
      <xdr:col>2</xdr:col>
      <xdr:colOff>4524374</xdr:colOff>
      <xdr:row>13</xdr:row>
      <xdr:rowOff>9525</xdr:rowOff>
    </xdr:to>
    <xdr:sp macro="[0]!MACRO_OUVRIR_EURO_2020" textlink="" fLocksText="0">
      <xdr:nvSpPr>
        <xdr:cNvPr id="89" name="Rectangle 1944"/>
        <xdr:cNvSpPr>
          <a:spLocks noChangeArrowheads="1"/>
        </xdr:cNvSpPr>
      </xdr:nvSpPr>
      <xdr:spPr bwMode="auto">
        <a:xfrm>
          <a:off x="0" y="5686425"/>
          <a:ext cx="13573124" cy="447675"/>
        </a:xfrm>
        <a:prstGeom prst="rect">
          <a:avLst/>
        </a:prstGeom>
        <a:noFill/>
        <a:ln w="9525">
          <a:noFill/>
          <a:miter lim="800000"/>
          <a:headEnd/>
          <a:tailEnd/>
        </a:ln>
      </xdr:spPr>
    </xdr:sp>
    <xdr:clientData fLocksWithSheet="0"/>
  </xdr:twoCellAnchor>
  <xdr:twoCellAnchor editAs="absolute">
    <xdr:from>
      <xdr:col>3</xdr:col>
      <xdr:colOff>0</xdr:colOff>
      <xdr:row>10</xdr:row>
      <xdr:rowOff>0</xdr:rowOff>
    </xdr:from>
    <xdr:to>
      <xdr:col>4</xdr:col>
      <xdr:colOff>9525</xdr:colOff>
      <xdr:row>11</xdr:row>
      <xdr:rowOff>9525</xdr:rowOff>
    </xdr:to>
    <xdr:sp macro="[0]!MACRO_OUVRIR_MONDIAL_1998" textlink="" fLocksText="0">
      <xdr:nvSpPr>
        <xdr:cNvPr id="90" name="Rectangle 1944"/>
        <xdr:cNvSpPr>
          <a:spLocks noChangeArrowheads="1"/>
        </xdr:cNvSpPr>
      </xdr:nvSpPr>
      <xdr:spPr bwMode="auto">
        <a:xfrm>
          <a:off x="13573125" y="4810125"/>
          <a:ext cx="4533900" cy="447675"/>
        </a:xfrm>
        <a:prstGeom prst="rect">
          <a:avLst/>
        </a:prstGeom>
        <a:noFill/>
        <a:ln w="9525">
          <a:noFill/>
          <a:miter lim="800000"/>
          <a:headEnd/>
          <a:tailEnd/>
        </a:ln>
      </xdr:spPr>
    </xdr:sp>
    <xdr:clientData fLocksWithSheet="0"/>
  </xdr:twoCellAnchor>
  <xdr:twoCellAnchor editAs="absolute">
    <xdr:from>
      <xdr:col>2</xdr:col>
      <xdr:colOff>0</xdr:colOff>
      <xdr:row>10</xdr:row>
      <xdr:rowOff>0</xdr:rowOff>
    </xdr:from>
    <xdr:to>
      <xdr:col>3</xdr:col>
      <xdr:colOff>9525</xdr:colOff>
      <xdr:row>11</xdr:row>
      <xdr:rowOff>9525</xdr:rowOff>
    </xdr:to>
    <xdr:sp macro="[0]!MACRO_OUVRIR_MONDIAL_2002" textlink="" fLocksText="0">
      <xdr:nvSpPr>
        <xdr:cNvPr id="115" name="Rectangle 1944"/>
        <xdr:cNvSpPr>
          <a:spLocks noChangeArrowheads="1"/>
        </xdr:cNvSpPr>
      </xdr:nvSpPr>
      <xdr:spPr bwMode="auto">
        <a:xfrm>
          <a:off x="9048750" y="4810125"/>
          <a:ext cx="4533900" cy="447675"/>
        </a:xfrm>
        <a:prstGeom prst="rect">
          <a:avLst/>
        </a:prstGeom>
        <a:noFill/>
        <a:ln w="9525">
          <a:noFill/>
          <a:miter lim="800000"/>
          <a:headEnd/>
          <a:tailEnd/>
        </a:ln>
      </xdr:spPr>
    </xdr:sp>
    <xdr:clientData fLocksWithSheet="0"/>
  </xdr:twoCellAnchor>
  <xdr:twoCellAnchor editAs="absolute">
    <xdr:from>
      <xdr:col>1</xdr:col>
      <xdr:colOff>0</xdr:colOff>
      <xdr:row>10</xdr:row>
      <xdr:rowOff>0</xdr:rowOff>
    </xdr:from>
    <xdr:to>
      <xdr:col>2</xdr:col>
      <xdr:colOff>9525</xdr:colOff>
      <xdr:row>11</xdr:row>
      <xdr:rowOff>9525</xdr:rowOff>
    </xdr:to>
    <xdr:sp macro="[0]!MACRO_OUVRIR_MONDIAL_2006" textlink="" fLocksText="0">
      <xdr:nvSpPr>
        <xdr:cNvPr id="116" name="Rectangle 1944"/>
        <xdr:cNvSpPr>
          <a:spLocks noChangeArrowheads="1"/>
        </xdr:cNvSpPr>
      </xdr:nvSpPr>
      <xdr:spPr bwMode="auto">
        <a:xfrm>
          <a:off x="4524375" y="4810125"/>
          <a:ext cx="4533900" cy="447675"/>
        </a:xfrm>
        <a:prstGeom prst="rect">
          <a:avLst/>
        </a:prstGeom>
        <a:noFill/>
        <a:ln w="9525">
          <a:noFill/>
          <a:miter lim="800000"/>
          <a:headEnd/>
          <a:tailEnd/>
        </a:ln>
      </xdr:spPr>
    </xdr:sp>
    <xdr:clientData fLocksWithSheet="0"/>
  </xdr:twoCellAnchor>
  <xdr:twoCellAnchor editAs="absolute">
    <xdr:from>
      <xdr:col>0</xdr:col>
      <xdr:colOff>0</xdr:colOff>
      <xdr:row>10</xdr:row>
      <xdr:rowOff>0</xdr:rowOff>
    </xdr:from>
    <xdr:to>
      <xdr:col>1</xdr:col>
      <xdr:colOff>9525</xdr:colOff>
      <xdr:row>11</xdr:row>
      <xdr:rowOff>9525</xdr:rowOff>
    </xdr:to>
    <xdr:sp macro="[0]!MACRO_OUVRIR_MONDIAL_2010" textlink="" fLocksText="0">
      <xdr:nvSpPr>
        <xdr:cNvPr id="117" name="Rectangle 1944"/>
        <xdr:cNvSpPr>
          <a:spLocks noChangeArrowheads="1"/>
        </xdr:cNvSpPr>
      </xdr:nvSpPr>
      <xdr:spPr bwMode="auto">
        <a:xfrm>
          <a:off x="0" y="4810125"/>
          <a:ext cx="4533900" cy="447675"/>
        </a:xfrm>
        <a:prstGeom prst="rect">
          <a:avLst/>
        </a:prstGeom>
        <a:noFill/>
        <a:ln w="9525">
          <a:noFill/>
          <a:miter lim="800000"/>
          <a:headEnd/>
          <a:tailEnd/>
        </a:ln>
      </xdr:spPr>
    </xdr:sp>
    <xdr:clientData fLocksWithSheet="0"/>
  </xdr:twoCellAnchor>
  <xdr:twoCellAnchor editAs="absolute">
    <xdr:from>
      <xdr:col>3</xdr:col>
      <xdr:colOff>0</xdr:colOff>
      <xdr:row>9</xdr:row>
      <xdr:rowOff>0</xdr:rowOff>
    </xdr:from>
    <xdr:to>
      <xdr:col>4</xdr:col>
      <xdr:colOff>9525</xdr:colOff>
      <xdr:row>10</xdr:row>
      <xdr:rowOff>9525</xdr:rowOff>
    </xdr:to>
    <xdr:sp macro="[0]!MACRO_OUVRIR_MONDIAL_2014" textlink="" fLocksText="0">
      <xdr:nvSpPr>
        <xdr:cNvPr id="118" name="Rectangle 1944"/>
        <xdr:cNvSpPr>
          <a:spLocks noChangeArrowheads="1"/>
        </xdr:cNvSpPr>
      </xdr:nvSpPr>
      <xdr:spPr bwMode="auto">
        <a:xfrm>
          <a:off x="13573125" y="4371975"/>
          <a:ext cx="4533900" cy="447675"/>
        </a:xfrm>
        <a:prstGeom prst="rect">
          <a:avLst/>
        </a:prstGeom>
        <a:noFill/>
        <a:ln w="9525">
          <a:noFill/>
          <a:miter lim="800000"/>
          <a:headEnd/>
          <a:tailEnd/>
        </a:ln>
      </xdr:spPr>
    </xdr:sp>
    <xdr:clientData fLocksWithSheet="0"/>
  </xdr:twoCellAnchor>
  <xdr:twoCellAnchor editAs="absolute">
    <xdr:from>
      <xdr:col>0</xdr:col>
      <xdr:colOff>0</xdr:colOff>
      <xdr:row>9</xdr:row>
      <xdr:rowOff>0</xdr:rowOff>
    </xdr:from>
    <xdr:to>
      <xdr:col>2</xdr:col>
      <xdr:colOff>9525</xdr:colOff>
      <xdr:row>10</xdr:row>
      <xdr:rowOff>9525</xdr:rowOff>
    </xdr:to>
    <xdr:sp macro="[0]!MACRO_OUVRIR_MONDIAL_2022" textlink="" fLocksText="0">
      <xdr:nvSpPr>
        <xdr:cNvPr id="119" name="Rectangle 1944"/>
        <xdr:cNvSpPr>
          <a:spLocks noChangeArrowheads="1"/>
        </xdr:cNvSpPr>
      </xdr:nvSpPr>
      <xdr:spPr bwMode="auto">
        <a:xfrm>
          <a:off x="0" y="4371975"/>
          <a:ext cx="9058275" cy="447675"/>
        </a:xfrm>
        <a:prstGeom prst="rect">
          <a:avLst/>
        </a:prstGeom>
        <a:noFill/>
        <a:ln w="9525">
          <a:noFill/>
          <a:miter lim="800000"/>
          <a:headEnd/>
          <a:tailEnd/>
        </a:ln>
      </xdr:spPr>
    </xdr:sp>
    <xdr:clientData fLocksWithSheet="0"/>
  </xdr:twoCellAnchor>
  <xdr:twoCellAnchor editAs="absolute">
    <xdr:from>
      <xdr:col>3</xdr:col>
      <xdr:colOff>0</xdr:colOff>
      <xdr:row>7</xdr:row>
      <xdr:rowOff>0</xdr:rowOff>
    </xdr:from>
    <xdr:to>
      <xdr:col>4</xdr:col>
      <xdr:colOff>9525</xdr:colOff>
      <xdr:row>7</xdr:row>
      <xdr:rowOff>428625</xdr:rowOff>
    </xdr:to>
    <xdr:sp macro="[0]!MACRO_OUVRIR_CHAMPIONNAT_00_01" textlink="" fLocksText="0">
      <xdr:nvSpPr>
        <xdr:cNvPr id="120" name="Rectangle 1944"/>
        <xdr:cNvSpPr>
          <a:spLocks noChangeArrowheads="1"/>
        </xdr:cNvSpPr>
      </xdr:nvSpPr>
      <xdr:spPr bwMode="auto">
        <a:xfrm>
          <a:off x="13573125" y="3495675"/>
          <a:ext cx="4533900" cy="428625"/>
        </a:xfrm>
        <a:prstGeom prst="rect">
          <a:avLst/>
        </a:prstGeom>
        <a:noFill/>
        <a:ln w="9525">
          <a:noFill/>
          <a:miter lim="800000"/>
          <a:headEnd/>
          <a:tailEnd/>
        </a:ln>
      </xdr:spPr>
    </xdr:sp>
    <xdr:clientData fLocksWithSheet="0"/>
  </xdr:twoCellAnchor>
  <xdr:twoCellAnchor editAs="absolute">
    <xdr:from>
      <xdr:col>2</xdr:col>
      <xdr:colOff>0</xdr:colOff>
      <xdr:row>7</xdr:row>
      <xdr:rowOff>0</xdr:rowOff>
    </xdr:from>
    <xdr:to>
      <xdr:col>3</xdr:col>
      <xdr:colOff>9525</xdr:colOff>
      <xdr:row>7</xdr:row>
      <xdr:rowOff>428625</xdr:rowOff>
    </xdr:to>
    <xdr:sp macro="[0]!MACRO_OUVRIR_CHAMPIONNAT_01_02" textlink="" fLocksText="0">
      <xdr:nvSpPr>
        <xdr:cNvPr id="121" name="Rectangle 1944"/>
        <xdr:cNvSpPr>
          <a:spLocks noChangeArrowheads="1"/>
        </xdr:cNvSpPr>
      </xdr:nvSpPr>
      <xdr:spPr bwMode="auto">
        <a:xfrm>
          <a:off x="9048750" y="3495675"/>
          <a:ext cx="4533900" cy="428625"/>
        </a:xfrm>
        <a:prstGeom prst="rect">
          <a:avLst/>
        </a:prstGeom>
        <a:noFill/>
        <a:ln w="9525">
          <a:noFill/>
          <a:miter lim="800000"/>
          <a:headEnd/>
          <a:tailEnd/>
        </a:ln>
      </xdr:spPr>
    </xdr:sp>
    <xdr:clientData fLocksWithSheet="0"/>
  </xdr:twoCellAnchor>
  <xdr:twoCellAnchor editAs="absolute">
    <xdr:from>
      <xdr:col>1</xdr:col>
      <xdr:colOff>0</xdr:colOff>
      <xdr:row>7</xdr:row>
      <xdr:rowOff>0</xdr:rowOff>
    </xdr:from>
    <xdr:to>
      <xdr:col>2</xdr:col>
      <xdr:colOff>9525</xdr:colOff>
      <xdr:row>7</xdr:row>
      <xdr:rowOff>428625</xdr:rowOff>
    </xdr:to>
    <xdr:sp macro="[0]!MACRO_OUVRIR_CHAMPIONNAT_02_03" textlink="" fLocksText="0">
      <xdr:nvSpPr>
        <xdr:cNvPr id="122" name="Rectangle 1944"/>
        <xdr:cNvSpPr>
          <a:spLocks noChangeArrowheads="1"/>
        </xdr:cNvSpPr>
      </xdr:nvSpPr>
      <xdr:spPr bwMode="auto">
        <a:xfrm>
          <a:off x="4524375" y="3495675"/>
          <a:ext cx="4533900" cy="428625"/>
        </a:xfrm>
        <a:prstGeom prst="rect">
          <a:avLst/>
        </a:prstGeom>
        <a:noFill/>
        <a:ln w="9525">
          <a:noFill/>
          <a:miter lim="800000"/>
          <a:headEnd/>
          <a:tailEnd/>
        </a:ln>
      </xdr:spPr>
    </xdr:sp>
    <xdr:clientData fLocksWithSheet="0"/>
  </xdr:twoCellAnchor>
  <xdr:twoCellAnchor editAs="absolute">
    <xdr:from>
      <xdr:col>0</xdr:col>
      <xdr:colOff>0</xdr:colOff>
      <xdr:row>7</xdr:row>
      <xdr:rowOff>0</xdr:rowOff>
    </xdr:from>
    <xdr:to>
      <xdr:col>1</xdr:col>
      <xdr:colOff>9525</xdr:colOff>
      <xdr:row>7</xdr:row>
      <xdr:rowOff>428625</xdr:rowOff>
    </xdr:to>
    <xdr:sp macro="[0]!MACRO_OUVRIR_CHAMPIONNAT_03_04" textlink="" fLocksText="0">
      <xdr:nvSpPr>
        <xdr:cNvPr id="123" name="Rectangle 1944"/>
        <xdr:cNvSpPr>
          <a:spLocks noChangeArrowheads="1"/>
        </xdr:cNvSpPr>
      </xdr:nvSpPr>
      <xdr:spPr bwMode="auto">
        <a:xfrm>
          <a:off x="0" y="3495675"/>
          <a:ext cx="4533900" cy="428625"/>
        </a:xfrm>
        <a:prstGeom prst="rect">
          <a:avLst/>
        </a:prstGeom>
        <a:noFill/>
        <a:ln w="9525">
          <a:noFill/>
          <a:miter lim="800000"/>
          <a:headEnd/>
          <a:tailEnd/>
        </a:ln>
      </xdr:spPr>
    </xdr:sp>
    <xdr:clientData fLocksWithSheet="0"/>
  </xdr:twoCellAnchor>
  <xdr:twoCellAnchor editAs="absolute">
    <xdr:from>
      <xdr:col>3</xdr:col>
      <xdr:colOff>0</xdr:colOff>
      <xdr:row>6</xdr:row>
      <xdr:rowOff>0</xdr:rowOff>
    </xdr:from>
    <xdr:to>
      <xdr:col>4</xdr:col>
      <xdr:colOff>9525</xdr:colOff>
      <xdr:row>6</xdr:row>
      <xdr:rowOff>428625</xdr:rowOff>
    </xdr:to>
    <xdr:sp macro="[0]!MACRO_OUVRIR_CHAMPIONNAT_04_05" textlink="" fLocksText="0">
      <xdr:nvSpPr>
        <xdr:cNvPr id="124" name="Rectangle 1944"/>
        <xdr:cNvSpPr>
          <a:spLocks noChangeArrowheads="1"/>
        </xdr:cNvSpPr>
      </xdr:nvSpPr>
      <xdr:spPr bwMode="auto">
        <a:xfrm>
          <a:off x="13573125" y="3057525"/>
          <a:ext cx="4533900" cy="428625"/>
        </a:xfrm>
        <a:prstGeom prst="rect">
          <a:avLst/>
        </a:prstGeom>
        <a:noFill/>
        <a:ln w="9525">
          <a:noFill/>
          <a:miter lim="800000"/>
          <a:headEnd/>
          <a:tailEnd/>
        </a:ln>
      </xdr:spPr>
    </xdr:sp>
    <xdr:clientData fLocksWithSheet="0"/>
  </xdr:twoCellAnchor>
  <xdr:twoCellAnchor editAs="absolute">
    <xdr:from>
      <xdr:col>2</xdr:col>
      <xdr:colOff>0</xdr:colOff>
      <xdr:row>6</xdr:row>
      <xdr:rowOff>0</xdr:rowOff>
    </xdr:from>
    <xdr:to>
      <xdr:col>3</xdr:col>
      <xdr:colOff>9525</xdr:colOff>
      <xdr:row>6</xdr:row>
      <xdr:rowOff>428625</xdr:rowOff>
    </xdr:to>
    <xdr:sp macro="[0]!MACRO_OUVRIR_CHAMPIONNAT_05_06" textlink="" fLocksText="0">
      <xdr:nvSpPr>
        <xdr:cNvPr id="125" name="Rectangle 1944"/>
        <xdr:cNvSpPr>
          <a:spLocks noChangeArrowheads="1"/>
        </xdr:cNvSpPr>
      </xdr:nvSpPr>
      <xdr:spPr bwMode="auto">
        <a:xfrm>
          <a:off x="9048750" y="3057525"/>
          <a:ext cx="4533900" cy="428625"/>
        </a:xfrm>
        <a:prstGeom prst="rect">
          <a:avLst/>
        </a:prstGeom>
        <a:noFill/>
        <a:ln w="9525">
          <a:noFill/>
          <a:miter lim="800000"/>
          <a:headEnd/>
          <a:tailEnd/>
        </a:ln>
      </xdr:spPr>
    </xdr:sp>
    <xdr:clientData fLocksWithSheet="0"/>
  </xdr:twoCellAnchor>
  <xdr:twoCellAnchor editAs="absolute">
    <xdr:from>
      <xdr:col>1</xdr:col>
      <xdr:colOff>0</xdr:colOff>
      <xdr:row>6</xdr:row>
      <xdr:rowOff>0</xdr:rowOff>
    </xdr:from>
    <xdr:to>
      <xdr:col>2</xdr:col>
      <xdr:colOff>9525</xdr:colOff>
      <xdr:row>6</xdr:row>
      <xdr:rowOff>428625</xdr:rowOff>
    </xdr:to>
    <xdr:sp macro="[0]!MACRO_OUVRIR_CHAMPIONNAT_06_07" textlink="" fLocksText="0">
      <xdr:nvSpPr>
        <xdr:cNvPr id="126" name="Rectangle 1944"/>
        <xdr:cNvSpPr>
          <a:spLocks noChangeArrowheads="1"/>
        </xdr:cNvSpPr>
      </xdr:nvSpPr>
      <xdr:spPr bwMode="auto">
        <a:xfrm>
          <a:off x="4524375" y="3057525"/>
          <a:ext cx="4533900" cy="428625"/>
        </a:xfrm>
        <a:prstGeom prst="rect">
          <a:avLst/>
        </a:prstGeom>
        <a:noFill/>
        <a:ln w="9525">
          <a:noFill/>
          <a:miter lim="800000"/>
          <a:headEnd/>
          <a:tailEnd/>
        </a:ln>
      </xdr:spPr>
    </xdr:sp>
    <xdr:clientData fLocksWithSheet="0"/>
  </xdr:twoCellAnchor>
  <xdr:twoCellAnchor editAs="absolute">
    <xdr:from>
      <xdr:col>0</xdr:col>
      <xdr:colOff>0</xdr:colOff>
      <xdr:row>6</xdr:row>
      <xdr:rowOff>0</xdr:rowOff>
    </xdr:from>
    <xdr:to>
      <xdr:col>1</xdr:col>
      <xdr:colOff>9525</xdr:colOff>
      <xdr:row>6</xdr:row>
      <xdr:rowOff>428625</xdr:rowOff>
    </xdr:to>
    <xdr:sp macro="[0]!MACRO_OUVRIR_CHAMPIONNAT_07_08" textlink="" fLocksText="0">
      <xdr:nvSpPr>
        <xdr:cNvPr id="127" name="Rectangle 1944"/>
        <xdr:cNvSpPr>
          <a:spLocks noChangeArrowheads="1"/>
        </xdr:cNvSpPr>
      </xdr:nvSpPr>
      <xdr:spPr bwMode="auto">
        <a:xfrm>
          <a:off x="0" y="3057525"/>
          <a:ext cx="4533900" cy="428625"/>
        </a:xfrm>
        <a:prstGeom prst="rect">
          <a:avLst/>
        </a:prstGeom>
        <a:noFill/>
        <a:ln w="9525">
          <a:noFill/>
          <a:miter lim="800000"/>
          <a:headEnd/>
          <a:tailEnd/>
        </a:ln>
      </xdr:spPr>
    </xdr:sp>
    <xdr:clientData fLocksWithSheet="0"/>
  </xdr:twoCellAnchor>
  <xdr:twoCellAnchor editAs="absolute">
    <xdr:from>
      <xdr:col>3</xdr:col>
      <xdr:colOff>0</xdr:colOff>
      <xdr:row>5</xdr:row>
      <xdr:rowOff>0</xdr:rowOff>
    </xdr:from>
    <xdr:to>
      <xdr:col>4</xdr:col>
      <xdr:colOff>9525</xdr:colOff>
      <xdr:row>5</xdr:row>
      <xdr:rowOff>428625</xdr:rowOff>
    </xdr:to>
    <xdr:sp macro="[0]!MACRO_OUVRIR_CHAMPIONNAT_08_09" textlink="" fLocksText="0">
      <xdr:nvSpPr>
        <xdr:cNvPr id="128" name="Rectangle 1944"/>
        <xdr:cNvSpPr>
          <a:spLocks noChangeArrowheads="1"/>
        </xdr:cNvSpPr>
      </xdr:nvSpPr>
      <xdr:spPr bwMode="auto">
        <a:xfrm>
          <a:off x="13573125" y="2619375"/>
          <a:ext cx="4533900" cy="428625"/>
        </a:xfrm>
        <a:prstGeom prst="rect">
          <a:avLst/>
        </a:prstGeom>
        <a:noFill/>
        <a:ln w="9525">
          <a:noFill/>
          <a:miter lim="800000"/>
          <a:headEnd/>
          <a:tailEnd/>
        </a:ln>
      </xdr:spPr>
    </xdr:sp>
    <xdr:clientData fLocksWithSheet="0"/>
  </xdr:twoCellAnchor>
  <xdr:twoCellAnchor editAs="absolute">
    <xdr:from>
      <xdr:col>2</xdr:col>
      <xdr:colOff>0</xdr:colOff>
      <xdr:row>5</xdr:row>
      <xdr:rowOff>0</xdr:rowOff>
    </xdr:from>
    <xdr:to>
      <xdr:col>3</xdr:col>
      <xdr:colOff>9525</xdr:colOff>
      <xdr:row>5</xdr:row>
      <xdr:rowOff>428625</xdr:rowOff>
    </xdr:to>
    <xdr:sp macro="[0]!MACRO_OUVRIR_CHAMPIONNAT_09_10" textlink="" fLocksText="0">
      <xdr:nvSpPr>
        <xdr:cNvPr id="129" name="Rectangle 1944"/>
        <xdr:cNvSpPr>
          <a:spLocks noChangeArrowheads="1"/>
        </xdr:cNvSpPr>
      </xdr:nvSpPr>
      <xdr:spPr bwMode="auto">
        <a:xfrm>
          <a:off x="9048750" y="2619375"/>
          <a:ext cx="4533900" cy="428625"/>
        </a:xfrm>
        <a:prstGeom prst="rect">
          <a:avLst/>
        </a:prstGeom>
        <a:noFill/>
        <a:ln w="9525">
          <a:noFill/>
          <a:miter lim="800000"/>
          <a:headEnd/>
          <a:tailEnd/>
        </a:ln>
      </xdr:spPr>
    </xdr:sp>
    <xdr:clientData fLocksWithSheet="0"/>
  </xdr:twoCellAnchor>
  <xdr:twoCellAnchor editAs="absolute">
    <xdr:from>
      <xdr:col>1</xdr:col>
      <xdr:colOff>0</xdr:colOff>
      <xdr:row>5</xdr:row>
      <xdr:rowOff>0</xdr:rowOff>
    </xdr:from>
    <xdr:to>
      <xdr:col>2</xdr:col>
      <xdr:colOff>9525</xdr:colOff>
      <xdr:row>5</xdr:row>
      <xdr:rowOff>428625</xdr:rowOff>
    </xdr:to>
    <xdr:sp macro="[0]!MACRO_OUVRIR_CHAMPIONNAT_10_11" textlink="" fLocksText="0">
      <xdr:nvSpPr>
        <xdr:cNvPr id="130" name="Rectangle 1944"/>
        <xdr:cNvSpPr>
          <a:spLocks noChangeArrowheads="1"/>
        </xdr:cNvSpPr>
      </xdr:nvSpPr>
      <xdr:spPr bwMode="auto">
        <a:xfrm>
          <a:off x="4524375" y="2619375"/>
          <a:ext cx="4533900" cy="428625"/>
        </a:xfrm>
        <a:prstGeom prst="rect">
          <a:avLst/>
        </a:prstGeom>
        <a:noFill/>
        <a:ln w="9525">
          <a:noFill/>
          <a:miter lim="800000"/>
          <a:headEnd/>
          <a:tailEnd/>
        </a:ln>
      </xdr:spPr>
    </xdr:sp>
    <xdr:clientData fLocksWithSheet="0"/>
  </xdr:twoCellAnchor>
  <xdr:twoCellAnchor editAs="absolute">
    <xdr:from>
      <xdr:col>0</xdr:col>
      <xdr:colOff>0</xdr:colOff>
      <xdr:row>5</xdr:row>
      <xdr:rowOff>0</xdr:rowOff>
    </xdr:from>
    <xdr:to>
      <xdr:col>1</xdr:col>
      <xdr:colOff>9525</xdr:colOff>
      <xdr:row>5</xdr:row>
      <xdr:rowOff>428625</xdr:rowOff>
    </xdr:to>
    <xdr:sp macro="[0]!MACRO_OUVRIR_CHAMPIONNAT_11_12" textlink="" fLocksText="0">
      <xdr:nvSpPr>
        <xdr:cNvPr id="131" name="Rectangle 1944"/>
        <xdr:cNvSpPr>
          <a:spLocks noChangeArrowheads="1"/>
        </xdr:cNvSpPr>
      </xdr:nvSpPr>
      <xdr:spPr bwMode="auto">
        <a:xfrm>
          <a:off x="0" y="2619375"/>
          <a:ext cx="4533900" cy="428625"/>
        </a:xfrm>
        <a:prstGeom prst="rect">
          <a:avLst/>
        </a:prstGeom>
        <a:noFill/>
        <a:ln w="9525">
          <a:noFill/>
          <a:miter lim="800000"/>
          <a:headEnd/>
          <a:tailEnd/>
        </a:ln>
      </xdr:spPr>
    </xdr:sp>
    <xdr:clientData fLocksWithSheet="0"/>
  </xdr:twoCellAnchor>
  <xdr:twoCellAnchor editAs="absolute">
    <xdr:from>
      <xdr:col>3</xdr:col>
      <xdr:colOff>0</xdr:colOff>
      <xdr:row>4</xdr:row>
      <xdr:rowOff>0</xdr:rowOff>
    </xdr:from>
    <xdr:to>
      <xdr:col>4</xdr:col>
      <xdr:colOff>9525</xdr:colOff>
      <xdr:row>4</xdr:row>
      <xdr:rowOff>428625</xdr:rowOff>
    </xdr:to>
    <xdr:sp macro="[0]!MACRO_OUVRIR_CHAMPIONNAT_12_13" textlink="" fLocksText="0">
      <xdr:nvSpPr>
        <xdr:cNvPr id="132" name="Rectangle 1944"/>
        <xdr:cNvSpPr>
          <a:spLocks noChangeArrowheads="1"/>
        </xdr:cNvSpPr>
      </xdr:nvSpPr>
      <xdr:spPr bwMode="auto">
        <a:xfrm>
          <a:off x="13573125" y="2181225"/>
          <a:ext cx="4533900" cy="428625"/>
        </a:xfrm>
        <a:prstGeom prst="rect">
          <a:avLst/>
        </a:prstGeom>
        <a:noFill/>
        <a:ln w="9525">
          <a:noFill/>
          <a:miter lim="800000"/>
          <a:headEnd/>
          <a:tailEnd/>
        </a:ln>
      </xdr:spPr>
    </xdr:sp>
    <xdr:clientData fLocksWithSheet="0"/>
  </xdr:twoCellAnchor>
  <xdr:twoCellAnchor editAs="absolute">
    <xdr:from>
      <xdr:col>2</xdr:col>
      <xdr:colOff>0</xdr:colOff>
      <xdr:row>4</xdr:row>
      <xdr:rowOff>0</xdr:rowOff>
    </xdr:from>
    <xdr:to>
      <xdr:col>3</xdr:col>
      <xdr:colOff>9525</xdr:colOff>
      <xdr:row>4</xdr:row>
      <xdr:rowOff>428625</xdr:rowOff>
    </xdr:to>
    <xdr:sp macro="[0]!MACRO_OUVRIR_CHAMPIONNAT_13_14" textlink="" fLocksText="0">
      <xdr:nvSpPr>
        <xdr:cNvPr id="133" name="Rectangle 1944"/>
        <xdr:cNvSpPr>
          <a:spLocks noChangeArrowheads="1"/>
        </xdr:cNvSpPr>
      </xdr:nvSpPr>
      <xdr:spPr bwMode="auto">
        <a:xfrm>
          <a:off x="9048750" y="2181225"/>
          <a:ext cx="4533900" cy="428625"/>
        </a:xfrm>
        <a:prstGeom prst="rect">
          <a:avLst/>
        </a:prstGeom>
        <a:noFill/>
        <a:ln w="9525">
          <a:noFill/>
          <a:miter lim="800000"/>
          <a:headEnd/>
          <a:tailEnd/>
        </a:ln>
      </xdr:spPr>
    </xdr:sp>
    <xdr:clientData fLocksWithSheet="0"/>
  </xdr:twoCellAnchor>
  <xdr:twoCellAnchor editAs="absolute">
    <xdr:from>
      <xdr:col>1</xdr:col>
      <xdr:colOff>0</xdr:colOff>
      <xdr:row>4</xdr:row>
      <xdr:rowOff>0</xdr:rowOff>
    </xdr:from>
    <xdr:to>
      <xdr:col>2</xdr:col>
      <xdr:colOff>9525</xdr:colOff>
      <xdr:row>4</xdr:row>
      <xdr:rowOff>428625</xdr:rowOff>
    </xdr:to>
    <xdr:sp macro="[0]!MACRO_OUVRIR_CHAMPIONNAT_14_15" textlink="" fLocksText="0">
      <xdr:nvSpPr>
        <xdr:cNvPr id="134" name="Rectangle 1944"/>
        <xdr:cNvSpPr>
          <a:spLocks noChangeArrowheads="1"/>
        </xdr:cNvSpPr>
      </xdr:nvSpPr>
      <xdr:spPr bwMode="auto">
        <a:xfrm>
          <a:off x="4524375" y="2181225"/>
          <a:ext cx="4533900" cy="428625"/>
        </a:xfrm>
        <a:prstGeom prst="rect">
          <a:avLst/>
        </a:prstGeom>
        <a:noFill/>
        <a:ln w="9525">
          <a:noFill/>
          <a:miter lim="800000"/>
          <a:headEnd/>
          <a:tailEnd/>
        </a:ln>
      </xdr:spPr>
    </xdr:sp>
    <xdr:clientData fLocksWithSheet="0"/>
  </xdr:twoCellAnchor>
  <xdr:twoCellAnchor editAs="absolute">
    <xdr:from>
      <xdr:col>0</xdr:col>
      <xdr:colOff>0</xdr:colOff>
      <xdr:row>4</xdr:row>
      <xdr:rowOff>0</xdr:rowOff>
    </xdr:from>
    <xdr:to>
      <xdr:col>1</xdr:col>
      <xdr:colOff>9525</xdr:colOff>
      <xdr:row>4</xdr:row>
      <xdr:rowOff>428625</xdr:rowOff>
    </xdr:to>
    <xdr:sp macro="[0]!MACRO_OUVRIR_CHAMPIONNAT_15_16" textlink="" fLocksText="0">
      <xdr:nvSpPr>
        <xdr:cNvPr id="135" name="Rectangle 1944"/>
        <xdr:cNvSpPr>
          <a:spLocks noChangeArrowheads="1"/>
        </xdr:cNvSpPr>
      </xdr:nvSpPr>
      <xdr:spPr bwMode="auto">
        <a:xfrm>
          <a:off x="0" y="2181225"/>
          <a:ext cx="4533900" cy="428625"/>
        </a:xfrm>
        <a:prstGeom prst="rect">
          <a:avLst/>
        </a:prstGeom>
        <a:noFill/>
        <a:ln w="9525">
          <a:noFill/>
          <a:miter lim="800000"/>
          <a:headEnd/>
          <a:tailEnd/>
        </a:ln>
      </xdr:spPr>
    </xdr:sp>
    <xdr:clientData fLocksWithSheet="0"/>
  </xdr:twoCellAnchor>
  <xdr:twoCellAnchor editAs="absolute">
    <xdr:from>
      <xdr:col>2</xdr:col>
      <xdr:colOff>0</xdr:colOff>
      <xdr:row>3</xdr:row>
      <xdr:rowOff>0</xdr:rowOff>
    </xdr:from>
    <xdr:to>
      <xdr:col>3</xdr:col>
      <xdr:colOff>0</xdr:colOff>
      <xdr:row>3</xdr:row>
      <xdr:rowOff>428625</xdr:rowOff>
    </xdr:to>
    <xdr:sp macro="[0]!MACRO_OUVRIR_CHAMPIONNAT_17_18" textlink="" fLocksText="0">
      <xdr:nvSpPr>
        <xdr:cNvPr id="136" name="Rectangle 1944"/>
        <xdr:cNvSpPr>
          <a:spLocks noChangeArrowheads="1"/>
        </xdr:cNvSpPr>
      </xdr:nvSpPr>
      <xdr:spPr bwMode="auto">
        <a:xfrm>
          <a:off x="9048750" y="1743075"/>
          <a:ext cx="4524375" cy="428625"/>
        </a:xfrm>
        <a:prstGeom prst="rect">
          <a:avLst/>
        </a:prstGeom>
        <a:noFill/>
        <a:ln w="9525">
          <a:noFill/>
          <a:miter lim="800000"/>
          <a:headEnd/>
          <a:tailEnd/>
        </a:ln>
      </xdr:spPr>
    </xdr:sp>
    <xdr:clientData fLocksWithSheet="0"/>
  </xdr:twoCellAnchor>
  <xdr:twoCellAnchor editAs="absolute">
    <xdr:from>
      <xdr:col>0</xdr:col>
      <xdr:colOff>0</xdr:colOff>
      <xdr:row>1</xdr:row>
      <xdr:rowOff>0</xdr:rowOff>
    </xdr:from>
    <xdr:to>
      <xdr:col>4</xdr:col>
      <xdr:colOff>0</xdr:colOff>
      <xdr:row>2</xdr:row>
      <xdr:rowOff>0</xdr:rowOff>
    </xdr:to>
    <xdr:sp macro="[0]!MACRO.A1" textlink="" fLocksText="0">
      <xdr:nvSpPr>
        <xdr:cNvPr id="48" name="Rectangle 1944"/>
        <xdr:cNvSpPr>
          <a:spLocks noChangeArrowheads="1"/>
        </xdr:cNvSpPr>
      </xdr:nvSpPr>
      <xdr:spPr bwMode="auto">
        <a:xfrm>
          <a:off x="0" y="9525"/>
          <a:ext cx="18097500" cy="1295400"/>
        </a:xfrm>
        <a:prstGeom prst="rect">
          <a:avLst/>
        </a:prstGeom>
        <a:noFill/>
        <a:ln w="9525">
          <a:noFill/>
          <a:miter lim="800000"/>
          <a:headEnd/>
          <a:tailEnd/>
        </a:ln>
      </xdr:spPr>
    </xdr:sp>
    <xdr:clientData fLocksWithSheet="0"/>
  </xdr:twoCellAnchor>
  <xdr:twoCellAnchor editAs="absolute">
    <xdr:from>
      <xdr:col>3</xdr:col>
      <xdr:colOff>0</xdr:colOff>
      <xdr:row>3</xdr:row>
      <xdr:rowOff>0</xdr:rowOff>
    </xdr:from>
    <xdr:to>
      <xdr:col>4</xdr:col>
      <xdr:colOff>0</xdr:colOff>
      <xdr:row>3</xdr:row>
      <xdr:rowOff>428625</xdr:rowOff>
    </xdr:to>
    <xdr:sp macro="[0]!MACRO_OUVRIR_CHAMPIONNAT_16_17" textlink="" fLocksText="0">
      <xdr:nvSpPr>
        <xdr:cNvPr id="49" name="Rectangle 1944"/>
        <xdr:cNvSpPr>
          <a:spLocks noChangeArrowheads="1"/>
        </xdr:cNvSpPr>
      </xdr:nvSpPr>
      <xdr:spPr bwMode="auto">
        <a:xfrm>
          <a:off x="13573125" y="1743075"/>
          <a:ext cx="4524375" cy="428625"/>
        </a:xfrm>
        <a:prstGeom prst="rect">
          <a:avLst/>
        </a:prstGeom>
        <a:noFill/>
        <a:ln w="9525">
          <a:noFill/>
          <a:miter lim="800000"/>
          <a:headEnd/>
          <a:tailEnd/>
        </a:ln>
      </xdr:spPr>
    </xdr:sp>
    <xdr:clientData fLocksWithSheet="0"/>
  </xdr:twoCellAnchor>
  <xdr:twoCellAnchor editAs="absolute">
    <xdr:from>
      <xdr:col>3</xdr:col>
      <xdr:colOff>0</xdr:colOff>
      <xdr:row>15</xdr:row>
      <xdr:rowOff>9525</xdr:rowOff>
    </xdr:from>
    <xdr:to>
      <xdr:col>4</xdr:col>
      <xdr:colOff>9525</xdr:colOff>
      <xdr:row>16</xdr:row>
      <xdr:rowOff>19050</xdr:rowOff>
    </xdr:to>
    <xdr:sp macro="[0]!MACRO_OUVRIR_FORMULE1_17" textlink="" fLocksText="0">
      <xdr:nvSpPr>
        <xdr:cNvPr id="50" name="Rectangle 1944"/>
        <xdr:cNvSpPr>
          <a:spLocks noChangeArrowheads="1"/>
        </xdr:cNvSpPr>
      </xdr:nvSpPr>
      <xdr:spPr bwMode="auto">
        <a:xfrm>
          <a:off x="13573125" y="7000875"/>
          <a:ext cx="4533900" cy="447675"/>
        </a:xfrm>
        <a:prstGeom prst="rect">
          <a:avLst/>
        </a:prstGeom>
        <a:noFill/>
        <a:ln w="9525">
          <a:noFill/>
          <a:miter lim="800000"/>
          <a:headEnd/>
          <a:tailEnd/>
        </a:ln>
      </xdr:spPr>
    </xdr:sp>
    <xdr:clientData fLocksWithSheet="0"/>
  </xdr:twoCellAnchor>
  <xdr:twoCellAnchor editAs="absolute">
    <xdr:from>
      <xdr:col>0</xdr:col>
      <xdr:colOff>0</xdr:colOff>
      <xdr:row>3</xdr:row>
      <xdr:rowOff>0</xdr:rowOff>
    </xdr:from>
    <xdr:to>
      <xdr:col>1</xdr:col>
      <xdr:colOff>0</xdr:colOff>
      <xdr:row>3</xdr:row>
      <xdr:rowOff>428625</xdr:rowOff>
    </xdr:to>
    <xdr:sp macro="[0]!MACRO_OUVRIR_CHAMPIONNAT_19_20" textlink="" fLocksText="0">
      <xdr:nvSpPr>
        <xdr:cNvPr id="51" name="Rectangle 1944"/>
        <xdr:cNvSpPr>
          <a:spLocks noChangeArrowheads="1"/>
        </xdr:cNvSpPr>
      </xdr:nvSpPr>
      <xdr:spPr bwMode="auto">
        <a:xfrm>
          <a:off x="0" y="1743075"/>
          <a:ext cx="4524375" cy="428625"/>
        </a:xfrm>
        <a:prstGeom prst="rect">
          <a:avLst/>
        </a:prstGeom>
        <a:noFill/>
        <a:ln w="9525">
          <a:noFill/>
          <a:miter lim="800000"/>
          <a:headEnd/>
          <a:tailEnd/>
        </a:ln>
      </xdr:spPr>
    </xdr:sp>
    <xdr:clientData fLocksWithSheet="0"/>
  </xdr:twoCellAnchor>
  <xdr:twoCellAnchor editAs="absolute">
    <xdr:from>
      <xdr:col>2</xdr:col>
      <xdr:colOff>0</xdr:colOff>
      <xdr:row>15</xdr:row>
      <xdr:rowOff>0</xdr:rowOff>
    </xdr:from>
    <xdr:to>
      <xdr:col>3</xdr:col>
      <xdr:colOff>9525</xdr:colOff>
      <xdr:row>16</xdr:row>
      <xdr:rowOff>9525</xdr:rowOff>
    </xdr:to>
    <xdr:sp macro="[0]!MACRO_OUVRIR_FORMULE1_18" textlink="" fLocksText="0">
      <xdr:nvSpPr>
        <xdr:cNvPr id="52" name="Rectangle 1944"/>
        <xdr:cNvSpPr>
          <a:spLocks noChangeArrowheads="1"/>
        </xdr:cNvSpPr>
      </xdr:nvSpPr>
      <xdr:spPr bwMode="auto">
        <a:xfrm>
          <a:off x="9048750" y="6991350"/>
          <a:ext cx="4533900" cy="447675"/>
        </a:xfrm>
        <a:prstGeom prst="rect">
          <a:avLst/>
        </a:prstGeom>
        <a:noFill/>
        <a:ln w="9525">
          <a:noFill/>
          <a:miter lim="800000"/>
          <a:headEnd/>
          <a:tailEnd/>
        </a:ln>
      </xdr:spPr>
    </xdr:sp>
    <xdr:clientData fLocksWithSheet="0"/>
  </xdr:twoCellAnchor>
  <xdr:twoCellAnchor editAs="absolute">
    <xdr:from>
      <xdr:col>1</xdr:col>
      <xdr:colOff>0</xdr:colOff>
      <xdr:row>3</xdr:row>
      <xdr:rowOff>0</xdr:rowOff>
    </xdr:from>
    <xdr:to>
      <xdr:col>2</xdr:col>
      <xdr:colOff>0</xdr:colOff>
      <xdr:row>3</xdr:row>
      <xdr:rowOff>428625</xdr:rowOff>
    </xdr:to>
    <xdr:sp macro="[0]!MACRO_OUVRIR_CHAMPIONNAT_18_19" textlink="" fLocksText="0">
      <xdr:nvSpPr>
        <xdr:cNvPr id="53" name="Rectangle 1944"/>
        <xdr:cNvSpPr>
          <a:spLocks noChangeArrowheads="1"/>
        </xdr:cNvSpPr>
      </xdr:nvSpPr>
      <xdr:spPr bwMode="auto">
        <a:xfrm>
          <a:off x="4524375" y="1743075"/>
          <a:ext cx="4524375" cy="428625"/>
        </a:xfrm>
        <a:prstGeom prst="rect">
          <a:avLst/>
        </a:prstGeom>
        <a:noFill/>
        <a:ln w="9525">
          <a:noFill/>
          <a:miter lim="800000"/>
          <a:headEnd/>
          <a:tailEnd/>
        </a:ln>
      </xdr:spPr>
    </xdr:sp>
    <xdr:clientData fLocksWithSheet="0"/>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CHAMPION'S%20LEAGUE%202019-20.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GP%20DE%20FORMULE%201%202019.XLSM"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CHAMPIONNAT%202019-20.xlsm"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TABLEAU%20DES%20ACHATS.xlsm"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COUPE%20DE%20L'UEFA%202019-20.XLSM" TargetMode="External"/></Relationships>
</file>

<file path=xl/externalLinks/_rels/externalLink6.xml.rels><?xml version="1.0" encoding="UTF-8" standalone="yes"?>
<Relationships xmlns="http://schemas.openxmlformats.org/package/2006/relationships"><Relationship Id="rId1" Type="http://schemas.openxmlformats.org/officeDocument/2006/relationships/externalLinkPath" Target="COUPE%20DE%20FRANCE%202019-20.XLSM" TargetMode="External"/></Relationships>
</file>

<file path=xl/externalLinks/_rels/externalLink7.xml.rels><?xml version="1.0" encoding="UTF-8" standalone="yes"?>
<Relationships xmlns="http://schemas.openxmlformats.org/package/2006/relationships"><Relationship Id="rId1" Type="http://schemas.openxmlformats.org/officeDocument/2006/relationships/externalLinkPath" Target="COUPE%20DE%20LA%20LIGUE%202019-20.XLSM" TargetMode="External"/></Relationships>
</file>

<file path=xl/externalLinks/_rels/externalLink8.xml.rels><?xml version="1.0" encoding="UTF-8" standalone="yes"?>
<Relationships xmlns="http://schemas.openxmlformats.org/package/2006/relationships"><Relationship Id="rId1" Type="http://schemas.openxmlformats.org/officeDocument/2006/relationships/externalLinkPath" Target="COUPE%20DU%20MONDE%202022.XLSM" TargetMode="External"/></Relationships>
</file>

<file path=xl/externalLinks/_rels/externalLink9.xml.rels><?xml version="1.0" encoding="UTF-8" standalone="yes"?>
<Relationships xmlns="http://schemas.openxmlformats.org/package/2006/relationships"><Relationship Id="rId1" Type="http://schemas.openxmlformats.org/officeDocument/2006/relationships/externalLinkPath" Target="EURO%202020.xlsm" TargetMode="External"/></Relationships>
</file>

<file path=xl/externalLinks/_rels/externalLink10.xml.rels><?xml version="1.0" encoding="UTF-8" standalone="yes"?>
<Relationships xmlns="http://schemas.openxmlformats.org/package/2006/relationships"><Relationship Id="rId1" Type="http://schemas.openxmlformats.org/officeDocument/2006/relationships/externalLinkPath" Target="CONFEDERATIONS%202021.XLSM"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EQUIPES"/>
      <sheetName val="1ER TOUR"/>
      <sheetName val="PHASE FINALE"/>
      <sheetName val="BUTEURS"/>
      <sheetName val="DATES"/>
      <sheetName val="CONTRE"/>
      <sheetName val="RESULTATS"/>
      <sheetName val="DONNEES"/>
      <sheetName val="MACRO"/>
      <sheetName val="CHAMPION'S LEAGUE 2019-20"/>
    </sheetNames>
    <definedNames>
      <definedName name="BMW" refersTo="='DONNEES'!$DW$2"/>
      <definedName name="GGG" refersTo="='DATES'!$S$2"/>
      <definedName name="HEURE.PROCHAIN" refersTo="='DATES'!$S$18"/>
      <definedName name="LDC.HEURE" refersTo="='EQUIPES'!$C$1"/>
      <definedName name="PHRASE.30" refersTo="='DATES'!$F$162"/>
      <definedName name="PHRASE.REDUITE" refersTo="='DATES'!$A$154"/>
      <definedName name="SDF" refersTo="='DATES'!$S$9"/>
      <definedName name="SUIV" refersTo="='DATES'!$F$173"/>
      <definedName name="VER.99" refersTo="='CONTRE'!$FU$1"/>
    </definedNames>
    <sheetDataSet>
      <sheetData sheetId="0">
        <row r="1">
          <cell r="C1" t="str">
            <v>18:55</v>
          </cell>
        </row>
      </sheetData>
      <sheetData sheetId="1"/>
      <sheetData sheetId="2"/>
      <sheetData sheetId="3"/>
      <sheetData sheetId="4">
        <row r="2">
          <cell r="S2" t="str">
            <v>DANS 1 SEMAINE</v>
          </cell>
        </row>
        <row r="9">
          <cell r="S9">
            <v>43774</v>
          </cell>
        </row>
        <row r="18">
          <cell r="S18" t="str">
            <v>18H55</v>
          </cell>
        </row>
        <row r="143">
          <cell r="N143" t="str">
            <v>BARCELONE VS PRAGUE {GR F}</v>
          </cell>
        </row>
        <row r="145">
          <cell r="K145" t="str">
            <v>(4°J):</v>
          </cell>
        </row>
        <row r="154">
          <cell r="A154" t="str">
            <v>#AAA (MARDI 5 NOVEMBRE A 18H55): [LDC= (4°J): BARCELONE VS PRAGUE {F}]#</v>
          </cell>
        </row>
        <row r="162">
          <cell r="F162" t="str">
            <v>#DANS 1 SEMAINE (MARDI 5 NOVEMBRE A 18H55): [CHAMPION'S LEAGUE 2019-20= (4°J): BARCELONE VS PRAGUE {F}]#</v>
          </cell>
        </row>
        <row r="173">
          <cell r="A173" t="str">
            <v>(4°J): BARCELONE VS PRAGUE {F}]</v>
          </cell>
          <cell r="F173" t="str">
            <v>BARCELONE VS PRAGUE {GR F}</v>
          </cell>
        </row>
      </sheetData>
      <sheetData sheetId="5">
        <row r="1">
          <cell r="FU1" t="str">
            <v/>
          </cell>
        </row>
      </sheetData>
      <sheetData sheetId="6"/>
      <sheetData sheetId="7">
        <row r="2">
          <cell r="DW2" t="str">
            <v/>
          </cell>
        </row>
        <row r="5">
          <cell r="DL5" t="str">
            <v/>
          </cell>
          <cell r="DM5" t="str">
            <v>#(LDC 2019-20)= (3J): L'AJAX AMSTERDAM VS CHELSEA {H}= PERD {D} (1-0) {H}#</v>
          </cell>
        </row>
        <row r="6">
          <cell r="DL6" t="str">
            <v/>
          </cell>
          <cell r="DM6" t="str">
            <v>#(LDC 2019-20)= (3J): L'ATLETICO DE MADRID VS LEVERKUSEN {D}= GAGNE {D} (1-0) {D}#</v>
          </cell>
        </row>
        <row r="7">
          <cell r="DL7" t="str">
            <v/>
          </cell>
          <cell r="DM7" t="str">
            <v>#(LDC 2019-20)= (3J): BARCELONE VS PRAGUE {F}= GAGNE {E} (2-1) {F}#</v>
          </cell>
        </row>
        <row r="8">
          <cell r="DL8" t="str">
            <v/>
          </cell>
          <cell r="DM8" t="str">
            <v>#(LDC 2019-20)= (3J): LE BAYERN MUNICH VS OLYMPIAKOS {B}= GAGNE {E} (3-2) {B}#</v>
          </cell>
        </row>
        <row r="9">
          <cell r="DL9" t="str">
            <v/>
          </cell>
          <cell r="DM9" t="str">
            <v>#(LDC 2019-20)= (3J): BELGRADE VS TOTTENHAM {B}= PERD {E} (5-0) {B}#</v>
          </cell>
        </row>
        <row r="10">
          <cell r="DL10" t="str">
            <v/>
          </cell>
          <cell r="DM10" t="str">
            <v>#(LDC 2019-20)= (3J): LE BENFICA LISBONNE VS LYON {G}= GAGNE {D} (2-1) {G}#</v>
          </cell>
        </row>
        <row r="11">
          <cell r="DL11" t="str">
            <v/>
          </cell>
          <cell r="DM11" t="str">
            <v>#(LDC 2019-20)= (3J): BERGAME VS MANCHESTER CITY {C}= PERD {E} (5-1) {C}#</v>
          </cell>
        </row>
        <row r="12">
          <cell r="DL12" t="str">
            <v/>
          </cell>
          <cell r="DM12" t="str">
            <v>#(LDC 2019-20)= (3J): BRUGES VS PSG {A}= PERD {D} (5-0) {A}#</v>
          </cell>
        </row>
        <row r="13">
          <cell r="DL13" t="str">
            <v/>
          </cell>
          <cell r="DM13" t="str">
            <v>#(LDC 2019-20)= (3J): CHELSEA VS L'AJAX AMSTERDAM {H}= GAGNE {E} (1-0) {H}#</v>
          </cell>
        </row>
        <row r="14">
          <cell r="DL14" t="str">
            <v/>
          </cell>
          <cell r="DM14" t="str">
            <v>#(LDC 2019-20)= (3J): LE CHAKTIOR DONETSK VS LE DINAMO ZAGREB {C}= NUL {D} (2-2) {C}#</v>
          </cell>
        </row>
        <row r="15">
          <cell r="DL15" t="str">
            <v/>
          </cell>
          <cell r="DM15" t="str">
            <v>#(LDC 2019-20)= (3J): LE BORUSSIA DORTMUND VS L'INTER MILAN {F}= PERD {E} (2-0) {F}#</v>
          </cell>
        </row>
        <row r="16">
          <cell r="DL16" t="str">
            <v/>
          </cell>
          <cell r="DM16" t="str">
            <v>#(LDC 2019-20)= (3J): GALATASARAY VS LE REAL MADRID {A}= PERD {D} (1-0) {A}#</v>
          </cell>
        </row>
        <row r="17">
          <cell r="DL17" t="str">
            <v/>
          </cell>
          <cell r="DM17" t="str">
            <v>#(LDC 2019-20)= (3J): GENK VS LIVERPOOL {E}= PERD {D} (4-1) {E}#</v>
          </cell>
        </row>
        <row r="18">
          <cell r="DL18" t="str">
            <v/>
          </cell>
          <cell r="DM18" t="str">
            <v>#(LDC 2019-20)= (3J): L'INTER MILAN VS LE BORUSSIA DORTMUND {F}= GAGNE {D} (2-0) {F}#</v>
          </cell>
        </row>
        <row r="19">
          <cell r="DL19" t="str">
            <v/>
          </cell>
          <cell r="DM19" t="str">
            <v>#(LDC 2019-20)= (3J): LA JUVENTUS DE TURIN VS LE LOKOMOTIV MOSCOU {D}= GAGNE {D} (2-1) {D}#</v>
          </cell>
        </row>
        <row r="20">
          <cell r="DL20" t="str">
            <v/>
          </cell>
          <cell r="DM20" t="str">
            <v>#(LDC 2019-20)= (3J): LE LOKOMOTIV MOSCOU VS LA JUVENTUS DE TURIN {D}= PERD {E} (2-1) {D}#</v>
          </cell>
        </row>
        <row r="21">
          <cell r="DL21"/>
          <cell r="DM21" t="str">
            <v>#(LDC 2019-20)= (3J): LEIPZIG VS LE ZENITH ST PETERSBOURG {G}= GAGNE {D} (2-1) {G}#</v>
          </cell>
        </row>
        <row r="22">
          <cell r="DL22"/>
          <cell r="DM22" t="str">
            <v>#(LDC 2019-20)= (3J): LEVERKUSEN VS L'ATLETICO DE MADRID {D}= PERD {E} (1-0) {D}#</v>
          </cell>
        </row>
        <row r="23">
          <cell r="DL23"/>
          <cell r="DM23" t="str">
            <v>#(LDC 2019-20)= (3J): LILLE VS VALENCE {H}= NUL {D} (1-1) {H}#</v>
          </cell>
        </row>
        <row r="24">
          <cell r="DL24"/>
          <cell r="DM24" t="str">
            <v>#(LDC 2019-20)= (3J): LIVERPOOL VS GENK {E}= GAGNE {E} (4-1) {E}#</v>
          </cell>
        </row>
        <row r="25">
          <cell r="DL25"/>
          <cell r="DM25" t="str">
            <v>#(LDC 2019-20)= (3J): LYON VS LE BENFICA LISBONNE {G}= PERD {E} (2-1) {G}#</v>
          </cell>
        </row>
        <row r="26">
          <cell r="DL26"/>
          <cell r="DM26" t="str">
            <v>#(LDC 2019-20)= (3J): MANCHESTER CITY VS BERGAME {C}= GAGNE {D} (5-1) {C}#</v>
          </cell>
        </row>
        <row r="27">
          <cell r="DL27"/>
          <cell r="DM27" t="str">
            <v>#(LDC 2019-20)= (3J): NAPLES VS SALZBOURG {E}= GAGNE {E} (3-2) {E}#</v>
          </cell>
        </row>
        <row r="28">
          <cell r="DL28"/>
          <cell r="DM28" t="str">
            <v>#(LDC 2019-20)= (3J): OLYMPIAKOS VS LE BAYERN MUNICH {B}= PERD {D} (3-2) {B}#</v>
          </cell>
        </row>
        <row r="29">
          <cell r="DL29"/>
          <cell r="DM29" t="str">
            <v>#(LDC 2019-20)= (3J): PRAGUE VS BARCELONE {F}= PERD {D} (2-1) {F}#</v>
          </cell>
        </row>
        <row r="30">
          <cell r="DL30"/>
          <cell r="DM30" t="str">
            <v>#(LDC 2019-20)= (3J): PSG VS BRUGES {A}= GAGNE {E} (5-0) {A}#</v>
          </cell>
        </row>
        <row r="31">
          <cell r="DL31"/>
          <cell r="DM31" t="str">
            <v>#(LDC 2019-20)= (3J): LE REAL MADRID VS GALATASARAY {A}= GAGNE {E} (1-0) {A}#</v>
          </cell>
        </row>
        <row r="32">
          <cell r="DL32"/>
          <cell r="DM32" t="str">
            <v>#(LDC 2019-20)= (3J): SALZBOURG VS NAPLES {E}= PERD {D} (3-2) {E}#</v>
          </cell>
        </row>
        <row r="33">
          <cell r="DL33"/>
          <cell r="DM33" t="str">
            <v>#(LDC 2019-20)= (3J): TOTTENHAM VS BELGRADE {B}= GAGNE {D} (5-0) {B}#</v>
          </cell>
        </row>
        <row r="34">
          <cell r="DL34"/>
          <cell r="DM34" t="str">
            <v>#(LDC 2019-20)= (3J): VALENCE VS LILLE {H}= NUL {E} (1-1) {H}#</v>
          </cell>
        </row>
        <row r="35">
          <cell r="DL35"/>
          <cell r="DM35" t="str">
            <v>#(LDC 2019-20)= (3J): LE DINAMO ZAGREB VS LE CHAKTIOR DONETSK {C}= NUL {E} (2-2) {C}#</v>
          </cell>
        </row>
        <row r="36">
          <cell r="DL36"/>
          <cell r="DM36" t="str">
            <v>#(LDC 2019-20)= (3J): LE ZENITH ST PETERSBOURG VS LEIPZIG {G}= PERD {E} (2-1) {G}#</v>
          </cell>
        </row>
      </sheetData>
      <sheetData sheetId="8"/>
      <sheetData sheetId="9" refreshError="1"/>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COURSES"/>
      <sheetName val="PILOTES &amp; ECURIES"/>
      <sheetName val="RESULTATS"/>
      <sheetName val="DATES"/>
      <sheetName val="GRAPHIQUES"/>
      <sheetName val="MACRO"/>
      <sheetName val="GP DE FORMULE 1 2019"/>
    </sheetNames>
    <definedNames>
      <definedName name="COURSE.JOUER" refersTo="='COURSES'!$AE$9"/>
      <definedName name="DEUXIEME.POINTS" refersTo="='PILOTES &amp; ECURIES'!$AG$5"/>
      <definedName name="F1.DATE" refersTo="='DATES'!$F$6"/>
      <definedName name="F1.HEURE" refersTo="='DATES'!$F$21"/>
      <definedName name="GGG" refersTo="='DATES'!$M$27"/>
      <definedName name="LEADER" refersTo="='PILOTES &amp; ECURIES'!$AF$4"/>
      <definedName name="MANQUE" refersTo="='COURSES'!$D$2"/>
      <definedName name="MANQUE.3" refersTo="='COURSES'!$X$34"/>
      <definedName name="NOMS" refersTo="='DATES'!$H$4:$I$24"/>
      <definedName name="RESTE" refersTo="='COURSES'!$AE$12"/>
      <definedName name="SECOND" refersTo="='PILOTES &amp; ECURIES'!$AF$5"/>
      <definedName name="SUIVANT" refersTo="='RESULTATS'!$AP$4"/>
      <definedName name="VER.99" refersTo="='RESULTATS'!$BP$2"/>
    </definedNames>
    <sheetDataSet>
      <sheetData sheetId="0">
        <row r="2">
          <cell r="D2" t="str">
            <v>MACRO.CLASSEMENT.GENERAL.SUITE</v>
          </cell>
        </row>
        <row r="8">
          <cell r="AC8" t="str">
            <v xml:space="preserve">GP DES USA </v>
          </cell>
        </row>
        <row r="9">
          <cell r="AE9">
            <v>18</v>
          </cell>
        </row>
        <row r="12">
          <cell r="AE12">
            <v>75</v>
          </cell>
          <cell r="AH12" t="str">
            <v>#DANS 5 JOURS= ''121H58'' ~ (DIMANCHE 3 NOVEMBRE A 17H00): [GP DES USA 2019= 1ER HAMILTON (361 PTS) {+71} BOTTAS (290 PTS)]#</v>
          </cell>
        </row>
        <row r="15">
          <cell r="AI15" t="str">
            <v/>
          </cell>
        </row>
        <row r="33">
          <cell r="AH33" t="str">
            <v>#AAA (DIMANCHE 3 NOVEMBRE A 17H00): [GP DES USA 2019= 1ER HAMILTON (361 PTS) {+71} BOTTAS (290 PTS)]#</v>
          </cell>
        </row>
        <row r="34">
          <cell r="X34" t="str">
            <v/>
          </cell>
        </row>
      </sheetData>
      <sheetData sheetId="1">
        <row r="4">
          <cell r="AD4" t="str">
            <v>MERCEDES</v>
          </cell>
          <cell r="AF4" t="str">
            <v>HAMILTON</v>
          </cell>
          <cell r="AG4">
            <v>361</v>
          </cell>
          <cell r="DZ4" t="str">
            <v>#(FORMULE 1 2019)= 1ER HAMILTON [MERCEDES]: 361 PTS#</v>
          </cell>
        </row>
        <row r="5">
          <cell r="AA5" t="str">
            <v>BOTTAS</v>
          </cell>
          <cell r="AD5" t="str">
            <v>MERCEDES</v>
          </cell>
          <cell r="AF5" t="str">
            <v>BOTTAS</v>
          </cell>
          <cell r="AG5">
            <v>290</v>
          </cell>
          <cell r="DZ5" t="str">
            <v>#(FORMULE 1 2019)= 2° BOTTAS [MERCEDES]: 290 PTS#</v>
          </cell>
        </row>
        <row r="6">
          <cell r="AD6" t="str">
            <v>FERRARI</v>
          </cell>
          <cell r="DZ6" t="str">
            <v>#(FORMULE 1 2019)= 3° LECLERC [FERRARI]: 236 PTS#</v>
          </cell>
        </row>
        <row r="7">
          <cell r="AD7" t="str">
            <v>FERRARI</v>
          </cell>
          <cell r="DZ7" t="str">
            <v>#(FORMULE 1 2019)= 4° VETTEL [FERRARI]: 231 PTS#</v>
          </cell>
        </row>
        <row r="8">
          <cell r="AD8" t="str">
            <v>RED BULL</v>
          </cell>
          <cell r="DZ8" t="str">
            <v>#(FORMULE 1 2019)= 5° VERSTAPPEN [RED BULL]: 219 PTS#</v>
          </cell>
        </row>
        <row r="9">
          <cell r="AD9" t="str">
            <v>MC LAREN</v>
          </cell>
          <cell r="DZ9" t="str">
            <v>#(FORMULE 1 2019)= 6° SAINZ [MC LAREN]: 76 PTS#</v>
          </cell>
        </row>
        <row r="10">
          <cell r="AD10" t="str">
            <v>TORO ROSSO</v>
          </cell>
          <cell r="DZ10" t="str">
            <v>#(FORMULE 1 2019)= 7° EX GASLY [TORO ROSSO]: 74 PTS#</v>
          </cell>
        </row>
        <row r="11">
          <cell r="AD11" t="str">
            <v>RED BULL</v>
          </cell>
          <cell r="DZ11" t="str">
            <v>#(FORMULE 1 2019)= 7° EX ALBON [RED BULL]: 74 PTS#</v>
          </cell>
        </row>
        <row r="12">
          <cell r="AD12" t="str">
            <v>LOTUS RENAULT</v>
          </cell>
          <cell r="DZ12" t="str">
            <v>#(FORMULE 1 2019)= 9° RICCIARDO [LOTUS RENAULT]: 44 PTS#</v>
          </cell>
        </row>
        <row r="13">
          <cell r="AD13" t="str">
            <v>RACING POINT</v>
          </cell>
          <cell r="DZ13" t="str">
            <v>#(FORMULE 1 2019)= 10° KVYAT [RACING POINT]: 41 PTS#</v>
          </cell>
        </row>
        <row r="14">
          <cell r="AD14" t="str">
            <v>LOTUS RENAULT</v>
          </cell>
          <cell r="DZ14" t="str">
            <v>#(FORMULE 1 2019)= 11° EX PEREZ [LOTUS RENAULT]: 35 PTS#</v>
          </cell>
        </row>
        <row r="15">
          <cell r="AD15" t="str">
            <v>TORO ROSSO</v>
          </cell>
          <cell r="DZ15" t="str">
            <v>#(FORMULE 1 2019)= 11° EX NORRIS [TORO ROSSO]: 35 PTS#</v>
          </cell>
        </row>
        <row r="16">
          <cell r="AD16" t="str">
            <v>MC LAREN</v>
          </cell>
          <cell r="DZ16" t="str">
            <v>#(FORMULE 1 2019)= 11° EX HULKENBERG [MC LAREN]: 35 PTS#</v>
          </cell>
        </row>
        <row r="17">
          <cell r="AD17" t="str">
            <v>ALPHA ROMEO</v>
          </cell>
          <cell r="DZ17" t="str">
            <v>#(FORMULE 1 2019)= 14° RAIKKONEN [ALPHA ROMEO]: 31 PTS#</v>
          </cell>
        </row>
        <row r="18">
          <cell r="AD18" t="str">
            <v>HAAS</v>
          </cell>
          <cell r="DZ18" t="str">
            <v>#(FORMULE 1 2019)= 15° MAGNUSSEN [HAAS]: 20 PTS#</v>
          </cell>
        </row>
        <row r="19">
          <cell r="AD19" t="str">
            <v>RACING POINT</v>
          </cell>
          <cell r="DZ19" t="str">
            <v>#(FORMULE 1 2019)= 16° STROLL [RACING POINT]: 19 PTS#</v>
          </cell>
        </row>
        <row r="20">
          <cell r="AD20" t="str">
            <v>HAAS</v>
          </cell>
          <cell r="DZ20" t="str">
            <v>#(FORMULE 1 2019)= 17° GROSJEAN [HAAS]: 8 PTS#</v>
          </cell>
        </row>
        <row r="21">
          <cell r="AD21" t="str">
            <v>ALPHA ROMEO</v>
          </cell>
          <cell r="DZ21" t="str">
            <v>#(FORMULE 1 2019)= 18° GIOVINAZZI [ALPHA ROMEO]: 4 PTS#</v>
          </cell>
        </row>
        <row r="22">
          <cell r="AD22" t="str">
            <v>WILLIAMS</v>
          </cell>
          <cell r="DZ22" t="str">
            <v>#(FORMULE 1 2019)= 19° KUBICA [WILLIAMS]: 1 PTS#</v>
          </cell>
        </row>
        <row r="23">
          <cell r="AD23" t="str">
            <v>ECURIE INCONNU</v>
          </cell>
          <cell r="DZ23" t="str">
            <v/>
          </cell>
        </row>
        <row r="24">
          <cell r="AD24" t="str">
            <v>WILLIAMS</v>
          </cell>
          <cell r="DZ24" t="str">
            <v/>
          </cell>
        </row>
        <row r="25">
          <cell r="AD25" t="str">
            <v>ECURIE INCONNU</v>
          </cell>
          <cell r="DZ25" t="str">
            <v/>
          </cell>
        </row>
      </sheetData>
      <sheetData sheetId="2">
        <row r="2">
          <cell r="BP2" t="str">
            <v/>
          </cell>
        </row>
        <row r="4">
          <cell r="AP4" t="str">
            <v>USA</v>
          </cell>
        </row>
      </sheetData>
      <sheetData sheetId="3">
        <row r="4">
          <cell r="H4" t="str">
            <v>ABU DHABI</v>
          </cell>
          <cell r="I4" t="str">
            <v>D'ABU DHABI</v>
          </cell>
        </row>
        <row r="5">
          <cell r="H5" t="str">
            <v>ALLEMAGNE</v>
          </cell>
          <cell r="I5" t="str">
            <v>D'ALLEMAGNE</v>
          </cell>
        </row>
        <row r="6">
          <cell r="F6">
            <v>43772</v>
          </cell>
          <cell r="H6" t="str">
            <v>ANGLETERRE</v>
          </cell>
          <cell r="I6" t="str">
            <v>D'ANGLETERRE</v>
          </cell>
        </row>
        <row r="7">
          <cell r="H7" t="str">
            <v>AUSTRALIE</v>
          </cell>
          <cell r="I7" t="str">
            <v>D'AUSTRALIE</v>
          </cell>
        </row>
        <row r="8">
          <cell r="H8" t="str">
            <v>AUTRICHE</v>
          </cell>
          <cell r="I8" t="str">
            <v>D'AUTRICHE</v>
          </cell>
        </row>
        <row r="9">
          <cell r="H9" t="str">
            <v>AZERBAIDJAN</v>
          </cell>
          <cell r="I9" t="str">
            <v>D'AZERBAIDJAN</v>
          </cell>
        </row>
        <row r="10">
          <cell r="H10" t="str">
            <v>BAHREIN</v>
          </cell>
          <cell r="I10" t="str">
            <v>DE BAHREIN</v>
          </cell>
        </row>
        <row r="11">
          <cell r="F11" t="str">
            <v>DANS 5 JOURS= ''121H58'' ~ (DIMANCHE 3 NOVEMBRE A 17H00):</v>
          </cell>
          <cell r="H11" t="str">
            <v>BELGIQUE</v>
          </cell>
          <cell r="I11" t="str">
            <v>DE BELGIQUE</v>
          </cell>
        </row>
        <row r="12">
          <cell r="H12" t="str">
            <v>BRESIL</v>
          </cell>
          <cell r="I12" t="str">
            <v>DU BRESIL</v>
          </cell>
        </row>
        <row r="13">
          <cell r="H13" t="str">
            <v>CANADA</v>
          </cell>
          <cell r="I13" t="str">
            <v>DU CANADA</v>
          </cell>
        </row>
        <row r="14">
          <cell r="H14" t="str">
            <v>CHINE</v>
          </cell>
          <cell r="I14" t="str">
            <v>DE CHINE</v>
          </cell>
        </row>
        <row r="15">
          <cell r="H15" t="str">
            <v>ESPAGNE</v>
          </cell>
          <cell r="I15" t="str">
            <v>D'ESPAGNE</v>
          </cell>
        </row>
        <row r="16">
          <cell r="H16" t="str">
            <v>FRANCE</v>
          </cell>
          <cell r="I16" t="str">
            <v>DE FRANCE</v>
          </cell>
        </row>
        <row r="17">
          <cell r="H17" t="str">
            <v>HONGRIE</v>
          </cell>
          <cell r="I17" t="str">
            <v>DE HONGRIE</v>
          </cell>
        </row>
        <row r="18">
          <cell r="H18" t="str">
            <v>ITALIE</v>
          </cell>
          <cell r="I18" t="str">
            <v>D'ITALIE</v>
          </cell>
        </row>
        <row r="19">
          <cell r="H19" t="str">
            <v>JAPON</v>
          </cell>
          <cell r="I19" t="str">
            <v>DU JAPON</v>
          </cell>
        </row>
        <row r="20">
          <cell r="H20" t="str">
            <v>MEXIQUE</v>
          </cell>
          <cell r="I20" t="str">
            <v>DU MEXIQUE</v>
          </cell>
        </row>
        <row r="21">
          <cell r="F21" t="str">
            <v>17:00</v>
          </cell>
          <cell r="H21" t="str">
            <v>MONACO</v>
          </cell>
          <cell r="I21" t="str">
            <v>DE MONACO</v>
          </cell>
        </row>
        <row r="22">
          <cell r="H22" t="str">
            <v>RUSSIE</v>
          </cell>
          <cell r="I22" t="str">
            <v>DE RUSSIE</v>
          </cell>
        </row>
        <row r="23">
          <cell r="H23" t="str">
            <v>SINGAPOUR</v>
          </cell>
          <cell r="I23" t="str">
            <v>DE SINGAPOUR</v>
          </cell>
        </row>
        <row r="24">
          <cell r="H24" t="str">
            <v>USA</v>
          </cell>
          <cell r="I24" t="str">
            <v>DES USA</v>
          </cell>
        </row>
        <row r="27">
          <cell r="M27" t="str">
            <v>DANS 5 JOURS</v>
          </cell>
        </row>
      </sheetData>
      <sheetData sheetId="4"/>
      <sheetData sheetId="5"/>
      <sheetData sheetId="6" refreshError="1"/>
    </sheetDataSet>
  </externalBook>
</externalLink>
</file>

<file path=xl/externalLinks/externalLink3.xml><?xml version="1.0" encoding="utf-8"?>
<externalLink xmlns="http://schemas.openxmlformats.org/spreadsheetml/2006/main">
  <externalBook xmlns:r="http://schemas.openxmlformats.org/officeDocument/2006/relationships" r:id="rId1">
    <sheetNames>
      <sheetName val="TEMPS"/>
      <sheetName val="EQUIPES"/>
      <sheetName val="TABLEAU"/>
      <sheetName val="SCORES"/>
      <sheetName val="BUTEURS"/>
      <sheetName val="SAISON"/>
      <sheetName val="POURCENTAGE"/>
      <sheetName val="CONTRE"/>
      <sheetName val="DETAILS"/>
      <sheetName val="MERITE"/>
      <sheetName val="DONNEES"/>
      <sheetName val="ATTEINDRE"/>
      <sheetName val="MACRO"/>
      <sheetName val="CHAMPIONNAT 2019-20"/>
    </sheetNames>
    <definedNames>
      <definedName name="GGG" refersTo="='ATTEINDRE'!$E$23"/>
      <definedName name="L1.DATE" refersTo="='DONNEES'!$L$46"/>
      <definedName name="L1.HEURE" refersTo="='DONNEES'!$H$48"/>
      <definedName name="LEADER" refersTo="='TABLEAU'!$I$3"/>
      <definedName name="MATCH" refersTo="='SAISON'!$C$1"/>
      <definedName name="PPP" refersTo="='ATTEINDRE'!$W$1"/>
      <definedName name="TITRE" refersTo="='DONNEES'!$R$24:$X$43"/>
      <definedName name="VER.99" refersTo="='TEMPS'!$A$40"/>
    </definedNames>
    <sheetDataSet>
      <sheetData sheetId="0">
        <row r="40">
          <cell r="A40" t="str">
            <v/>
          </cell>
        </row>
      </sheetData>
      <sheetData sheetId="1"/>
      <sheetData sheetId="2">
        <row r="3">
          <cell r="I3" t="str">
            <v>PSG</v>
          </cell>
          <cell r="ER3" t="str">
            <v>1ER PSG (27 PTS) =&gt;13J: (9/11) VA A BREST</v>
          </cell>
        </row>
        <row r="4">
          <cell r="I4" t="str">
            <v>NANTES</v>
          </cell>
          <cell r="ER4" t="str">
            <v>2° NANTES (19 PTS) =&gt;12J: (2/11) VA A BORDEAUX</v>
          </cell>
        </row>
        <row r="5">
          <cell r="I5" t="str">
            <v>LILLE</v>
          </cell>
          <cell r="ER5" t="str">
            <v>3° LILLE (18 PTS) =&gt;12J: (2/11) VA AU VELODROME</v>
          </cell>
        </row>
        <row r="6">
          <cell r="I6" t="str">
            <v>REIMS</v>
          </cell>
          <cell r="ER6" t="str">
            <v>4° REIMS (18 PTS) =&gt;12J: (2/11) VA A NICE</v>
          </cell>
        </row>
        <row r="7">
          <cell r="I7" t="str">
            <v>ANGERS</v>
          </cell>
          <cell r="ER7" t="str">
            <v>5° ANGERS (17 PTS) =&gt;12J: (2/11) RECOIT STRASBOURG</v>
          </cell>
        </row>
        <row r="8">
          <cell r="I8" t="str">
            <v>BREST</v>
          </cell>
          <cell r="ER8" t="str">
            <v>6° BREST (17 PTS) =&gt;12J: (2/11) VA A AMIENS</v>
          </cell>
        </row>
        <row r="9">
          <cell r="I9" t="str">
            <v>MARSEILLE</v>
          </cell>
          <cell r="ER9" t="str">
            <v>7° MARSEILLE (16 PTS) =&gt;12J: (2/11) RECOIT LILLE</v>
          </cell>
        </row>
        <row r="10">
          <cell r="I10" t="str">
            <v>RENNES</v>
          </cell>
          <cell r="ER10" t="str">
            <v>8° RENNES (15 PTS) =&gt;12J: (2/11) VA A NIMES</v>
          </cell>
        </row>
        <row r="11">
          <cell r="I11" t="str">
            <v>MONTPELLIER</v>
          </cell>
          <cell r="ER11" t="str">
            <v>9° MONTPELLIER (15 PTS) =&gt;12J: (2/11) VA A METZ</v>
          </cell>
        </row>
        <row r="12">
          <cell r="I12" t="str">
            <v>BORDEAUX</v>
          </cell>
          <cell r="ER12" t="str">
            <v>10° BORDEAUX (15 PTS) =&gt;12J: (2/11) RECOIT NANTES</v>
          </cell>
        </row>
        <row r="13">
          <cell r="I13" t="str">
            <v>MONACO</v>
          </cell>
          <cell r="ER13" t="str">
            <v>11° MONACO (15 PTS) =&gt;12J: (2/11) VA A L'ASSE</v>
          </cell>
        </row>
        <row r="14">
          <cell r="I14" t="str">
            <v>ST ETIENNE</v>
          </cell>
          <cell r="ER14" t="str">
            <v>12° ST ETIENNE (15 PTS) =&gt;12J: (2/11) RECOIT MONACO</v>
          </cell>
        </row>
        <row r="15">
          <cell r="I15" t="str">
            <v>LYON</v>
          </cell>
          <cell r="ER15" t="str">
            <v>13° LYON (13 PTS) =&gt;12J: (2/11) VA A TOULOUSE</v>
          </cell>
        </row>
        <row r="16">
          <cell r="I16" t="str">
            <v>AMIENS</v>
          </cell>
          <cell r="ER16" t="str">
            <v>14° AMIENS (13 PTS) =&gt;12J: (2/11) RECOIT BREST</v>
          </cell>
        </row>
        <row r="17">
          <cell r="I17" t="str">
            <v>NICE</v>
          </cell>
          <cell r="ER17" t="str">
            <v>15° NICE (13 PTS) =&gt;12J: (2/11) RECOIT REIMS</v>
          </cell>
        </row>
        <row r="18">
          <cell r="I18" t="str">
            <v>DIJON</v>
          </cell>
          <cell r="ER18" t="str">
            <v>16° EX DIJON (12 PTS) =&gt;13J: (9/11) VA A MONACO</v>
          </cell>
        </row>
        <row r="19">
          <cell r="I19" t="str">
            <v>STRASBOURG</v>
          </cell>
          <cell r="ER19" t="str">
            <v>16° EX STRASBOURG (12 PTS) =&gt;12J: (2/11) VA A ANGERS</v>
          </cell>
        </row>
        <row r="20">
          <cell r="I20" t="str">
            <v>TOULOUSE</v>
          </cell>
          <cell r="ER20" t="str">
            <v>18° TOULOUSE (12 PTS) =&gt;12J: (2/11) RECOIT LYON</v>
          </cell>
        </row>
        <row r="21">
          <cell r="I21" t="str">
            <v>NIMES</v>
          </cell>
          <cell r="ER21" t="str">
            <v>19° NIMES (11 PTS) =&gt;12J: (2/11) RECOIT RENNES</v>
          </cell>
        </row>
        <row r="22">
          <cell r="I22" t="str">
            <v>METZ</v>
          </cell>
          <cell r="ER22" t="str">
            <v>20° METZ (11 PTS) =&gt;12J: (2/11) RECOIT MONTPELLIER</v>
          </cell>
        </row>
      </sheetData>
      <sheetData sheetId="3"/>
      <sheetData sheetId="4"/>
      <sheetData sheetId="5">
        <row r="1">
          <cell r="C1">
            <v>1076</v>
          </cell>
        </row>
      </sheetData>
      <sheetData sheetId="6"/>
      <sheetData sheetId="7"/>
      <sheetData sheetId="8"/>
      <sheetData sheetId="9"/>
      <sheetData sheetId="10">
        <row r="24">
          <cell r="R24" t="str">
            <v>AMIENS</v>
          </cell>
          <cell r="S24" t="str">
            <v>AMIENS</v>
          </cell>
          <cell r="T24"/>
          <cell r="U24"/>
          <cell r="V24"/>
          <cell r="W24"/>
          <cell r="X24" t="str">
            <v>AMIENS EST CHAMPION</v>
          </cell>
        </row>
        <row r="25">
          <cell r="R25" t="str">
            <v>ANGERS</v>
          </cell>
          <cell r="S25" t="str">
            <v>ANGERS</v>
          </cell>
          <cell r="T25"/>
          <cell r="U25"/>
          <cell r="V25"/>
          <cell r="W25"/>
          <cell r="X25" t="str">
            <v>ANGERS EST CHAMPION</v>
          </cell>
        </row>
        <row r="26">
          <cell r="R26" t="str">
            <v>BORDEAUX</v>
          </cell>
          <cell r="S26" t="str">
            <v>BORDEAUX</v>
          </cell>
          <cell r="T26"/>
          <cell r="U26"/>
          <cell r="V26"/>
          <cell r="W26"/>
          <cell r="X26" t="str">
            <v>BORDEAUX EST CHAMPION</v>
          </cell>
        </row>
        <row r="27">
          <cell r="R27" t="str">
            <v>BREST</v>
          </cell>
          <cell r="S27" t="str">
            <v>BREST</v>
          </cell>
          <cell r="T27"/>
          <cell r="U27"/>
          <cell r="V27"/>
          <cell r="W27"/>
          <cell r="X27" t="str">
            <v>BREST EST CHAMPION</v>
          </cell>
        </row>
        <row r="28">
          <cell r="R28" t="str">
            <v>DIJON</v>
          </cell>
          <cell r="S28" t="str">
            <v>DIJON</v>
          </cell>
          <cell r="T28"/>
          <cell r="U28"/>
          <cell r="V28"/>
          <cell r="W28"/>
          <cell r="X28" t="str">
            <v>DIJON EST CHAMPION</v>
          </cell>
        </row>
        <row r="29">
          <cell r="R29" t="str">
            <v>LILLE</v>
          </cell>
          <cell r="S29" t="str">
            <v>LILLE</v>
          </cell>
          <cell r="T29"/>
          <cell r="U29"/>
          <cell r="V29"/>
          <cell r="W29"/>
          <cell r="X29" t="str">
            <v>LILLE EST CHAMPION</v>
          </cell>
        </row>
        <row r="30">
          <cell r="R30" t="str">
            <v>LYON</v>
          </cell>
          <cell r="S30" t="str">
            <v>LYON</v>
          </cell>
          <cell r="T30"/>
          <cell r="U30"/>
          <cell r="V30"/>
          <cell r="W30"/>
          <cell r="X30" t="str">
            <v>LYON EST CHAMPION</v>
          </cell>
        </row>
        <row r="31">
          <cell r="R31" t="str">
            <v>MARSEILLE</v>
          </cell>
          <cell r="S31" t="str">
            <v>L'OLYMPIQUE DE MARSEILLE</v>
          </cell>
          <cell r="T31"/>
          <cell r="U31"/>
          <cell r="V31"/>
          <cell r="W31"/>
          <cell r="X31" t="str">
            <v>L'OLYMPIQUE DE MARSEILLE EST CHAMPION</v>
          </cell>
        </row>
        <row r="32">
          <cell r="R32" t="str">
            <v>METZ</v>
          </cell>
          <cell r="S32" t="str">
            <v>METZ</v>
          </cell>
          <cell r="T32"/>
          <cell r="U32"/>
          <cell r="V32"/>
          <cell r="W32"/>
          <cell r="X32" t="str">
            <v>METZ EST CHAMPION</v>
          </cell>
        </row>
        <row r="33">
          <cell r="R33" t="str">
            <v>MONACO</v>
          </cell>
          <cell r="S33" t="str">
            <v>MONACO</v>
          </cell>
          <cell r="T33"/>
          <cell r="U33"/>
          <cell r="V33"/>
          <cell r="W33"/>
          <cell r="X33" t="str">
            <v>MONACO EST CHAMPION</v>
          </cell>
        </row>
        <row r="34">
          <cell r="R34" t="str">
            <v>MONTPELLIER</v>
          </cell>
          <cell r="S34" t="str">
            <v>MONTPELLIER</v>
          </cell>
          <cell r="T34"/>
          <cell r="U34"/>
          <cell r="V34"/>
          <cell r="W34"/>
          <cell r="X34" t="str">
            <v>MONTPELLIER EST CHAMPION</v>
          </cell>
        </row>
        <row r="35">
          <cell r="R35" t="str">
            <v>NANTES</v>
          </cell>
          <cell r="S35" t="str">
            <v>NANTES</v>
          </cell>
          <cell r="T35"/>
          <cell r="U35"/>
          <cell r="V35"/>
          <cell r="W35"/>
          <cell r="X35" t="str">
            <v>NANTES EST CHAMPION</v>
          </cell>
        </row>
        <row r="36">
          <cell r="R36" t="str">
            <v>NICE</v>
          </cell>
          <cell r="S36" t="str">
            <v>NICE</v>
          </cell>
          <cell r="T36"/>
          <cell r="U36"/>
          <cell r="V36"/>
          <cell r="W36"/>
          <cell r="X36" t="str">
            <v>NICE EST CHAMPION</v>
          </cell>
        </row>
        <row r="37">
          <cell r="R37" t="str">
            <v>NIMES</v>
          </cell>
          <cell r="S37" t="str">
            <v>NIMES</v>
          </cell>
          <cell r="T37"/>
          <cell r="U37"/>
          <cell r="V37"/>
          <cell r="W37"/>
          <cell r="X37" t="str">
            <v>NIMES EST CHAMPION</v>
          </cell>
        </row>
        <row r="38">
          <cell r="R38" t="str">
            <v>PSG</v>
          </cell>
          <cell r="S38" t="str">
            <v>LE PSG</v>
          </cell>
          <cell r="T38"/>
          <cell r="U38"/>
          <cell r="V38"/>
          <cell r="W38"/>
          <cell r="X38" t="str">
            <v>LE PSG EST CHAMPION</v>
          </cell>
        </row>
        <row r="39">
          <cell r="R39" t="str">
            <v>REIMS</v>
          </cell>
          <cell r="S39" t="str">
            <v>REIMS</v>
          </cell>
          <cell r="T39"/>
          <cell r="U39"/>
          <cell r="V39"/>
          <cell r="W39"/>
          <cell r="X39" t="str">
            <v>REIMS EST CHAMPION</v>
          </cell>
        </row>
        <row r="40">
          <cell r="R40" t="str">
            <v>RENNES</v>
          </cell>
          <cell r="S40" t="str">
            <v>RENNES</v>
          </cell>
          <cell r="T40"/>
          <cell r="U40"/>
          <cell r="V40"/>
          <cell r="W40"/>
          <cell r="X40" t="str">
            <v>RENNES EST CHAMPION</v>
          </cell>
        </row>
        <row r="41">
          <cell r="R41" t="str">
            <v>ST ETIENNE</v>
          </cell>
          <cell r="S41" t="str">
            <v>ST ETIENNE</v>
          </cell>
          <cell r="T41"/>
          <cell r="U41"/>
          <cell r="V41"/>
          <cell r="W41"/>
          <cell r="X41" t="str">
            <v>ST ETIENNE EST CHAMPION</v>
          </cell>
        </row>
        <row r="42">
          <cell r="R42" t="str">
            <v>STRASBOURG</v>
          </cell>
          <cell r="S42" t="str">
            <v>STRASBOURG</v>
          </cell>
          <cell r="T42"/>
          <cell r="U42"/>
          <cell r="V42"/>
          <cell r="W42"/>
          <cell r="X42" t="str">
            <v>STRASBOURG EST CHAMPION</v>
          </cell>
        </row>
        <row r="43">
          <cell r="R43" t="str">
            <v>TOULOUSE</v>
          </cell>
          <cell r="S43" t="str">
            <v>TOULOUSE</v>
          </cell>
          <cell r="T43"/>
          <cell r="U43"/>
          <cell r="V43"/>
          <cell r="W43"/>
          <cell r="X43" t="str">
            <v>TOULOUSE EST CHAMPION</v>
          </cell>
        </row>
        <row r="46">
          <cell r="L46">
            <v>43771</v>
          </cell>
        </row>
        <row r="48">
          <cell r="H48">
            <v>0.86458333333333337</v>
          </cell>
        </row>
      </sheetData>
      <sheetData sheetId="11">
        <row r="1">
          <cell r="W1" t="str">
            <v>AAA (A 20H45):</v>
          </cell>
        </row>
        <row r="23">
          <cell r="E23" t="str">
            <v>DANS 14H14:</v>
          </cell>
        </row>
      </sheetData>
      <sheetData sheetId="12"/>
      <sheetData sheetId="13" refreshError="1"/>
    </sheetDataSet>
  </externalBook>
</externalLink>
</file>

<file path=xl/externalLinks/externalLink4.xml><?xml version="1.0" encoding="utf-8"?>
<externalLink xmlns="http://schemas.openxmlformats.org/spreadsheetml/2006/main">
  <externalBook xmlns:r="http://schemas.openxmlformats.org/officeDocument/2006/relationships" r:id="rId1">
    <sheetNames>
      <sheetName val="TABLEAU"/>
      <sheetName val="CHEQUE"/>
    </sheetNames>
    <definedNames>
      <definedName name="BILAN" refersTo="='CHEQUE'!$A$51"/>
      <definedName name="DATE" refersTo="='TABLEAU'!$R$14"/>
      <definedName name="DATE.2" refersTo="='TABLEAU'!$R$15"/>
      <definedName name="DATE.FIN.1" refersTo="='TABLEAU'!$R$56"/>
      <definedName name="DPASC" refersTo="='TABLEAU'!$J$3"/>
      <definedName name="EN.COURS" refersTo="='TABLEAU'!$A$14"/>
      <definedName name="ENVIE" refersTo="='TABLEAU'!$B$14:$B$15"/>
      <definedName name="HEURE.FIN.1" refersTo="='TABLEAU'!$S$56"/>
      <definedName name="HEURE.VERIFIER" refersTo="='TABLEAU'!$P$62"/>
      <definedName name="JHMD" refersTo="='TABLEAU'!$N$56"/>
      <definedName name="MOIS.REDUIT" refersTo="='CHEQUE'!$I$11:$L$22"/>
      <definedName name="NBR.ENVIES" refersTo="='TABLEAU'!$A$39"/>
      <definedName name="NBR.JOUR.PREVU" refersTo="='TABLEAU'!$BL$28"/>
      <definedName name="PREVU" refersTo="='TABLEAU'!$P$56"/>
      <definedName name="PROCHAIN" refersTo="='TABLEAU'!$A$14"/>
      <definedName name="PROCHAIN.1" refersTo="='TABLEAU'!$C$14"/>
      <definedName name="PROCHAIN.2" refersTo="='TABLEAU'!$C$15"/>
      <definedName name="RESTANT.DU" refersTo="='TABLEAU'!$AI$3"/>
      <definedName name="SOMME.2.VERIFIER" refersTo="='TABLEAU'!$BI$3"/>
      <definedName name="SUIVANT" refersTo="='TABLEAU'!$A$15"/>
    </definedNames>
    <sheetDataSet>
      <sheetData sheetId="0">
        <row r="3">
          <cell r="J3" t="str">
            <v/>
          </cell>
          <cell r="AI3" t="str">
            <v xml:space="preserve"> RESTERA: 176,29 EUROS</v>
          </cell>
          <cell r="BI3" t="str">
            <v>6.000,00€</v>
          </cell>
        </row>
        <row r="11">
          <cell r="I11" t="str">
            <v>DANS 3 JOURS= ''67H00'' ~ (MARDI 5 NOVEMBRE A 8H00): [COUPE OEUF]= {0,48€/176,77€} RESTERA: 176,29 EUROS</v>
          </cell>
          <cell r="J11" t="str">
            <v>DANS 3 JOURS= ''67H00'' ~ (MARDI 5 NOVEMBRE A 8H00)</v>
          </cell>
          <cell r="L11" t="str">
            <v>DANS 3 JOURS= ''67H00'' ~ (MARDI 5 NOVEMBRE A 8H00): [COUPE OEUF]= 0,48 EUROS RESTERA: 176,29 EUROS</v>
          </cell>
        </row>
        <row r="12">
          <cell r="I12" t="str">
            <v>0,48 EUROS ~ [QUARANTE HUIT CENTIMES] # 6.176,77 EUROS ~ [SIX MILLE CENT SOIXANTE SEIZE EUROS &amp; 77 CENTIMES]</v>
          </cell>
          <cell r="J12" t="str">
            <v>[COUPE OEUF]= 0,48 EUROS ~ [QUARANTE HUIT CENTIMES]</v>
          </cell>
          <cell r="L12" t="str">
            <v>TOTAL: DANS 3 JOURS= ''67H00'' ~ [COUPE OEUF]= 0,48 EUROS # DANS 785 JOURS= ''18.836H00'' ~ [VOITURE]= 6.000,00 EUROS</v>
          </cell>
        </row>
        <row r="13">
          <cell r="I13" t="str">
            <v>DANS 785 JOURS= ''18.836H00'' ~ (LUNDI 26 DECEMBRE 2021 A 9H00) ~ [VOITURE]= 6.000,00 EUROS]</v>
          </cell>
          <cell r="J13" t="str">
            <v>TOTAL: 6.176,77 EUROS ~ [SIX MILLE CENT SOIXANTE SEIZE EUROS &amp; 77 CTS]</v>
          </cell>
          <cell r="L13" t="str">
            <v>DANS 785J= ''18.836H00'' ~ (LUNDI 26 DECEMBRE 2021 A 9H00) ~ [VOITURE]= 6.000,00 EUROS</v>
          </cell>
        </row>
        <row r="14">
          <cell r="A14" t="str">
            <v>COUPE OEUF</v>
          </cell>
          <cell r="B14">
            <v>176.76999999999998</v>
          </cell>
          <cell r="C14">
            <v>43774</v>
          </cell>
          <cell r="D14">
            <v>0.33333333333333331</v>
          </cell>
          <cell r="I14" t="str">
            <v>~SAMEDI 2 NOVEMBRE 2019 [13:00:00]~ ''MINUIT DANS 11H00'' ~ (NOW: DANS 3 JOURS= ''67H00'' =&gt; ''56H'') &amp; [''18.836H00'' =&gt; ''18.825H'']                                                                                                                                                                                                                                                                                                                                                                                                                                                                                                                                                                                                                                                                                                                                                                                                                                                                                                                                                                                                                                                                                                                                                                                                                                                ************************************************************************************************************************************************************************** CE SOIR: (SAMEDI 2 NOV)= ''56H'' # DIM 3 NOV (+1)= ''32H'' # LUN 4 NOV (+2)= ''8H'' =&gt; MARDI 5 NOVEMBRE A 8H00 (+3J)                                                                                                                                                                                                                                                                                                                                                                                                                                                                                                                                                                                                                                                                                                                                                                                                                                                                                                                                                                                                                                                                                                                                                                                                                                                                                                                                                                                                                                                                                                                                                                                                                                                                                                                                                                                                                                                                                                                                                                                                                                                                                                                                                                                                                                                                                                                                                                                                                                                                                                                                                                                                                                                                                                                                                                                                                                                                                                                                                                                                                                                                                                                                                                                                                                                                                                                                                                                                                                                                                                                                                                                                                                                                                                                                                                                                                                                                                                                                                                                                                                                                                                                                                                                                                                                                                                                                                                                                                                                                                                                                                                                                                                                                                                                                                                                                                                                                                                                                                                     TOTAL: (SAMEDI 2 NOV)= ''18.825H'' # DIM 3 NOV (+1)= ''18.801H'' # LUN 4 NOV (+2)= ''18.777H''                                                                                                                                                                                                                                                                                                                                                                                                                                                                                                                                                                                                                        ************************************************************************************************************************************************************************** DANS 3 JOURS= ''67H00'' ~ (MARDI 5 NOVEMBRE A 8H00): [COUPE OEUF]= {0,48€/176,77€} RESTERA: 176,29 EUROS                                                                                                                                                                                                                                                                                                                                                                                                                                                                                                                                                                                                                                                                                                                                                                                                                                                                                                                                                                                                                                                                                                                                                                                                                                                                                                                                                                                                                                                                                                                                                                                                                                                                                                                                                                                                                                                                      FINI DANS 64 JOURS= ''1.531H00'' ~ (DIMANCHE 5 JANVIER 2020 A 8H00)                                                                                                                                                                                                                                                                                                                                                                                                                                                                                                                                                                                                                                                                                                                                                                                                                                                                                                                                                                                                                                                                                                                                                                                                                                                DANS 785 JOURS= ''18.836H00'' ~ [2 ANS &amp; 1 MOIS &amp; 24 JOURS] ~ (LUNDI 26 DECEMBRE 2021 A 9H00): [VOITURE]= {24*250,00€} OU 6.000,00 EUROS                                                                                                                                                                                                                                                                                                                                                                                                                                                                                                                                                                                                                        ************************************************************************************************************************************************************************** 6.176,77 EUROS (OU 40.516,96 FRANCS)= [SIX MILLE CENT SOIXANTE SEIZE EUROS &amp; 77 CENTIMES]                                                                                                                                                                                                                                                                                                                                                                                                                                                                                                                                                                                                                        [COUPE OEUF (5 NOV: ''+3J'')= {3*0,48€} + COUETTE (6 NOV: ''+4J'')= {3*12,77€} + BANQUE (26 NOV: ''+24J'')= 111,02 EUROS + MR BERARDI (26 NOV: ''+24J'')= 26,00 EUROS]                                                                                                                                                                                                                                                                                                                                                                                                                                                                                                                                                                                                                                                                                                                                                                                                                                + [VOITURE (26 DEC 2021 ''+785J'')= {24*250,00€} OU 6.000,00 EUROS]                                                                                                                                                                                                                                                                                                                                                                                                                                                                                                                                                                                                                        **************************************************************************************************************************************************************************                                                                                                                                                                                                                                                                                                                                                                                                                                                                                                                                                                                                                         [DANS 3J= ''67H00'' ~ (MAR 5 NOV): {0,48€} &amp; DANS 64J= ''1.531H00'' ~ (DIM 5 JAN 2020): {176,29€} &amp; DANS 785J= ''18.836H00'' ~ (DIM 26 DEC 2021): {6.000,00€}]                                                                                                                                                                                                                                                                                                                                                                                                                                                                                                                                                                                                                        ************************************************************************************************************************************************************************** #RESTE 13,25 EUROS A PAYER CE MOIS CI: [COUPE OEUF (5 NOV: ''+3J'')= {0,48€} + COUETTE (6 NOV: ''+4J'')= {12,77€}]#</v>
          </cell>
          <cell r="J14" t="str">
            <v>DANS 3 JOURS= ''67H00'' ~ (MARDI 5 NOVEMBRE A 8H00)                                                                                                                                                                                                                                                                  [COUPE OEUF]= ,48 EUROS                                                                                                                                                                                                                                                                  RESTERA: 176,29 EUROS</v>
          </cell>
          <cell r="K14" t="str">
            <v>0,48€</v>
          </cell>
          <cell r="L14" t="str">
            <v>DANS 3 JOURS= ''67H00'' ~ (MARDI 5 NOVEMBRE A 8H00): [COUPE OEUF]= {0,48€/176,77€} RESTERA: 176,29 EUROS</v>
          </cell>
          <cell r="R14">
            <v>3</v>
          </cell>
        </row>
        <row r="15">
          <cell r="A15" t="str">
            <v>VOITURE</v>
          </cell>
          <cell r="B15">
            <v>6000</v>
          </cell>
          <cell r="C15" t="str">
            <v>26/12/2021</v>
          </cell>
          <cell r="D15">
            <v>0.375</v>
          </cell>
          <cell r="E15" t="str">
            <v>{24*250,00€}</v>
          </cell>
          <cell r="J15" t="str">
            <v xml:space="preserve">RESTERA A PAYER: </v>
          </cell>
          <cell r="K15">
            <v>176.29</v>
          </cell>
          <cell r="L15" t="str">
            <v>DANS 785 JOURS= ''18.836H00'' ~ [2 ANS &amp; 1 MOIS &amp; 24 JOURS] ~ (LUNDI 26 DECEMBRE 2021 A 9H00): [VOITURE]= {24*250,00€} OU 6.000,00 EUROS</v>
          </cell>
          <cell r="R15" t="str">
            <v>785</v>
          </cell>
        </row>
        <row r="16">
          <cell r="I16" t="str">
            <v>~SAMEDI 2 NOVEMBRE 2019 [13:00:00]~ ''MINUIT DANS 11H00'' ~ (NOW: DANS 3 JOURS= ''67H00'' =&gt; ''56H'') &amp; [''18.836H00'' =&gt; ''18.825H'']                                                                                                                                                                                                                                                                                                                                                                                                                                                                                                                                                                                                                                                                                                                                                                                                                                                                                                                                                                                                                                                                                                                                                                                                                                                ****************************************************************************************************************************************************************************************************************** CE SOIR: (SAMEDI 2 NOV)= ''56H'' # DIMANCHE 3 NOV (+1)= ''32H'' # LUNDI 4 NOV (+2)= ''8H'' =&gt; MARDI 5 NOVEMBRE A 8H00 (+3J)                                                                                                                                                                                                                                                                                                                                                                                                                                                                                                                                                                                                                                                                                                                                                                                                                                                                                                                                                                                                                                                                                                                                                                                                                                                                                                                                                                                                                                                                                                                                                                                                                                                                                                                                                                                                                                                                                                                                                                                                                                                                                                                                                                                                                                                                                                                                                                                                                                                                                                                                                                                                                                                                                                                                                                                                                                                                                                                                                                                                                                                                                                                                                                                                                                                                                                                                                                                                                                                                                                                                                                                                                                                                                                                                                                                                                                                                                                                                                                                                                                                                                                                                                                                                                                                                                                                                                                                                                                                                                                                                                                                                                                                                                                                                                                                                                                                                                                                                                                     TOTAL: (SAMEDI 2 NOV)= ''18.825H'' # DIMANCHE 3 NOV (+1)= ''18.801H'' # LUNDI 4 NOV (+2)= ''18.777H''                                                                                                                                                                                                                                                                                                                                                                                                                                                                                                                                                                                                                        ****************************************************************************************************************************************************************************************************************** DANS 3 JOURS= ''67H00'' ~ (MARDI 5 NOVEMBRE A 8H00): [COUPE OEUF]= {0,48€/176,77€} RESTERA: 176,29 EUROS                                                                                                                                                                                                                                                                                                                                                                                                                                                                                                                                                                                                                                                                                                                                                                                                                                                                                                                                                                                                                                                                                                                                                                                                                                              FINI DANS 64 JOURS= ''1.531H00'' ~ (DIMANCHE 5 JANVIER 2020 A 8H00)                                                                                                                                                                                                                                                                                                                                                                                                                                                                                                                                                                                                                                                                                                                                                                                                                                                                                                                                                                                                                                                                                                                                                                                                                                                DANS 785 JOURS= ''18.836H00'' ~ [2 ANS &amp; 1 MOIS &amp; 24 JOURS] ~ (LUNDI 26 DECEMBRE 2021 A 9H00): [VOITURE]= {24*250,00€} OU 6.000,00 EUROS                                                                                                                                                                                                                                                                                                                                                                                                                                                                                                                                                                                                                        ****************************************************************************************************************************************************************************************************************** 6.176,77 EUROS (OU 40.516,96 FRANCS)= [SIX MILLE CENT SOIXANTE SEIZE EUROS &amp; 77 CENTIMES]                                                                                                                                                                                                                                                                                                                                                                                                                                                                                                                                                                                                                        [COUPE OEUF (5 NOV: ''+3J'')= {3*0,48€} OU 1,44 EUROS] + [COUETTE (6 NOV: ''+4J'')= {3*12,77€} OU 38,31 EUROS] + [BANQUE (26 NOV: ''+24J'')= 111,02 EUROS] + [MR BERARDI (26 NOV: ''+24J'')= 26,00 EUROS]                                                                                                                                                                                                                                                                                                                                                                                                                                                                                                                                                                                                                         + [VOITURE (26 DEC 2021 ''+785J'')= {24*250,00€} OU 6.000,00 EUROS]                                                                                                                                                                                                                                                                                                                                                                                                                                                                                                                                                                                                                        ******************************************************************************************************************************************************************************************************************                                                                                                                                                                                                                                                                                                                                                                                                                                                                                                                                                                                                                         [DANS 3J= ''67H00'' ~ (MAR 5 NOV): {0,48€} &amp; DANS 64J= ''1.531H00'' ~ (DIM 5 JAN 2020): {176,29€} &amp; DANS 785J= ''18.836H00'' ~ (DIM 26 DEC 2021): {6.000,00€}]                                                                                                                                                                                                                                                                                                                                                                                                                                                                                                                                                                                                                        #RESTE 13,25 EUROS A PAYER CE MOIS CI: [COUPE OEUF (5 NOV: ''+3J'')= {0,48€} + COUETTE (6 NOV: ''+4J'')= {12,77€}]#</v>
          </cell>
          <cell r="L16" t="str">
            <v>~SAMEDI 2 NOVEMBRE 2019 [13:00:00]~ ''MINUIT DANS 11H00'' ~ (NOW: DANS 3 JOURS= ''67H00'' =&gt; ''56H'') &amp; [''18.836H00'' =&gt; ''18.825H'']                                                                                                                                                                                                                                                                                                                                                                                                                                                                                                                                                                                                                                                                                                                                                                                                                                                                                                                                                                                                                                                                                                                                                                                                                                                ****************************************************************************************************************************************************************************************************************** CE SOIR: (SAMEDI 2 NOV)= ''56H'' # DIMANCHE 3 NOV (+1)= ''32H'' # LUNDI 4 NOV (+2)= ''8H'' =&gt; MARDI 5 NOVEMBRE A 8H00 (+3J)                                                                                                                                                                                                                                                                                                                                                                                                                                                                                                                                                                                                                                                                                                                                                                                                                                                                                                                                                                                                                                                                                                                                                                                                                                                                                                                                                                                                                                                                                                                                                                                                                                                                                                                                                                                                                                                                                                                                                                                                                                                                                                                                                                                                                                                                                                                                                                                                                                                                                                                                                                                                                                                                                                                                                                                                                                                                                                                                                                                                                                                                                                                                                                                                                                                                                                                                                                                                                                                                                                                                                                                                                                                                                                                                                                                                                                                                                                                                                                                                                                                                                                                                                                                                                                                                                                                                                                                                                                                                                                                                                                                                                                                                                                                                                                                                                                                                                                                                                                     TOTAL: (SAMEDI 2 NOV)= ''18.825H'' # DIMANCHE 3 NOV (+1)= ''18.801H'' # LUNDI 4 NOV (+2)= ''18.777H''                                                                                                                                                                                                                                                                                                                                                                                                                                                                                                                                                                                                                        ****************************************************************************************************************************************************************************************************************** DANS 3 JOURS= ''67H00'' ~ (MARDI 5 NOVEMBRE A 8H00): [COUPE OEUF]= {0,48€/176,77€} RESTERA: 176,29 EUROS                                                                                                                                                                                                                                                                                                                                                                                                                                                                                                                                                                                                                                                                                                                                                                                                                                                                                                                                                                                                                                                                                                                                                                                                                                              FINI DANS 64 JOURS= ''1.531H00'' ~ (DIMANCHE 5 JANVIER 2020 A 8H00)                                                                                                                                                                                                                                                                                                                                                                                                                                                                                                                                                                                                                                                                                                                                                                                                                                                                                                                                                                                                                                                                                                                                                                                                                                                DANS 785 JOURS= ''18.836H00'' ~ [2 ANS &amp; 1 MOIS &amp; 24 JOURS] ~ (LUNDI 26 DECEMBRE 2021 A 9H00): [VOITURE]= {24*250,00€} OU 6.000,00 EUROS                                                                                                                                                                                                                                                                                                                                                                                                                                                                                                                                                                                                                        ****************************************************************************************************************************************************************************************************************** 6.176,77 EUROS (OU 40.516,96 FRANCS)= [SIX MILLE CENT SOIXANTE SEIZE EUROS &amp; 77 CENTIMES]                                                                                                                                                                                                                                                                                                                                                                                                                                                                                                                                                                                                                        [COUPE OEUF (5 NOV: ''+3J'')= {3*0,48€} OU 1,44 EUROS] + [COUETTE (6 NOV: ''+4J'')= {3*12,77€} OU 38,31 EUROS] + [BANQUE (26 NOV: ''+24J'')= 111,02 EUROS] + [MR BERARDI (26 NOV: ''+24J'')= 26,00 EUROS]                                                                                                                                                                                                                                                                                                                                                                                                                                                                                                                                                                                                                         + [VOITURE (26 DEC 2021 ''+785J'')= {24*250,00€} OU 6.000,00 EUROS]                                                                                                                                                                                                                                                                                                                                                                                                                                                                                                                                                                                                                        ******************************************************************************************************************************************************************************************************************                                                                                                                                                                                                                                                                                                                                                                                                                                                                                                                                                                                                                         [DANS 3J= ''67H00'' ~ (MAR 5 NOV): {0,48€} &amp; DANS 64J= ''1.531H00'' ~ (DIM 5 JAN 2020): {176,29€} &amp; DANS 785J= ''18.836H00'' ~ (DIM 26 DEC 2021): {6.000,00€}]                                                                                                                                                                                                                                                                                                                                                                                                                                                                                                                                                                                                                        #RESTE 13,25 EUROS A PAYER CE MOIS CI: [COUPE OEUF (5 NOV: ''+3J'')= {0,48€} + COUETTE (6 NOV: ''+4J'')= {12,77€}]#</v>
          </cell>
        </row>
        <row r="28">
          <cell r="BL28" t="str">
            <v>64</v>
          </cell>
        </row>
        <row r="39">
          <cell r="A39">
            <v>2</v>
          </cell>
        </row>
        <row r="56">
          <cell r="N56" t="str">
            <v>DANS 3 JOURS= ''67H00''</v>
          </cell>
          <cell r="P56">
            <v>43835</v>
          </cell>
          <cell r="R56">
            <v>43774</v>
          </cell>
          <cell r="S56">
            <v>0.33333333333333331</v>
          </cell>
        </row>
        <row r="62">
          <cell r="P62" t="str">
            <v>A 8H00</v>
          </cell>
        </row>
        <row r="97">
          <cell r="V97" t="str">
            <v>0,48€</v>
          </cell>
        </row>
      </sheetData>
      <sheetData sheetId="1">
        <row r="3">
          <cell r="J3" t="str">
            <v>[DANS 3 JOURS= ''67H00'' ~ (MARDI 5 NOVEMBRE): {0,48€} &amp; DANS 64 JOURS= ''1.531H00'' ~ (DIMANCHE 5 JANVIER 2020): {176,29€} &amp; DANS 785 JOURS= ''18.836H00'' ~ (DIMANCHE 26 DECEMBRE 2021): {6.000,00€}]</v>
          </cell>
        </row>
        <row r="11">
          <cell r="I11">
            <v>1</v>
          </cell>
          <cell r="K11">
            <v>1</v>
          </cell>
          <cell r="L11" t="str">
            <v>JAN</v>
          </cell>
        </row>
        <row r="12">
          <cell r="I12">
            <v>2</v>
          </cell>
          <cell r="J12" t="str">
            <v>DEUX</v>
          </cell>
          <cell r="K12">
            <v>2</v>
          </cell>
          <cell r="L12" t="str">
            <v>FEV</v>
          </cell>
        </row>
        <row r="13">
          <cell r="I13">
            <v>3</v>
          </cell>
          <cell r="J13" t="str">
            <v>TROIS</v>
          </cell>
          <cell r="K13">
            <v>3</v>
          </cell>
          <cell r="L13" t="str">
            <v>MAR</v>
          </cell>
        </row>
        <row r="14">
          <cell r="B14">
            <v>0.48</v>
          </cell>
          <cell r="C14" t="str">
            <v/>
          </cell>
          <cell r="I14">
            <v>4</v>
          </cell>
          <cell r="J14" t="str">
            <v>QUATRE</v>
          </cell>
          <cell r="K14">
            <v>4</v>
          </cell>
          <cell r="L14" t="str">
            <v>AVR</v>
          </cell>
        </row>
        <row r="15">
          <cell r="B15">
            <v>0</v>
          </cell>
          <cell r="C15" t="str">
            <v/>
          </cell>
          <cell r="I15">
            <v>5</v>
          </cell>
          <cell r="J15" t="str">
            <v>CINQ</v>
          </cell>
          <cell r="K15">
            <v>5</v>
          </cell>
          <cell r="L15" t="str">
            <v>MAI</v>
          </cell>
        </row>
        <row r="16">
          <cell r="I16">
            <v>6</v>
          </cell>
          <cell r="J16" t="str">
            <v>SIX</v>
          </cell>
          <cell r="K16">
            <v>6</v>
          </cell>
          <cell r="L16" t="str">
            <v>JUIN</v>
          </cell>
        </row>
        <row r="17">
          <cell r="I17">
            <v>7</v>
          </cell>
          <cell r="J17" t="str">
            <v>SEPT</v>
          </cell>
          <cell r="K17">
            <v>7</v>
          </cell>
          <cell r="L17" t="str">
            <v>JUIL</v>
          </cell>
        </row>
        <row r="18">
          <cell r="I18">
            <v>8</v>
          </cell>
          <cell r="J18" t="str">
            <v>HUIT</v>
          </cell>
          <cell r="K18">
            <v>8</v>
          </cell>
          <cell r="L18" t="str">
            <v>AOUT</v>
          </cell>
        </row>
        <row r="19">
          <cell r="I19">
            <v>9</v>
          </cell>
          <cell r="J19" t="str">
            <v>NEUF</v>
          </cell>
          <cell r="K19">
            <v>9</v>
          </cell>
          <cell r="L19" t="str">
            <v>SEPT</v>
          </cell>
        </row>
        <row r="20">
          <cell r="I20">
            <v>10</v>
          </cell>
          <cell r="J20" t="str">
            <v>DIX</v>
          </cell>
          <cell r="K20">
            <v>10</v>
          </cell>
          <cell r="L20" t="str">
            <v>OCT</v>
          </cell>
        </row>
        <row r="21">
          <cell r="I21">
            <v>11</v>
          </cell>
          <cell r="J21" t="str">
            <v>ONZE</v>
          </cell>
          <cell r="K21">
            <v>11</v>
          </cell>
          <cell r="L21" t="str">
            <v>NOV</v>
          </cell>
        </row>
        <row r="22">
          <cell r="I22">
            <v>12</v>
          </cell>
          <cell r="J22" t="str">
            <v>DOUZE</v>
          </cell>
          <cell r="K22">
            <v>12</v>
          </cell>
          <cell r="L22" t="str">
            <v>DEC</v>
          </cell>
        </row>
        <row r="51">
          <cell r="A51" t="str">
            <v>~SAMEDI 2 NOVEMBRE 2019 [13:00:00]~ ''MINUIT DANS 11H00'' ~ (NOW: DANS 3 JOURS= ''67H00'' =&gt; ''56H'') &amp; [''18.836H00'' =&gt; ''18.825H'']                                                                                                                                                                                                                                                                                                                                                                                                                                                                                                                                                                                                                                                                                                                                                                                                                                                                                                                                                                                                                                                                                                                                                                                                                                                ****************************************************************************************************************************************************************************************************************** CE SOIR: (SAMEDI 2 NOV)= ''56H'' # DIM 3 NOV (+1)= ''32H'' # LUN 4 NOV (+2)= ''8H'' =&gt; MARDI 5 NOVEMBRE A 8H00 (+3J)                                                                                                                                                                                                                                                                                                                                                                                                                                                                                                                                                                                                                                                                                                                                                                                                                                                                                                                                                                                                                                                                                                                                                                                                                                                                                                                                                                                                                                                                                                                                                                                                                                                                                                                                                                                                                                                                                                                                                                                                                                                                                                                                                                                                                                                                                                                                                                                                                                                                                                                                                                                                                                                                                                                                                                                                                                                                                                                                                                                                                                                                                                                                                                                                                                                                                                                                                                                                                                                                                                                                                                                                                                                                                                                                                                                                                                                                                                                                                                                                                                                                                                                                                                                                                                                                                                                                                                                                                                                                                                                                                                                                                                                                                                                                                                                                                                                                                                                                                                     TOTAL: (SAMEDI 2 NOV)= ''18.825H'' # DIM 3 NOV (+1)= ''18.801H'' # LUN 4 NOV (+2)= ''18.777H''                                                                                                                                                                                                                                                                                                                                                                                                                                                                                                                                                                                                                        ****************************************************************************************************************************************************************************************************************** DANS 3 JOURS= ''67H00'' ~ (MARDI 5 NOVEMBRE A 8H00): [COUPE OEUF]= {0,48€/176,77€} RESTERA: 176,29 EUROS                                                                                                                                                                                                                                                                                                                                                                                                                                                                                                                                                                                                                        FINI DANS 64 JOURS= ''1.531H00'' ~ (DIMANCHE 5 JANVIER 2020 A 8H00)                                                                                                                                                                                                                                                                                                                                                                                                                                                                                                                                                                                                                                                                                                                                                                                                                                                                                                                                                                                                                                                                                                                                                                                                                                                DANS 785 JOURS= ''18.836H00'' ~ [2 ANS &amp; 1 MOIS &amp; 24 JOURS] ~ (LUNDI 26 DECEMBRE 2021 A 9H00): [VOITURE]= {24*250,00€} OU 6.000,00 EUROS                                                                                                                                                                                                                                                                                                                                                                                                                                                                                                                                                                                                                        ****************************************************************************************************************************************************************************************************************** 6.176,77 EUROS (OU 40.516,96 FRANCS)= [SIX MILLE CENT SOIXANTE SEIZE EUROS &amp; 77 CENTIMES]                                                                                                                                                                                                                                                                                                                                                                                                                                                                                                                                                                                                                        [COUPE OEUF (5 NOV: ''+3J'')= {3*0,48€} OU 1,44 EUROS] + [COUETTE (6 NOV: ''+4J'')= {3*12,77€} OU 38,31 EUROS] + [BANQUE (26 NOV: ''+24J'')= 111,02 EUROS] + [MR BERARDI (26 NOV: ''+24J'')= 26,00 EUROS]                                                                                                                                                                                                                                                                                                                                                                                                                                                                                                                                                                                                                         + [VOITURE (26 DEC 2021 ''+785J'')= {24*250,00€} OU 6.000,00 EUROS]                                                                                                                                                                                                                                                                                                                                                                                                                                                                                                                                                                                                                        ******************************************************************************************************************************************************************************************************************                                                                                                                                                                                                                                                                                                                                                                                                                                                                                                                                                                                                                         [DANS 3J= ''67H00'' ~ (MAR 5 NOV): {0,48€} &amp; DANS 64J= ''1.531H00'' ~ (DIM 5 JAN 2020): {176,29€} &amp; DANS 785J= ''18.836H00'' ~ (DIM 26 DEC 2021): {6.000,00€}]                                                                                                                                                                                                                                                                                                                                                                                                                                                                                                                                                                                                                        #RESTE 13,25 EUROS A PAYER CE MOIS CI: [COUPE OEUF (5 NOV: ''+3J'')= {0,48€} + COUETTE (6 NOV: ''+4J'')= {12,77€}]#</v>
          </cell>
        </row>
      </sheetData>
    </sheetDataSet>
  </externalBook>
</externalLink>
</file>

<file path=xl/externalLinks/externalLink5.xml><?xml version="1.0" encoding="utf-8"?>
<externalLink xmlns="http://schemas.openxmlformats.org/spreadsheetml/2006/main">
  <externalBook xmlns:r="http://schemas.openxmlformats.org/officeDocument/2006/relationships" r:id="rId1">
    <sheetNames>
      <sheetName val="EQUIPES"/>
      <sheetName val="MATCHS"/>
      <sheetName val="BUTEURS"/>
      <sheetName val="DATES"/>
      <sheetName val="TABLEAU"/>
      <sheetName val="DONNEES"/>
      <sheetName val="MACRO"/>
      <sheetName val="COUPE DE L'UEFA 2019-20"/>
    </sheetNames>
    <definedNames>
      <definedName name="GGG" refersTo="='DATES'!$L$25"/>
      <definedName name="PHRASE.30" refersTo="='DATES'!$F$59"/>
      <definedName name="PHRASE.REDUITE" refersTo="='DATES'!$A$74"/>
      <definedName name="SUIVANT" refersTo="='DATES'!$A$44"/>
      <definedName name="UEFA.DATE" refersTo="='EQUIPES'!$B$1"/>
      <definedName name="UEFA.HEURE" refersTo="='EQUIPES'!$C$1"/>
      <definedName name="VER.99" refersTo="='TABLEAU'!$BT$1"/>
    </definedNames>
    <sheetDataSet>
      <sheetData sheetId="0">
        <row r="1">
          <cell r="B1">
            <v>43895</v>
          </cell>
          <cell r="C1">
            <v>0.78819444444444453</v>
          </cell>
        </row>
      </sheetData>
      <sheetData sheetId="1"/>
      <sheetData sheetId="2"/>
      <sheetData sheetId="3">
        <row r="25">
          <cell r="L25" t="str">
            <v xml:space="preserve">DANS 128 JOURS </v>
          </cell>
        </row>
        <row r="44">
          <cell r="A44" t="str">
            <v/>
          </cell>
        </row>
        <row r="59">
          <cell r="F59" t="str">
            <v>#DANS 128 JOURS (JEUDI 5 MARS 2020 A 18H55): [UEFA 2019-20= (MANQUE 16 EQUIPES)]#</v>
          </cell>
        </row>
        <row r="74">
          <cell r="A74" t="str">
            <v>#AAA (JEUDI 5 MARS 2020 A 18H55): [UEFA 2019-20= (MANQUE 16 EQUIPES)]#</v>
          </cell>
        </row>
      </sheetData>
      <sheetData sheetId="4">
        <row r="1">
          <cell r="BT1" t="str">
            <v/>
          </cell>
        </row>
      </sheetData>
      <sheetData sheetId="5">
        <row r="5">
          <cell r="BT5" t="str">
            <v>#(COUPE DE L'UEFA 2019-20)= [MANQUE EQUIPES]#</v>
          </cell>
          <cell r="BU5" t="str">
            <v>UEFA 2019-20</v>
          </cell>
        </row>
        <row r="6">
          <cell r="BT6" t="str">
            <v>#(COUPE DE L'UEFA 2019-20)= [MANQUE EQUIPES]#</v>
          </cell>
          <cell r="BU6" t="str">
            <v>UEFA 2019-20</v>
          </cell>
        </row>
        <row r="7">
          <cell r="BT7" t="str">
            <v>#(COUPE DE L'UEFA 2019-20)= [MANQUE EQUIPES]#</v>
          </cell>
          <cell r="BU7" t="str">
            <v>UEFA 2019-20</v>
          </cell>
        </row>
        <row r="8">
          <cell r="BT8" t="str">
            <v>#(COUPE DE L'UEFA 2019-20)= [MANQUE EQUIPES]#</v>
          </cell>
          <cell r="BU8" t="str">
            <v>UEFA 2019-20</v>
          </cell>
        </row>
        <row r="9">
          <cell r="BT9" t="str">
            <v>#(COUPE DE L'UEFA 2019-20)= [MANQUE EQUIPES]#</v>
          </cell>
          <cell r="BU9" t="str">
            <v>UEFA 2019-20</v>
          </cell>
        </row>
        <row r="10">
          <cell r="BT10" t="str">
            <v>#(COUPE DE L'UEFA 2019-20)= [MANQUE EQUIPES]#</v>
          </cell>
          <cell r="BU10" t="str">
            <v>UEFA 2019-20</v>
          </cell>
        </row>
        <row r="11">
          <cell r="BT11" t="str">
            <v>#(COUPE DE L'UEFA 2019-20)= [MANQUE EQUIPES]#</v>
          </cell>
          <cell r="BU11" t="str">
            <v>UEFA 2019-20</v>
          </cell>
        </row>
        <row r="12">
          <cell r="BT12" t="str">
            <v>#(COUPE DE L'UEFA 2019-20)= [MANQUE EQUIPES]#</v>
          </cell>
          <cell r="BU12" t="str">
            <v>UEFA 2019-20</v>
          </cell>
        </row>
        <row r="13">
          <cell r="BT13" t="str">
            <v>#(COUPE DE L'UEFA 2019-20)= [MANQUE EQUIPES]#</v>
          </cell>
          <cell r="BU13" t="str">
            <v>UEFA 2019-20</v>
          </cell>
        </row>
        <row r="14">
          <cell r="BT14" t="str">
            <v>#(COUPE DE L'UEFA 2019-20)= [MANQUE EQUIPES]#</v>
          </cell>
          <cell r="BU14" t="str">
            <v>UEFA 2019-20</v>
          </cell>
        </row>
        <row r="15">
          <cell r="BT15" t="str">
            <v>#(COUPE DE L'UEFA 2019-20)= [MANQUE EQUIPES]#</v>
          </cell>
          <cell r="BU15" t="str">
            <v>UEFA 2019-20</v>
          </cell>
        </row>
        <row r="16">
          <cell r="BT16" t="str">
            <v>#(COUPE DE L'UEFA 2019-20)= [MANQUE EQUIPES]#</v>
          </cell>
          <cell r="BU16" t="str">
            <v>UEFA 2019-20</v>
          </cell>
        </row>
        <row r="17">
          <cell r="BT17" t="str">
            <v>#(COUPE DE L'UEFA 2019-20)= [MANQUE EQUIPES]#</v>
          </cell>
          <cell r="BU17" t="str">
            <v>UEFA 2019-20</v>
          </cell>
        </row>
        <row r="18">
          <cell r="BT18" t="str">
            <v>#(COUPE DE L'UEFA 2019-20)= [MANQUE EQUIPES]#</v>
          </cell>
          <cell r="BU18" t="str">
            <v>UEFA 2019-20</v>
          </cell>
        </row>
        <row r="19">
          <cell r="BT19" t="str">
            <v>#(COUPE DE L'UEFA 2019-20)= [MANQUE EQUIPES]#</v>
          </cell>
          <cell r="BU19" t="str">
            <v>UEFA 2019-20</v>
          </cell>
        </row>
        <row r="20">
          <cell r="BT20" t="str">
            <v>#(COUPE DE L'UEFA 2019-20)= [MANQUE EQUIPES]#</v>
          </cell>
          <cell r="BU20" t="str">
            <v>UEFA 2019-20</v>
          </cell>
        </row>
      </sheetData>
      <sheetData sheetId="6"/>
      <sheetData sheetId="7" refreshError="1"/>
    </sheetDataSet>
  </externalBook>
</externalLink>
</file>

<file path=xl/externalLinks/externalLink6.xml><?xml version="1.0" encoding="utf-8"?>
<externalLink xmlns="http://schemas.openxmlformats.org/spreadsheetml/2006/main">
  <externalBook xmlns:r="http://schemas.openxmlformats.org/officeDocument/2006/relationships" r:id="rId1">
    <sheetNames>
      <sheetName val="EQUIPES"/>
      <sheetName val="MATCHS"/>
      <sheetName val="BUTEURS"/>
      <sheetName val="DATES"/>
      <sheetName val="TABLEAU"/>
      <sheetName val="DONNEES"/>
      <sheetName val="MACRO"/>
      <sheetName val="COUPE DE FRANCE 2019-20"/>
    </sheetNames>
    <definedNames>
      <definedName name="FRANCE.DATE" refersTo="='EQUIPES'!$B$1"/>
      <definedName name="FRANCE.HEURE" refersTo="='EQUIPES'!$C$1"/>
      <definedName name="GGG" refersTo="='DATES'!$M$32"/>
      <definedName name="PHRASE.30" refersTo="='EQUIPES'!$AC$26"/>
      <definedName name="PHRASE.REDUITE" refersTo="='DATES'!$A$41"/>
      <definedName name="VER.99" refersTo="='TABLEAU'!$BV$1"/>
    </definedNames>
    <sheetDataSet>
      <sheetData sheetId="0">
        <row r="1">
          <cell r="B1">
            <v>43865</v>
          </cell>
          <cell r="C1">
            <v>0.83333333333333337</v>
          </cell>
        </row>
        <row r="26">
          <cell r="AC26" t="str">
            <v>#DANS 98 JOURS (MARDI 4 FEVRIER 2020 A 20H00): [COUPE DE FRANCE 2019-20= (MANQUE 16 EQUIPES)]#</v>
          </cell>
        </row>
      </sheetData>
      <sheetData sheetId="1"/>
      <sheetData sheetId="2"/>
      <sheetData sheetId="3">
        <row r="32">
          <cell r="M32" t="str">
            <v>DANS 98 JOURS</v>
          </cell>
        </row>
        <row r="41">
          <cell r="A41" t="str">
            <v>#AAA (MARDI 4 FEVRIER 2020 A 20H00): [COUPE DE FRANCE 2019-20= (MANQUE 16 EQUIPES)]#</v>
          </cell>
        </row>
      </sheetData>
      <sheetData sheetId="4">
        <row r="1">
          <cell r="BV1" t="str">
            <v/>
          </cell>
        </row>
      </sheetData>
      <sheetData sheetId="5">
        <row r="5">
          <cell r="BU5" t="str">
            <v>#(COUPE DE FRANCE 2019-20)= [MANQUE EQUIPES]#</v>
          </cell>
          <cell r="BV5" t="str">
            <v>#(COUPE DE FRANCE 2019-20): MANQUE EQUIPES#</v>
          </cell>
        </row>
        <row r="6">
          <cell r="BU6" t="str">
            <v>#(COUPE DE FRANCE 2019-20)= [MANQUE EQUIPES]#</v>
          </cell>
          <cell r="BV6" t="str">
            <v>#(COUPE DE FRANCE 2019-20): MANQUE EQUIPES#</v>
          </cell>
        </row>
        <row r="7">
          <cell r="BU7" t="str">
            <v>#(COUPE DE FRANCE 2019-20)= [MANQUE EQUIPES]#</v>
          </cell>
          <cell r="BV7" t="str">
            <v>#(COUPE DE FRANCE 2019-20): MANQUE EQUIPES#</v>
          </cell>
        </row>
        <row r="8">
          <cell r="BU8" t="str">
            <v>#(COUPE DE FRANCE 2019-20)= [MANQUE EQUIPES]#</v>
          </cell>
          <cell r="BV8" t="str">
            <v>#(COUPE DE FRANCE 2019-20): MANQUE EQUIPES#</v>
          </cell>
        </row>
        <row r="9">
          <cell r="BU9" t="str">
            <v>#(COUPE DE FRANCE 2019-20)= [MANQUE EQUIPES]#</v>
          </cell>
          <cell r="BV9" t="str">
            <v>#(COUPE DE FRANCE 2019-20): MANQUE EQUIPES#</v>
          </cell>
        </row>
        <row r="10">
          <cell r="BU10" t="str">
            <v>#(COUPE DE FRANCE 2019-20)= [MANQUE EQUIPES]#</v>
          </cell>
          <cell r="BV10" t="str">
            <v>#(COUPE DE FRANCE 2019-20): MANQUE EQUIPES#</v>
          </cell>
        </row>
        <row r="11">
          <cell r="BU11" t="str">
            <v>#(COUPE DE FRANCE 2019-20)= [MANQUE EQUIPES]#</v>
          </cell>
          <cell r="BV11" t="str">
            <v>#(COUPE DE FRANCE 2019-20): MANQUE EQUIPES#</v>
          </cell>
        </row>
        <row r="12">
          <cell r="BU12" t="str">
            <v>#(COUPE DE FRANCE 2019-20)= [MANQUE EQUIPES]#</v>
          </cell>
          <cell r="BV12" t="str">
            <v>#(COUPE DE FRANCE 2019-20): MANQUE EQUIPES#</v>
          </cell>
        </row>
        <row r="13">
          <cell r="BU13" t="str">
            <v>#(COUPE DE FRANCE 2019-20)= [MANQUE EQUIPES]#</v>
          </cell>
          <cell r="BV13" t="str">
            <v>#(COUPE DE FRANCE 2019-20): MANQUE EQUIPES#</v>
          </cell>
        </row>
        <row r="14">
          <cell r="BU14" t="str">
            <v>#(COUPE DE FRANCE 2019-20)= [MANQUE EQUIPES]#</v>
          </cell>
          <cell r="BV14" t="str">
            <v>#(COUPE DE FRANCE 2019-20): MANQUE EQUIPES#</v>
          </cell>
        </row>
        <row r="15">
          <cell r="BU15" t="str">
            <v>#(COUPE DE FRANCE 2019-20)= [MANQUE EQUIPES]#</v>
          </cell>
          <cell r="BV15" t="str">
            <v>#(COUPE DE FRANCE 2019-20): MANQUE EQUIPES#</v>
          </cell>
        </row>
        <row r="16">
          <cell r="BU16" t="str">
            <v>#(COUPE DE FRANCE 2019-20)= [MANQUE EQUIPES]#</v>
          </cell>
          <cell r="BV16" t="str">
            <v>#(COUPE DE FRANCE 2019-20): MANQUE EQUIPES#</v>
          </cell>
        </row>
        <row r="17">
          <cell r="BU17" t="str">
            <v>#(COUPE DE FRANCE 2019-20)= [MANQUE EQUIPES]#</v>
          </cell>
          <cell r="BV17" t="str">
            <v>#(COUPE DE FRANCE 2019-20): MANQUE EQUIPES#</v>
          </cell>
        </row>
        <row r="18">
          <cell r="BU18" t="str">
            <v>#(COUPE DE FRANCE 2019-20)= [MANQUE EQUIPES]#</v>
          </cell>
          <cell r="BV18" t="str">
            <v>#(COUPE DE FRANCE 2019-20): MANQUE EQUIPES#</v>
          </cell>
        </row>
        <row r="19">
          <cell r="BU19" t="str">
            <v>#(COUPE DE FRANCE 2019-20)= [MANQUE EQUIPES]#</v>
          </cell>
          <cell r="BV19" t="str">
            <v>#(COUPE DE FRANCE 2019-20): MANQUE EQUIPES#</v>
          </cell>
        </row>
        <row r="20">
          <cell r="BU20" t="str">
            <v>#(COUPE DE FRANCE 2019-20)= [MANQUE EQUIPES]#</v>
          </cell>
          <cell r="BV20" t="str">
            <v>#(COUPE DE FRANCE 2019-20): MANQUE EQUIPES#</v>
          </cell>
        </row>
      </sheetData>
      <sheetData sheetId="6"/>
      <sheetData sheetId="7" refreshError="1"/>
    </sheetDataSet>
  </externalBook>
</externalLink>
</file>

<file path=xl/externalLinks/externalLink7.xml><?xml version="1.0" encoding="utf-8"?>
<externalLink xmlns="http://schemas.openxmlformats.org/spreadsheetml/2006/main">
  <externalBook xmlns:r="http://schemas.openxmlformats.org/officeDocument/2006/relationships" r:id="rId1">
    <sheetNames>
      <sheetName val="EQUIPES"/>
      <sheetName val="MATCHS"/>
      <sheetName val="BUTEURS"/>
      <sheetName val="DATES"/>
      <sheetName val="TABLEAU"/>
      <sheetName val="DONNEES"/>
      <sheetName val="MACRO"/>
      <sheetName val="COUPE DE LA LIGUE 2019-20"/>
    </sheetNames>
    <definedNames>
      <definedName name="GGG" refersTo="='DATES'!$M$32"/>
      <definedName name="LIGUE.DATE" refersTo="='EQUIPES'!$B$1"/>
      <definedName name="LIGUE.HEURE" refersTo="='EQUIPES'!$C$1"/>
      <definedName name="PHRASE.30" refersTo="='EQUIPES'!$AC$26"/>
      <definedName name="PHRASE.REDUITE" refersTo="='DATES'!$A$41"/>
      <definedName name="VER.99" refersTo="='TABLEAU'!$BV$1"/>
    </definedNames>
    <sheetDataSet>
      <sheetData sheetId="0">
        <row r="1">
          <cell r="B1">
            <v>43816</v>
          </cell>
          <cell r="C1" t="str">
            <v>21:00</v>
          </cell>
        </row>
        <row r="26">
          <cell r="AC26" t="str">
            <v>#DANS 49 JOURS (MARDI 17 DECEMBRE A 21H00): [COUPE DE LA LIGUE 2019-20= (MANQUE 16 EQUIPES)]#</v>
          </cell>
        </row>
      </sheetData>
      <sheetData sheetId="1"/>
      <sheetData sheetId="2"/>
      <sheetData sheetId="3">
        <row r="32">
          <cell r="M32" t="str">
            <v>DANS 49 JOURS</v>
          </cell>
        </row>
        <row r="41">
          <cell r="A41" t="str">
            <v>#AAA (MARDI 17 DECEMBRE A 21H00): [COUPE DE LA LIGUE 2019-20= (MANQUE 16 EQUIPES)]#</v>
          </cell>
        </row>
      </sheetData>
      <sheetData sheetId="4">
        <row r="1">
          <cell r="BV1" t="str">
            <v/>
          </cell>
        </row>
      </sheetData>
      <sheetData sheetId="5">
        <row r="5">
          <cell r="BU5" t="str">
            <v>#(COUPE DE LA LIGUE 2019-20)= [MANQUE EQUIPES]#</v>
          </cell>
          <cell r="BV5" t="str">
            <v>#(COUPE DE LA LIGUE 2019-20): MANQUE EQUIPES#</v>
          </cell>
        </row>
        <row r="6">
          <cell r="BU6" t="str">
            <v>#(COUPE DE LA LIGUE 2019-20)= [MANQUE EQUIPES]#</v>
          </cell>
          <cell r="BV6" t="str">
            <v>#(COUPE DE LA LIGUE 2019-20): MANQUE EQUIPES#</v>
          </cell>
        </row>
        <row r="7">
          <cell r="BU7" t="str">
            <v>#(COUPE DE LA LIGUE 2019-20)= [MANQUE EQUIPES]#</v>
          </cell>
          <cell r="BV7" t="str">
            <v>#(COUPE DE LA LIGUE 2019-20): MANQUE EQUIPES#</v>
          </cell>
        </row>
        <row r="8">
          <cell r="BU8" t="str">
            <v>#(COUPE DE LA LIGUE 2019-20)= [MANQUE EQUIPES]#</v>
          </cell>
          <cell r="BV8" t="str">
            <v>#(COUPE DE LA LIGUE 2019-20): MANQUE EQUIPES#</v>
          </cell>
        </row>
        <row r="9">
          <cell r="BU9" t="str">
            <v>#(COUPE DE LA LIGUE 2019-20)= [MANQUE EQUIPES]#</v>
          </cell>
          <cell r="BV9" t="str">
            <v>#(COUPE DE LA LIGUE 2019-20): MANQUE EQUIPES#</v>
          </cell>
        </row>
        <row r="10">
          <cell r="BU10" t="str">
            <v>#(COUPE DE LA LIGUE 2019-20)= [MANQUE EQUIPES]#</v>
          </cell>
          <cell r="BV10" t="str">
            <v>#(COUPE DE LA LIGUE 2019-20): MANQUE EQUIPES#</v>
          </cell>
        </row>
        <row r="11">
          <cell r="BU11" t="str">
            <v>#(COUPE DE LA LIGUE 2019-20)= [MANQUE EQUIPES]#</v>
          </cell>
          <cell r="BV11" t="str">
            <v>#(COUPE DE LA LIGUE 2019-20): MANQUE EQUIPES#</v>
          </cell>
        </row>
        <row r="12">
          <cell r="BU12" t="str">
            <v>#(COUPE DE LA LIGUE 2019-20)= [MANQUE EQUIPES]#</v>
          </cell>
          <cell r="BV12" t="str">
            <v>#(COUPE DE LA LIGUE 2019-20): MANQUE EQUIPES#</v>
          </cell>
        </row>
        <row r="13">
          <cell r="BU13" t="str">
            <v>#(COUPE DE LA LIGUE 2019-20)= [MANQUE EQUIPES]#</v>
          </cell>
          <cell r="BV13" t="str">
            <v>#(COUPE DE LA LIGUE 2019-20): MANQUE EQUIPES#</v>
          </cell>
        </row>
        <row r="14">
          <cell r="BU14" t="str">
            <v>#(COUPE DE LA LIGUE 2019-20)= [MANQUE EQUIPES]#</v>
          </cell>
          <cell r="BV14" t="str">
            <v>#(COUPE DE LA LIGUE 2019-20): MANQUE EQUIPES#</v>
          </cell>
        </row>
        <row r="15">
          <cell r="BU15" t="str">
            <v>#(COUPE DE LA LIGUE 2019-20)= [MANQUE EQUIPES]#</v>
          </cell>
          <cell r="BV15" t="str">
            <v>#(COUPE DE LA LIGUE 2019-20): MANQUE EQUIPES#</v>
          </cell>
        </row>
        <row r="16">
          <cell r="BU16" t="str">
            <v>#(COUPE DE LA LIGUE 2019-20)= [MANQUE EQUIPES]#</v>
          </cell>
          <cell r="BV16" t="str">
            <v>#(COUPE DE LA LIGUE 2019-20): MANQUE EQUIPES#</v>
          </cell>
        </row>
        <row r="17">
          <cell r="BU17" t="str">
            <v>#(COUPE DE LA LIGUE 2019-20)= [MANQUE EQUIPES]#</v>
          </cell>
          <cell r="BV17" t="str">
            <v>#(COUPE DE LA LIGUE 2019-20): MANQUE EQUIPES#</v>
          </cell>
        </row>
        <row r="18">
          <cell r="BU18" t="str">
            <v>#(COUPE DE LA LIGUE 2019-20)= [MANQUE EQUIPES]#</v>
          </cell>
          <cell r="BV18" t="str">
            <v>#(COUPE DE LA LIGUE 2019-20): MANQUE EQUIPES#</v>
          </cell>
        </row>
        <row r="19">
          <cell r="BU19" t="str">
            <v>#(COUPE DE LA LIGUE 2019-20)= [MANQUE EQUIPES]#</v>
          </cell>
          <cell r="BV19" t="str">
            <v>#(COUPE DE LA LIGUE 2019-20): MANQUE EQUIPES#</v>
          </cell>
        </row>
        <row r="20">
          <cell r="BU20" t="str">
            <v>#(COUPE DE LA LIGUE 2019-20)= [MANQUE EQUIPES]#</v>
          </cell>
          <cell r="BV20" t="str">
            <v>#(COUPE DE LA LIGUE 2019-20): MANQUE EQUIPES#</v>
          </cell>
        </row>
      </sheetData>
      <sheetData sheetId="6"/>
      <sheetData sheetId="7" refreshError="1"/>
    </sheetDataSet>
  </externalBook>
</externalLink>
</file>

<file path=xl/externalLinks/externalLink8.xml><?xml version="1.0" encoding="utf-8"?>
<externalLink xmlns="http://schemas.openxmlformats.org/spreadsheetml/2006/main">
  <externalBook xmlns:r="http://schemas.openxmlformats.org/officeDocument/2006/relationships" r:id="rId1">
    <sheetNames>
      <sheetName val="PAYS"/>
      <sheetName val="1ER TOUR"/>
      <sheetName val="PHASE FINALE"/>
      <sheetName val="BUTEURS"/>
      <sheetName val="DATES"/>
      <sheetName val="CONTRE"/>
      <sheetName val="CLASSEMENT"/>
      <sheetName val="RESULTATS"/>
      <sheetName val="COULEUR"/>
      <sheetName val="DONNEES"/>
      <sheetName val="MACRO"/>
      <sheetName val="COUPE DU MONDE 2022"/>
    </sheetNames>
    <definedNames>
      <definedName name="CHAINE"/>
      <definedName name="CHAMPION" refersTo="='PHASE FINALE'!$A$39"/>
      <definedName name="GGG" refersTo="='DATES'!$N$49"/>
      <definedName name="MATCH.SUIVANT" refersTo="='DATES'!$A$78"/>
      <definedName name="MONDIAL.DATE" refersTo="='PAYS'!$AE$1"/>
      <definedName name="MONDIAL.HEURE" refersTo="='PAYS'!$AF$1"/>
      <definedName name="PHRASE.REDUITE" refersTo="='DATES'!$A$82"/>
      <definedName name="VAINQUEUR" refersTo="='PHASE FINALE'!$AS$29"/>
      <definedName name="VER.99" refersTo="='CLASSEMENT'!$AQ$1"/>
    </definedNames>
    <sheetDataSet>
      <sheetData sheetId="0">
        <row r="1">
          <cell r="AE1">
            <v>44886</v>
          </cell>
          <cell r="AF1">
            <v>0.70833333333333337</v>
          </cell>
        </row>
      </sheetData>
      <sheetData sheetId="1"/>
      <sheetData sheetId="2">
        <row r="29">
          <cell r="AS29" t="str">
            <v/>
          </cell>
        </row>
        <row r="39">
          <cell r="A39" t="str">
            <v/>
          </cell>
        </row>
      </sheetData>
      <sheetData sheetId="3"/>
      <sheetData sheetId="4">
        <row r="49">
          <cell r="N49" t="str">
            <v>DANS 1119 JOURS</v>
          </cell>
        </row>
        <row r="78">
          <cell r="A78" t="str">
            <v xml:space="preserve">/= GR </v>
          </cell>
        </row>
        <row r="82">
          <cell r="A82" t="str">
            <v>#AAA (LUNDI 21 NOVEMBRE 2022 A 17H00): [MONDIAL 2022= (MANQUE 32 PAYS)]#</v>
          </cell>
        </row>
      </sheetData>
      <sheetData sheetId="5"/>
      <sheetData sheetId="6">
        <row r="1">
          <cell r="AQ1" t="str">
            <v/>
          </cell>
        </row>
        <row r="4">
          <cell r="BF4" t="str">
            <v>MONDIAL 2022</v>
          </cell>
          <cell r="BG4" t="str">
            <v>#(MONDIAL 2022)= [MANQUE 32 PAYS]#</v>
          </cell>
        </row>
        <row r="5">
          <cell r="BF5" t="str">
            <v>MONDIAL 2022</v>
          </cell>
          <cell r="BG5" t="str">
            <v>#(MONDIAL 2022)= [MANQUE 32 PAYS]#</v>
          </cell>
        </row>
        <row r="6">
          <cell r="BF6" t="str">
            <v>MONDIAL 2022</v>
          </cell>
          <cell r="BG6" t="str">
            <v>#(MONDIAL 2022)= [MANQUE 32 PAYS]#</v>
          </cell>
        </row>
        <row r="7">
          <cell r="BF7" t="str">
            <v>MONDIAL 2022</v>
          </cell>
          <cell r="BG7" t="str">
            <v>#(MONDIAL 2022)= [MANQUE 32 PAYS]#</v>
          </cell>
        </row>
        <row r="8">
          <cell r="BF8" t="str">
            <v>MONDIAL 2022</v>
          </cell>
          <cell r="BG8" t="str">
            <v>#(MONDIAL 2022)= [MANQUE 32 PAYS]#</v>
          </cell>
        </row>
        <row r="9">
          <cell r="BF9" t="str">
            <v>MONDIAL 2022</v>
          </cell>
          <cell r="BG9" t="str">
            <v>#(MONDIAL 2022)= [MANQUE 32 PAYS]#</v>
          </cell>
        </row>
        <row r="10">
          <cell r="BF10" t="str">
            <v>MONDIAL 2022</v>
          </cell>
          <cell r="BG10" t="str">
            <v>#(MONDIAL 2022)= [MANQUE 32 PAYS]#</v>
          </cell>
        </row>
        <row r="11">
          <cell r="BF11" t="str">
            <v>MONDIAL 2022</v>
          </cell>
          <cell r="BG11" t="str">
            <v>#(MONDIAL 2022)= [MANQUE 32 PAYS]#</v>
          </cell>
        </row>
        <row r="12">
          <cell r="BF12" t="str">
            <v>MONDIAL 2022</v>
          </cell>
          <cell r="BG12" t="str">
            <v>#(MONDIAL 2022)= [MANQUE 32 PAYS]#</v>
          </cell>
        </row>
        <row r="13">
          <cell r="BF13" t="str">
            <v>MONDIAL 2022</v>
          </cell>
          <cell r="BG13" t="str">
            <v>#(MONDIAL 2022)= [MANQUE 32 PAYS]#</v>
          </cell>
        </row>
        <row r="14">
          <cell r="BF14" t="str">
            <v>MONDIAL 2022</v>
          </cell>
          <cell r="BG14" t="str">
            <v>#(MONDIAL 2022)= [MANQUE 32 PAYS]#</v>
          </cell>
        </row>
        <row r="15">
          <cell r="BF15" t="str">
            <v>MONDIAL 2022</v>
          </cell>
          <cell r="BG15" t="str">
            <v>#(MONDIAL 2022)= [MANQUE 32 PAYS]#</v>
          </cell>
        </row>
        <row r="16">
          <cell r="BF16" t="str">
            <v>MONDIAL 2022</v>
          </cell>
          <cell r="BG16" t="str">
            <v>#(MONDIAL 2022)= [MANQUE 32 PAYS]#</v>
          </cell>
        </row>
        <row r="17">
          <cell r="BF17" t="str">
            <v>MONDIAL 2022</v>
          </cell>
          <cell r="BG17" t="str">
            <v>#(MONDIAL 2022)= [MANQUE 32 PAYS]#</v>
          </cell>
        </row>
        <row r="18">
          <cell r="BF18" t="str">
            <v>MONDIAL 2022</v>
          </cell>
          <cell r="BG18" t="str">
            <v>#(MONDIAL 2022)= [MANQUE 32 PAYS]#</v>
          </cell>
        </row>
        <row r="19">
          <cell r="BF19" t="str">
            <v>MONDIAL 2022</v>
          </cell>
          <cell r="BG19" t="str">
            <v>#(MONDIAL 2022)= [MANQUE 32 PAYS]#</v>
          </cell>
        </row>
        <row r="20">
          <cell r="BF20" t="str">
            <v>MONDIAL 2022</v>
          </cell>
          <cell r="BG20" t="str">
            <v>#(MONDIAL 2022)= [MANQUE 32 PAYS]#</v>
          </cell>
        </row>
        <row r="21">
          <cell r="BF21" t="str">
            <v>MONDIAL 2022</v>
          </cell>
          <cell r="BG21" t="str">
            <v>#(MONDIAL 2022)= [MANQUE 32 PAYS]#</v>
          </cell>
        </row>
        <row r="22">
          <cell r="BF22" t="str">
            <v>MONDIAL 2022</v>
          </cell>
          <cell r="BG22" t="str">
            <v>#(MONDIAL 2022)= [MANQUE 32 PAYS]#</v>
          </cell>
        </row>
        <row r="23">
          <cell r="BF23" t="str">
            <v>MONDIAL 2022</v>
          </cell>
          <cell r="BG23" t="str">
            <v>#(MONDIAL 2022)= [MANQUE 32 PAYS]#</v>
          </cell>
        </row>
        <row r="24">
          <cell r="BF24" t="str">
            <v>MONDIAL 2022</v>
          </cell>
          <cell r="BG24" t="str">
            <v>#(MONDIAL 2022)= [MANQUE 32 PAYS]#</v>
          </cell>
        </row>
        <row r="25">
          <cell r="BF25" t="str">
            <v>MONDIAL 2022</v>
          </cell>
          <cell r="BG25" t="str">
            <v>#(MONDIAL 2022)= [MANQUE 32 PAYS]#</v>
          </cell>
        </row>
        <row r="26">
          <cell r="BF26" t="str">
            <v>MONDIAL 2022</v>
          </cell>
          <cell r="BG26" t="str">
            <v>#(MONDIAL 2022)= [MANQUE 32 PAYS]#</v>
          </cell>
        </row>
        <row r="27">
          <cell r="BF27" t="str">
            <v>MONDIAL 2022</v>
          </cell>
          <cell r="BG27" t="str">
            <v>#(MONDIAL 2022)= [MANQUE 32 PAYS]#</v>
          </cell>
        </row>
        <row r="28">
          <cell r="BF28" t="str">
            <v>MONDIAL 2022</v>
          </cell>
          <cell r="BG28" t="str">
            <v>#(MONDIAL 2022)= [MANQUE 32 PAYS]#</v>
          </cell>
        </row>
        <row r="29">
          <cell r="BF29" t="str">
            <v>MONDIAL 2022</v>
          </cell>
          <cell r="BG29" t="str">
            <v>#(MONDIAL 2022)= [MANQUE 32 PAYS]#</v>
          </cell>
        </row>
        <row r="30">
          <cell r="BF30" t="str">
            <v>MONDIAL 2022</v>
          </cell>
          <cell r="BG30" t="str">
            <v>#(MONDIAL 2022)= [MANQUE 32 PAYS]#</v>
          </cell>
        </row>
        <row r="31">
          <cell r="BF31" t="str">
            <v>MONDIAL 2022</v>
          </cell>
          <cell r="BG31" t="str">
            <v>#(MONDIAL 2022)= [MANQUE 32 PAYS]#</v>
          </cell>
        </row>
        <row r="32">
          <cell r="BF32" t="str">
            <v>MONDIAL 2022</v>
          </cell>
          <cell r="BG32" t="str">
            <v>#(MONDIAL 2022)= [MANQUE 32 PAYS]#</v>
          </cell>
        </row>
        <row r="33">
          <cell r="BF33" t="str">
            <v>MONDIAL 2022</v>
          </cell>
          <cell r="BG33" t="str">
            <v>#(MONDIAL 2022)= [MANQUE 32 PAYS]#</v>
          </cell>
        </row>
        <row r="34">
          <cell r="BF34" t="str">
            <v>MONDIAL 2022</v>
          </cell>
          <cell r="BG34" t="str">
            <v>#(MONDIAL 2022)= [MANQUE 32 PAYS]#</v>
          </cell>
        </row>
        <row r="35">
          <cell r="BF35" t="str">
            <v>MONDIAL 2022</v>
          </cell>
          <cell r="BG35" t="str">
            <v>#(MONDIAL 2022)= [MANQUE 32 PAYS]#</v>
          </cell>
        </row>
      </sheetData>
      <sheetData sheetId="7"/>
      <sheetData sheetId="8"/>
      <sheetData sheetId="9"/>
      <sheetData sheetId="10"/>
      <sheetData sheetId="11" refreshError="1"/>
    </sheetDataSet>
  </externalBook>
</externalLink>
</file>

<file path=xl/externalLinks/externalLink9.xml><?xml version="1.0" encoding="utf-8"?>
<externalLink xmlns="http://schemas.openxmlformats.org/spreadsheetml/2006/main">
  <externalBook xmlns:r="http://schemas.openxmlformats.org/officeDocument/2006/relationships" r:id="rId1">
    <sheetNames>
      <sheetName val="PAYS"/>
      <sheetName val="1ER TOUR"/>
      <sheetName val="PHASE FINALE"/>
      <sheetName val="CONTRE"/>
      <sheetName val="BUTEURS"/>
      <sheetName val="DATES"/>
      <sheetName val="RESULTATS"/>
      <sheetName val="CLASSEMENT"/>
      <sheetName val="DONNEES"/>
      <sheetName val="MACRO"/>
      <sheetName val="EURO 2020"/>
    </sheetNames>
    <definedNames>
      <definedName name="EURO.DATE" refersTo="='PAYS'!$J$1"/>
      <definedName name="EURO.HEURE" refersTo="='PAYS'!$N$1"/>
      <definedName name="PHRASE.13" refersTo="='PAYS'!$AR$82"/>
      <definedName name="PHRASE.REDUITE" refersTo="='DATES'!$A$80"/>
      <definedName name="VER.99" refersTo="='CONTRE'!$GZ$1"/>
    </definedNames>
    <sheetDataSet>
      <sheetData sheetId="0">
        <row r="1">
          <cell r="J1">
            <v>43992</v>
          </cell>
          <cell r="N1" t="str">
            <v>21:00</v>
          </cell>
        </row>
        <row r="82">
          <cell r="AR82" t="str">
            <v>#AAA (MERCREDI 10 JUIN 2020 A 21H00): [EURO 2020= (MANQUE 24 PAYS)]#</v>
          </cell>
        </row>
      </sheetData>
      <sheetData sheetId="1"/>
      <sheetData sheetId="2"/>
      <sheetData sheetId="3">
        <row r="1">
          <cell r="GZ1" t="str">
            <v/>
          </cell>
        </row>
      </sheetData>
      <sheetData sheetId="4"/>
      <sheetData sheetId="5">
        <row r="80">
          <cell r="A80" t="str">
            <v>#AAA (MERCREDI 10 JUIN 2020 A 21H00): [EURO 2020= (MANQUE 24 PAYS)]#</v>
          </cell>
        </row>
      </sheetData>
      <sheetData sheetId="6"/>
      <sheetData sheetId="7">
        <row r="4">
          <cell r="AC4" t="str">
            <v>#(EURO 2020)= [MANQUE PAYS]#</v>
          </cell>
        </row>
        <row r="5">
          <cell r="AC5" t="str">
            <v>#(EURO 2020)= [MANQUE PAYS]#</v>
          </cell>
        </row>
        <row r="6">
          <cell r="AC6" t="str">
            <v>#(EURO 2020)= [MANQUE PAYS]#</v>
          </cell>
        </row>
        <row r="7">
          <cell r="AC7" t="str">
            <v>#(EURO 2020)= [MANQUE PAYS]#</v>
          </cell>
        </row>
        <row r="8">
          <cell r="AC8" t="str">
            <v>#(EURO 2020)= [MANQUE PAYS]#</v>
          </cell>
        </row>
        <row r="9">
          <cell r="AC9" t="str">
            <v>#(EURO 2020)= [MANQUE PAYS]#</v>
          </cell>
        </row>
        <row r="10">
          <cell r="AC10" t="str">
            <v>#(EURO 2020)= [MANQUE PAYS]#</v>
          </cell>
        </row>
        <row r="11">
          <cell r="AC11" t="str">
            <v>#(EURO 2020)= [MANQUE PAYS]#</v>
          </cell>
        </row>
        <row r="12">
          <cell r="AC12" t="str">
            <v>#(EURO 2020)= [MANQUE PAYS]#</v>
          </cell>
        </row>
        <row r="13">
          <cell r="AC13" t="str">
            <v>#(EURO 2020)= [MANQUE PAYS]#</v>
          </cell>
        </row>
        <row r="14">
          <cell r="AC14" t="str">
            <v>#(EURO 2020)= [MANQUE PAYS]#</v>
          </cell>
        </row>
        <row r="15">
          <cell r="AC15" t="str">
            <v>#(EURO 2020)= [MANQUE PAYS]#</v>
          </cell>
        </row>
        <row r="16">
          <cell r="AC16" t="str">
            <v>#(EURO 2020)= [MANQUE PAYS]#</v>
          </cell>
        </row>
        <row r="17">
          <cell r="AC17" t="str">
            <v>#(EURO 2020)= [MANQUE PAYS]#</v>
          </cell>
        </row>
        <row r="18">
          <cell r="AC18" t="str">
            <v>#(EURO 2020)= [MANQUE PAYS]#</v>
          </cell>
        </row>
        <row r="19">
          <cell r="AC19" t="str">
            <v>#(EURO 2020)= [MANQUE PAYS]#</v>
          </cell>
        </row>
        <row r="20">
          <cell r="AC20" t="str">
            <v>#(EURO 2020)= [MANQUE PAYS]#</v>
          </cell>
        </row>
        <row r="21">
          <cell r="AC21" t="str">
            <v>#(EURO 2020)= [MANQUE PAYS]#</v>
          </cell>
        </row>
        <row r="22">
          <cell r="AC22" t="str">
            <v>#(EURO 2020)= [MANQUE PAYS]#</v>
          </cell>
        </row>
        <row r="23">
          <cell r="AC23" t="str">
            <v>#(EURO 2020)= [MANQUE PAYS]#</v>
          </cell>
        </row>
        <row r="24">
          <cell r="AC24" t="str">
            <v>#(EURO 2020)= [MANQUE PAYS]#</v>
          </cell>
        </row>
        <row r="25">
          <cell r="AC25" t="str">
            <v>#(EURO 2020)= [MANQUE PAYS]#</v>
          </cell>
        </row>
        <row r="26">
          <cell r="AC26" t="str">
            <v>#(EURO 2020)= [MANQUE PAYS]#</v>
          </cell>
        </row>
        <row r="27">
          <cell r="AC27" t="str">
            <v>#(EURO 2020)= [MANQUE PAYS]#</v>
          </cell>
        </row>
      </sheetData>
      <sheetData sheetId="8"/>
      <sheetData sheetId="9"/>
      <sheetData sheetId="10" refreshError="1"/>
    </sheetDataSet>
  </externalBook>
</externalLink>
</file>

<file path=xl/externalLinks/externalLink10.xml><?xml version="1.0" encoding="utf-8"?>
<externalLink xmlns="http://schemas.openxmlformats.org/spreadsheetml/2006/main">
  <externalBook xmlns:r="http://schemas.openxmlformats.org/officeDocument/2006/relationships" r:id="rId1">
    <sheetNames>
      <sheetName val="PAYS"/>
      <sheetName val="MATCHS"/>
      <sheetName val="BUTEURS"/>
      <sheetName val="DATES"/>
      <sheetName val="CONTRE"/>
      <sheetName val="RESULTATS"/>
      <sheetName val="DONNEES"/>
      <sheetName val="MACRO"/>
      <sheetName val="CONFEDERATIONS 2021"/>
    </sheetNames>
    <definedNames>
      <definedName name="CONFEDERATIONS.DATE" refersTo="='DATES'!$M$48"/>
      <definedName name="CONFEDERATIONS.HEURE" refersTo="='DATES'!$M$45"/>
      <definedName name="GGG" refersTo="='DATES'!$M$42"/>
      <definedName name="PHRASE.30" refersTo="='DATES'!$A$39"/>
      <definedName name="PHRASE.REDUITE" refersTo="='DATES'!$A$35"/>
      <definedName name="VER.99" refersTo="='CONTRE'!$CC$1"/>
    </definedNames>
    <sheetDataSet>
      <sheetData sheetId="0"/>
      <sheetData sheetId="1"/>
      <sheetData sheetId="2"/>
      <sheetData sheetId="3">
        <row r="35">
          <cell r="A35" t="str">
            <v>#AAA (JEUDI 3 JUIN 2021 A 21H00): [CONFEDERATIONS 2021= (MANQUE 8 PAYS)]#</v>
          </cell>
        </row>
        <row r="39">
          <cell r="A39" t="str">
            <v>#DANS 583 JOURS (JEUDI 3 JUIN 2021 A 21H00): [CONFEDERATIONS 2021= (MANQUE 8 PAYS)]#</v>
          </cell>
        </row>
        <row r="42">
          <cell r="M42" t="str">
            <v>DANS 583 JOURS</v>
          </cell>
        </row>
        <row r="45">
          <cell r="M45">
            <v>0.875</v>
          </cell>
        </row>
        <row r="48">
          <cell r="M48">
            <v>44350</v>
          </cell>
        </row>
      </sheetData>
      <sheetData sheetId="4">
        <row r="1">
          <cell r="CC1" t="str">
            <v/>
          </cell>
        </row>
      </sheetData>
      <sheetData sheetId="5"/>
      <sheetData sheetId="6">
        <row r="5">
          <cell r="BT5" t="str">
            <v>CONFEDERATIONS 2021</v>
          </cell>
          <cell r="BU5" t="str">
            <v>#(CONFEDERATIONS 2021)= [MANQUE PAYS]#</v>
          </cell>
        </row>
        <row r="6">
          <cell r="BT6" t="str">
            <v>CONFEDERATIONS 2021</v>
          </cell>
          <cell r="BU6" t="str">
            <v>#(CONFEDERATIONS 2021)= [MANQUE PAYS]#</v>
          </cell>
        </row>
        <row r="7">
          <cell r="BT7" t="str">
            <v>CONFEDERATIONS 2021</v>
          </cell>
          <cell r="BU7" t="str">
            <v>#(CONFEDERATIONS 2021)= [MANQUE PAYS]#</v>
          </cell>
        </row>
        <row r="8">
          <cell r="BT8" t="str">
            <v>CONFEDERATIONS 2021</v>
          </cell>
          <cell r="BU8" t="str">
            <v>#(CONFEDERATIONS 2021)= [MANQUE PAYS]#</v>
          </cell>
        </row>
        <row r="9">
          <cell r="BT9" t="str">
            <v>CONFEDERATIONS 2021</v>
          </cell>
          <cell r="BU9" t="str">
            <v>#(CONFEDERATIONS 2021)= [MANQUE PAYS]#</v>
          </cell>
        </row>
        <row r="10">
          <cell r="BT10" t="str">
            <v>CONFEDERATIONS 2021</v>
          </cell>
          <cell r="BU10" t="str">
            <v>#(CONFEDERATIONS 2021)= [MANQUE PAYS]#</v>
          </cell>
        </row>
        <row r="11">
          <cell r="BT11" t="str">
            <v>CONFEDERATIONS 2021</v>
          </cell>
          <cell r="BU11" t="str">
            <v>#(CONFEDERATIONS 2021)= [MANQUE PAYS]#</v>
          </cell>
        </row>
        <row r="12">
          <cell r="BT12" t="str">
            <v>CONFEDERATIONS 2021</v>
          </cell>
          <cell r="BU12" t="str">
            <v>#(CONFEDERATIONS 2021)= [MANQUE PAYS]#</v>
          </cell>
        </row>
      </sheetData>
      <sheetData sheetId="7"/>
      <sheetData sheetId="8" refreshError="1"/>
    </sheetDataSet>
  </externalBook>
</externalLink>
</file>

<file path=xl/macrosheets/_rels/sheet1.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macrosheets/sheet1.xml><?xml version="1.0" encoding="utf-8"?>
<xm:macrosheet xmlns="http://schemas.openxmlformats.org/spreadsheetml/2006/main" xmlns:xm="http://schemas.microsoft.com/office/excel/2006/main" xmlns:r="http://schemas.openxmlformats.org/officeDocument/2006/relationships">
  <sheetPr>
    <pageSetUpPr autoPageBreaks="0"/>
  </sheetPr>
  <dimension ref="A1:B90"/>
  <sheetViews>
    <sheetView showFormulas="1" showGridLines="0" showRowColHeaders="0" zoomScale="114" zoomScaleNormal="114" workbookViewId="0"/>
  </sheetViews>
  <sheetFormatPr baseColWidth="10" defaultRowHeight="11.25"/>
  <cols>
    <col min="1" max="1" width="69.1640625" style="2" customWidth="1"/>
    <col min="2" max="2" width="69.83203125" style="2" customWidth="1"/>
    <col min="3" max="16384" width="12" style="2"/>
  </cols>
  <sheetData>
    <row r="1" spans="1:2" ht="0.95" customHeight="1">
      <c r="A1" s="4" t="s">
        <v>3</v>
      </c>
      <c r="B1" s="1"/>
    </row>
    <row r="2" spans="1:2" ht="12" customHeight="1">
      <c r="A2" s="134" t="s">
        <v>0</v>
      </c>
      <c r="B2" s="369" t="b">
        <f>RUN(MACRO_ATTEINDRE_A1,FALSE)</f>
        <v>0</v>
      </c>
    </row>
    <row r="3" spans="1:2" ht="12" customHeight="1">
      <c r="A3" s="369" t="b">
        <f>CALCULATE.NOW()</f>
        <v>1</v>
      </c>
      <c r="B3" s="372" t="b">
        <f>RUN(MACRO_OUVRIR_CHAMPIONNAT,FALSE)</f>
        <v>0</v>
      </c>
    </row>
    <row r="4" spans="1:2" ht="12" customHeight="1">
      <c r="A4" s="369" t="b">
        <f>FORMULA.GOTO("FICHIERS.A.OUVRIR")</f>
        <v>1</v>
      </c>
      <c r="B4" s="372" t="b">
        <f>RUN(MACRO_OUVRIR_CHAMPIONS_LEAGUE,FALSE)</f>
        <v>0</v>
      </c>
    </row>
    <row r="5" spans="1:2" ht="12" customHeight="1">
      <c r="A5" s="369" t="b">
        <f>FORMULA.FIND(CHERCHE,1,2,1,1,FALSE)</f>
        <v>1</v>
      </c>
      <c r="B5" s="373" t="b">
        <f>RUN(MACRO_OUVRIR_CONFEDERATIONS_2017,FALSE)</f>
        <v>0</v>
      </c>
    </row>
    <row r="6" spans="1:2" ht="12" customHeight="1">
      <c r="A6" s="369" t="b">
        <f>SELECT("LC")</f>
        <v>1</v>
      </c>
      <c r="B6" s="369" t="b">
        <f>RUN(MACRO_OUVRIR_FORMULE1,FALSE)</f>
        <v>0</v>
      </c>
    </row>
    <row r="7" spans="1:2" ht="12" customHeight="1">
      <c r="A7" s="369" t="b">
        <f>COPY()</f>
        <v>1</v>
      </c>
      <c r="B7" s="369" t="b">
        <f>RUN(MACRO_OUVRIR_MONDIAL,FALSE)</f>
        <v>0</v>
      </c>
    </row>
    <row r="8" spans="1:2" ht="12" customHeight="1">
      <c r="A8" s="369" t="b">
        <f>FORMULA.GOTO("COLLER.ATTEINDRE")</f>
        <v>1</v>
      </c>
      <c r="B8" s="369" t="b">
        <f>RUN(MACRO_OUVRIR_EURO,FALSE)</f>
        <v>0</v>
      </c>
    </row>
    <row r="9" spans="1:2" ht="12" customHeight="1">
      <c r="A9" s="369" t="b">
        <f>PASTE.SPECIAL(2,1,FALSE,FALSE)</f>
        <v>1</v>
      </c>
      <c r="B9" s="369" t="b">
        <f>RUN(MACRO_OUVRIR_COUPE_DE_LA_LIGUE,FALSE)</f>
        <v>0</v>
      </c>
    </row>
    <row r="10" spans="1:2" ht="12" customHeight="1">
      <c r="A10" s="369" t="b">
        <f>CALCULATE.NOW()</f>
        <v>1</v>
      </c>
      <c r="B10" s="369">
        <f>RUN(MACRO_OUVRIR_COUPE_DE_FRANCE,FALSE)</f>
        <v>0</v>
      </c>
    </row>
    <row r="11" spans="1:2" ht="12" customHeight="1">
      <c r="A11" s="369" t="b">
        <f>SELECT("L1C1")</f>
        <v>1</v>
      </c>
      <c r="B11" s="369">
        <f>RUN(MACRO_OUVRIR_COUPE_DE_LUEFA,FALSE)</f>
        <v>0</v>
      </c>
    </row>
    <row r="12" spans="1:2" ht="12" customHeight="1">
      <c r="A12" s="369" t="b">
        <f>FORMULA.GOTO("FEUILLE.1")</f>
        <v>1</v>
      </c>
      <c r="B12" s="369">
        <f>RUN(MACRO_ATTEINDRE_A1,FALSE)</f>
        <v>0</v>
      </c>
    </row>
    <row r="13" spans="1:2" ht="12" customHeight="1">
      <c r="A13" s="370">
        <f>RUN(MACRO_OUVRIR_CHAMPIONS_LEAGUE,FALSE)</f>
        <v>0</v>
      </c>
      <c r="B13" s="135"/>
    </row>
    <row r="14" spans="1:2" ht="12" customHeight="1">
      <c r="A14" s="369" t="b">
        <f>SELECT("L1C1")</f>
        <v>1</v>
      </c>
      <c r="B14" s="134" t="s">
        <v>51</v>
      </c>
    </row>
    <row r="15" spans="1:2" ht="12" customHeight="1">
      <c r="A15" s="371" t="b">
        <f>PROTECT.DOCUMENT(TRUE,,,TRUE,TRUE)</f>
        <v>1</v>
      </c>
      <c r="B15" s="369">
        <f>RUN(MACRO_ATTEINDRE_A1,FALSE)</f>
        <v>0</v>
      </c>
    </row>
    <row r="16" spans="1:2" ht="12" customHeight="1">
      <c r="A16" s="371" t="b">
        <f>WORKBOOK.SCROLL(,FALSE)</f>
        <v>1</v>
      </c>
      <c r="B16" s="371" t="b">
        <f>WORKBOOK.SCROLL(,FALSE)</f>
        <v>1</v>
      </c>
    </row>
    <row r="17" spans="1:2" ht="12" customHeight="1">
      <c r="A17" s="369" t="b">
        <f>RETURN()</f>
        <v>1</v>
      </c>
      <c r="B17" s="369" t="b">
        <f>RETURN()</f>
        <v>1</v>
      </c>
    </row>
    <row r="18" spans="1:2" ht="12" customHeight="1">
      <c r="A18" s="136"/>
      <c r="B18" s="135"/>
    </row>
    <row r="19" spans="1:2" ht="12" customHeight="1">
      <c r="A19" s="134" t="s">
        <v>57</v>
      </c>
      <c r="B19" s="134" t="s">
        <v>52</v>
      </c>
    </row>
    <row r="20" spans="1:2" ht="12" customHeight="1">
      <c r="A20" s="369" t="b">
        <f>FORMULA.GOTO("X")</f>
        <v>1</v>
      </c>
      <c r="B20" s="369">
        <f>RUN(MACRO_DEVEROUILLE_CELLULE,FALSE)</f>
        <v>0</v>
      </c>
    </row>
    <row r="21" spans="1:2" ht="12" customHeight="1">
      <c r="A21" s="369" t="b">
        <f>FORMULA("CHAMPIONNAT")</f>
        <v>1</v>
      </c>
      <c r="B21" s="371" t="b">
        <f>WORKBOOK.SCROLL(,FALSE)</f>
        <v>1</v>
      </c>
    </row>
    <row r="22" spans="1:2" ht="12" customHeight="1">
      <c r="A22" s="369" t="b">
        <f>RETURN()</f>
        <v>1</v>
      </c>
      <c r="B22" s="369" t="b">
        <f>RETURN()</f>
        <v>1</v>
      </c>
    </row>
    <row r="23" spans="1:2" ht="12" customHeight="1">
      <c r="A23" s="136"/>
      <c r="B23" s="136"/>
    </row>
    <row r="24" spans="1:2" ht="12" customHeight="1">
      <c r="A24" s="134" t="s">
        <v>58</v>
      </c>
      <c r="B24" s="134" t="s">
        <v>62</v>
      </c>
    </row>
    <row r="25" spans="1:2" ht="12" customHeight="1">
      <c r="A25" s="369" t="b">
        <f>FORMULA.GOTO("X")</f>
        <v>1</v>
      </c>
      <c r="B25" s="369" t="b">
        <f>FORMULA.GOTO("X")</f>
        <v>1</v>
      </c>
    </row>
    <row r="26" spans="1:2" ht="12" customHeight="1">
      <c r="A26" s="369" t="b">
        <f>FORMULA("CHAMPION'S LEAGUE")</f>
        <v>1</v>
      </c>
      <c r="B26" s="369" t="b">
        <f>FORMULA("FORMULE 1")</f>
        <v>1</v>
      </c>
    </row>
    <row r="27" spans="1:2" ht="12" customHeight="1">
      <c r="A27" s="369" t="b">
        <f>RETURN()</f>
        <v>1</v>
      </c>
      <c r="B27" s="369" t="b">
        <f>RETURN()</f>
        <v>1</v>
      </c>
    </row>
    <row r="28" spans="1:2" ht="12" customHeight="1">
      <c r="A28" s="136"/>
      <c r="B28" s="137"/>
    </row>
    <row r="29" spans="1:2" ht="12" customHeight="1">
      <c r="A29" s="134" t="s">
        <v>59</v>
      </c>
      <c r="B29" s="134" t="s">
        <v>63</v>
      </c>
    </row>
    <row r="30" spans="1:2" ht="12" customHeight="1">
      <c r="A30" s="369" t="b">
        <f>FORMULA.GOTO("X")</f>
        <v>1</v>
      </c>
      <c r="B30" s="369" t="b">
        <f>FORMULA.GOTO("X")</f>
        <v>1</v>
      </c>
    </row>
    <row r="31" spans="1:2" ht="12" customHeight="1">
      <c r="A31" s="369" t="b">
        <f>FORMULA("UEFA")</f>
        <v>1</v>
      </c>
      <c r="B31" s="369" t="b">
        <f>FORMULA("MONDIAL")</f>
        <v>1</v>
      </c>
    </row>
    <row r="32" spans="1:2" ht="12" customHeight="1">
      <c r="A32" s="369" t="b">
        <f>RETURN()</f>
        <v>1</v>
      </c>
      <c r="B32" s="369" t="b">
        <f>RETURN()</f>
        <v>1</v>
      </c>
    </row>
    <row r="33" spans="1:2" ht="12" customHeight="1">
      <c r="A33" s="136"/>
      <c r="B33" s="137"/>
    </row>
    <row r="34" spans="1:2" ht="12" customHeight="1">
      <c r="A34" s="134" t="s">
        <v>60</v>
      </c>
      <c r="B34" s="134" t="s">
        <v>64</v>
      </c>
    </row>
    <row r="35" spans="1:2" ht="12" customHeight="1">
      <c r="A35" s="369" t="b">
        <f>FORMULA.GOTO("X")</f>
        <v>1</v>
      </c>
      <c r="B35" s="369" t="b">
        <f>FORMULA.GOTO("X")</f>
        <v>1</v>
      </c>
    </row>
    <row r="36" spans="1:2" ht="12" customHeight="1">
      <c r="A36" s="369" t="b">
        <f>FORMULA("COUPE DE FRANCE")</f>
        <v>1</v>
      </c>
      <c r="B36" s="369" t="b">
        <f>FORMULA("EURO")</f>
        <v>1</v>
      </c>
    </row>
    <row r="37" spans="1:2" ht="12" customHeight="1">
      <c r="A37" s="369" t="b">
        <f>RETURN()</f>
        <v>1</v>
      </c>
      <c r="B37" s="369" t="b">
        <f>RETURN()</f>
        <v>1</v>
      </c>
    </row>
    <row r="38" spans="1:2" ht="12" customHeight="1">
      <c r="A38" s="138"/>
      <c r="B38" s="136"/>
    </row>
    <row r="39" spans="1:2" ht="12" customHeight="1">
      <c r="A39" s="134" t="s">
        <v>61</v>
      </c>
      <c r="B39" s="134" t="s">
        <v>65</v>
      </c>
    </row>
    <row r="40" spans="1:2" ht="12" customHeight="1">
      <c r="A40" s="369" t="b">
        <f>FORMULA.GOTO("X")</f>
        <v>1</v>
      </c>
      <c r="B40" s="369" t="b">
        <f>FORMULA.GOTO("X")</f>
        <v>1</v>
      </c>
    </row>
    <row r="41" spans="1:2" ht="12" customHeight="1">
      <c r="A41" s="369" t="b">
        <f>FORMULA("COUPE DE LA LIGUE")</f>
        <v>1</v>
      </c>
      <c r="B41" s="369" t="b">
        <f>FORMULA("CONFEDERATIONS")</f>
        <v>1</v>
      </c>
    </row>
    <row r="42" spans="1:2" ht="12" customHeight="1">
      <c r="A42" s="369" t="b">
        <f>RETURN()</f>
        <v>1</v>
      </c>
      <c r="B42" s="369" t="b">
        <f>RETURN()</f>
        <v>1</v>
      </c>
    </row>
    <row r="43" spans="1:2" ht="12" customHeight="1">
      <c r="A43" s="136"/>
      <c r="B43" s="372"/>
    </row>
    <row r="44" spans="1:2" ht="12" customHeight="1">
      <c r="A44" s="134" t="s">
        <v>68</v>
      </c>
      <c r="B44" s="369" t="b">
        <f>RUN(MACRO.ATTEINDRE.A1,FALSE)</f>
        <v>0</v>
      </c>
    </row>
    <row r="45" spans="1:2" ht="12" customHeight="1">
      <c r="A45" s="369" t="b">
        <f>CALCULATE.NOW()</f>
        <v>1</v>
      </c>
      <c r="B45" s="369" t="b">
        <f>RUN(MACRO.EFFACE.TV,FALSE)</f>
        <v>0</v>
      </c>
    </row>
    <row r="46" spans="1:2" ht="12" customHeight="1">
      <c r="A46" s="369" t="b">
        <f>FORMULA.GOTO("CHERCHE.FIN")</f>
        <v>1</v>
      </c>
      <c r="B46" s="372" t="b">
        <f>RUN(MACRO_FIN_CHAMPIONNAT,FALSE)</f>
        <v>0</v>
      </c>
    </row>
    <row r="47" spans="1:2" ht="12" customHeight="1">
      <c r="A47" s="369" t="b">
        <f>FORMULA.FIND(FIN,1,2,1,1,FALSE)</f>
        <v>1</v>
      </c>
      <c r="B47" s="372" t="b">
        <f>RUN(MACRO_FIN_CHAMPIONS_LEAGUE,FALSE)</f>
        <v>0</v>
      </c>
    </row>
    <row r="48" spans="1:2" ht="12" customHeight="1">
      <c r="A48" s="369" t="b">
        <f>SELECT("LC")</f>
        <v>1</v>
      </c>
      <c r="B48" s="373" t="b">
        <f>RUN(MACRO_FIN_CONFEDERATION,FALSE)</f>
        <v>0</v>
      </c>
    </row>
    <row r="49" spans="1:2" ht="12" customHeight="1">
      <c r="A49" s="369" t="b">
        <f>COPY()</f>
        <v>1</v>
      </c>
      <c r="B49" s="369" t="b">
        <f>RUN(MACRO_FIN_FORMULE1,FALSE)</f>
        <v>0</v>
      </c>
    </row>
    <row r="50" spans="1:2" ht="12" customHeight="1">
      <c r="A50" s="369" t="e">
        <f>FORMULA.GOTO("FIN.ATTEINDRE")</f>
        <v>#VALUE!</v>
      </c>
      <c r="B50" s="369" t="b">
        <f>RUN(MACRO_FIN_MONDIAL,FALSE)</f>
        <v>0</v>
      </c>
    </row>
    <row r="51" spans="1:2" ht="12" customHeight="1">
      <c r="A51" s="369" t="e">
        <f>PASTE.SPECIAL(2,1,FALSE,FALSE)</f>
        <v>#VALUE!</v>
      </c>
      <c r="B51" s="369" t="b">
        <f>RUN(MACRO_FIN_EURO,FALSE)</f>
        <v>0</v>
      </c>
    </row>
    <row r="52" spans="1:2" ht="12" customHeight="1">
      <c r="A52" s="369" t="b">
        <f>CALCULATE.NOW()</f>
        <v>0</v>
      </c>
      <c r="B52" s="369" t="b">
        <f>RUN(MACRO_FIN_COUPE_DE_LA_LIGUE,FALSE)</f>
        <v>0</v>
      </c>
    </row>
    <row r="53" spans="1:2" ht="12" customHeight="1">
      <c r="A53" s="369" t="b">
        <f>SELECT("L1C1")</f>
        <v>0</v>
      </c>
      <c r="B53" s="369" t="b">
        <f>RUN(MACRO_FIN_UEFA,FALSE)</f>
        <v>0</v>
      </c>
    </row>
    <row r="54" spans="1:2" ht="12" customHeight="1">
      <c r="A54" s="369" t="b">
        <f>FORMULA.GOTO("FEUILLE.1")</f>
        <v>0</v>
      </c>
      <c r="B54" s="369" t="b">
        <f>RUN(MACRO_FIN_COUPE_DE_FRANCE,FALSE)</f>
        <v>0</v>
      </c>
    </row>
    <row r="55" spans="1:2" ht="12" customHeight="1">
      <c r="A55" s="370" t="b">
        <f>RUN(MACRO.ATTEINDRE.A1,FALSE)</f>
        <v>0</v>
      </c>
      <c r="B55" s="369" t="b">
        <f>RUN(MACRO.ATTEINDRE.A1,FALSE)</f>
        <v>0</v>
      </c>
    </row>
    <row r="56" spans="1:2" ht="12" customHeight="1">
      <c r="A56" s="369" t="b">
        <f>SELECT("L1C1")</f>
        <v>0</v>
      </c>
      <c r="B56" s="369"/>
    </row>
    <row r="57" spans="1:2" ht="12" customHeight="1">
      <c r="A57" s="371" t="b">
        <f>PROTECT.DOCUMENT(TRUE,,,TRUE,TRUE)</f>
        <v>0</v>
      </c>
      <c r="B57" s="370" t="b">
        <f>RUN(MACRO_ATTEINDRE_VER,FALSE)</f>
        <v>0</v>
      </c>
    </row>
    <row r="58" spans="1:2" ht="12" customHeight="1">
      <c r="A58" s="371" t="b">
        <f>WORKBOOK.SCROLL(,FALSE)</f>
        <v>0</v>
      </c>
      <c r="B58" s="370" t="b">
        <f>RUN(MACRO_MISE_A_JOUR,FALSE)</f>
        <v>0</v>
      </c>
    </row>
    <row r="59" spans="1:2" ht="12" customHeight="1">
      <c r="A59" s="369" t="b">
        <f>RETURN()</f>
        <v>0</v>
      </c>
      <c r="B59" s="369" t="b">
        <f>RUN(MACRO_ATTEINDRE_A1,FALSE)</f>
        <v>0</v>
      </c>
    </row>
    <row r="60" spans="1:2" ht="12" customHeight="1">
      <c r="A60" s="135"/>
      <c r="B60" s="139"/>
    </row>
    <row r="61" spans="1:2" ht="12" customHeight="1">
      <c r="A61" s="140" t="s">
        <v>67</v>
      </c>
      <c r="B61" s="140" t="s">
        <v>70</v>
      </c>
    </row>
    <row r="62" spans="1:2" ht="12" customHeight="1">
      <c r="A62" s="369" t="b">
        <f>CALCULATE.NOW()</f>
        <v>1</v>
      </c>
      <c r="B62" s="372" t="b">
        <f>RUN(MACRO_TV,FALSE)</f>
        <v>0</v>
      </c>
    </row>
    <row r="63" spans="1:2" ht="12" customHeight="1">
      <c r="A63" s="369" t="b">
        <f>FORMULA.GOTO("VER.2")</f>
        <v>1</v>
      </c>
      <c r="B63" s="369" t="b">
        <f>CALCULATE.NOW()</f>
        <v>0</v>
      </c>
    </row>
    <row r="64" spans="1:2" ht="12" customHeight="1">
      <c r="A64" s="369" t="b">
        <f>FORMULA.FIND(VER.JUSTE.FAUX,1,2,1,1,FALSE)</f>
        <v>1</v>
      </c>
      <c r="B64" s="369" t="b">
        <f>FORMULA.GOTO("CHERCHE.FIN")</f>
        <v>0</v>
      </c>
    </row>
    <row r="65" spans="1:2" ht="12" customHeight="1">
      <c r="A65" s="369" t="b">
        <f>SELECT("LC")</f>
        <v>1</v>
      </c>
      <c r="B65" s="369" t="b">
        <f>FORMULA.FIND(EFF.TV,1,2,1,1,FALSE)</f>
        <v>0</v>
      </c>
    </row>
    <row r="66" spans="1:2" ht="12" customHeight="1">
      <c r="A66" s="369" t="b">
        <f>COPY()</f>
        <v>1</v>
      </c>
      <c r="B66" s="369" t="b">
        <f>SELECT("LC")</f>
        <v>0</v>
      </c>
    </row>
    <row r="67" spans="1:2" ht="12" customHeight="1">
      <c r="A67" s="369" t="b">
        <f>FORMULA.GOTO("COLLER.VER")</f>
        <v>1</v>
      </c>
      <c r="B67" s="369" t="b">
        <f>COPY()</f>
        <v>0</v>
      </c>
    </row>
    <row r="68" spans="1:2" ht="12" customHeight="1">
      <c r="A68" s="369" t="b">
        <f>PASTE.SPECIAL(2,1,FALSE,FALSE)</f>
        <v>1</v>
      </c>
      <c r="B68" s="369" t="b">
        <f>FORMULA.GOTO("COLLER.TV")</f>
        <v>0</v>
      </c>
    </row>
    <row r="69" spans="1:2" ht="12" customHeight="1">
      <c r="A69" s="369" t="b">
        <f>CALCULATE.NOW()</f>
        <v>1</v>
      </c>
      <c r="B69" s="369" t="b">
        <f>PASTE.SPECIAL(2,1,FALSE,FALSE)</f>
        <v>0</v>
      </c>
    </row>
    <row r="70" spans="1:2" ht="12" customHeight="1">
      <c r="A70" s="369" t="b">
        <f>SELECT("L1C1")</f>
        <v>1</v>
      </c>
      <c r="B70" s="369" t="b">
        <f>CALCULATE.NOW()</f>
        <v>0</v>
      </c>
    </row>
    <row r="71" spans="1:2" ht="12" customHeight="1">
      <c r="A71" s="369" t="b">
        <f>FORMULA.GOTO("FEUILLE.1")</f>
        <v>1</v>
      </c>
      <c r="B71" s="369" t="b">
        <f>SELECT("L1C1")</f>
        <v>0</v>
      </c>
    </row>
    <row r="72" spans="1:2" ht="12" customHeight="1">
      <c r="A72" s="370">
        <f>RUN(MACRO_MISE_A_JOUR,FALSE)</f>
        <v>0</v>
      </c>
      <c r="B72" s="369" t="b">
        <f>FORMULA.GOTO("FEUILLE.1")</f>
        <v>0</v>
      </c>
    </row>
    <row r="73" spans="1:2" ht="12" customHeight="1">
      <c r="A73" s="369" t="b">
        <f>SELECT("L1C1")</f>
        <v>1</v>
      </c>
      <c r="B73" s="370" t="b">
        <f>RUN(MACRO.EFFACE.TV,FALSE)</f>
        <v>0</v>
      </c>
    </row>
    <row r="74" spans="1:2" ht="12" customHeight="1">
      <c r="A74" s="369" t="b">
        <f>PROTECT.DOCUMENT(TRUE,,,TRUE,TRUE)</f>
        <v>1</v>
      </c>
      <c r="B74" s="369" t="b">
        <f>SELECT("L1C1")</f>
        <v>0</v>
      </c>
    </row>
    <row r="75" spans="1:2" ht="12" customHeight="1">
      <c r="A75" s="369" t="b">
        <f>WORKBOOK.SCROLL(,FALSE)</f>
        <v>1</v>
      </c>
      <c r="B75" s="369" t="b">
        <f>PROTECT.DOCUMENT(TRUE,,,TRUE,TRUE)</f>
        <v>0</v>
      </c>
    </row>
    <row r="76" spans="1:2" ht="12" customHeight="1">
      <c r="A76" s="369" t="b">
        <f>FORMULA.GOTO("MEDOC.EFFACE")</f>
        <v>1</v>
      </c>
      <c r="B76" s="369" t="b">
        <f>WORKBOOK.SCROLL(,FALSE)</f>
        <v>0</v>
      </c>
    </row>
    <row r="77" spans="1:2" ht="12" customHeight="1">
      <c r="A77" s="369" t="b">
        <f>CLEAR()</f>
        <v>1</v>
      </c>
      <c r="B77" s="369" t="b">
        <f>RETURN()</f>
        <v>0</v>
      </c>
    </row>
    <row r="78" spans="1:2" ht="12" customHeight="1">
      <c r="A78" s="369">
        <f>RUN(MACRO_ATTEINDRE_A1,FALSE)</f>
        <v>0</v>
      </c>
      <c r="B78" s="138"/>
    </row>
    <row r="79" spans="1:2" ht="12" customHeight="1">
      <c r="A79" s="369" t="b">
        <f>SELECT("L1C1")</f>
        <v>1</v>
      </c>
      <c r="B79" s="140" t="s">
        <v>71</v>
      </c>
    </row>
    <row r="80" spans="1:2" ht="12" customHeight="1">
      <c r="A80" s="370" t="b">
        <f>RETURN()</f>
        <v>1</v>
      </c>
      <c r="B80" s="369" t="b">
        <f>FORMULA.GOTO("EFFACE.TV")</f>
        <v>0</v>
      </c>
    </row>
    <row r="81" spans="1:2" ht="12" customHeight="1">
      <c r="A81" s="138"/>
      <c r="B81" s="369" t="b">
        <f>FORMULA.FIND("DEPASSE",2,2,1,1,FALSE)</f>
        <v>0</v>
      </c>
    </row>
    <row r="82" spans="1:2" ht="12" customHeight="1">
      <c r="A82" s="140" t="s">
        <v>72</v>
      </c>
      <c r="B82" s="369" t="b">
        <f>PROTECT.DOCUMENT(FALSE,,,FALSE,FALSE)</f>
        <v>0</v>
      </c>
    </row>
    <row r="83" spans="1:2" ht="12" customHeight="1">
      <c r="A83" s="371" t="b">
        <f>PROTECT.DOCUMENT(FALSE,,,FALSE,FALSE)</f>
        <v>1</v>
      </c>
      <c r="B83" s="369" t="b">
        <f>SELECT("LC")</f>
        <v>0</v>
      </c>
    </row>
    <row r="84" spans="1:2" ht="12" customHeight="1">
      <c r="A84" s="370" t="b">
        <f>CLEAR()</f>
        <v>1</v>
      </c>
      <c r="B84" s="369" t="b">
        <f>SELECT("LC(1)")</f>
        <v>0</v>
      </c>
    </row>
    <row r="85" spans="1:2" ht="12" customHeight="1">
      <c r="A85" s="369" t="b">
        <f>PROTECT.DOCUMENT(TRUE,,,TRUE,TRUE)</f>
        <v>1</v>
      </c>
      <c r="B85" s="369" t="b">
        <f>CLEAR()</f>
        <v>0</v>
      </c>
    </row>
    <row r="86" spans="1:2" ht="12" customHeight="1">
      <c r="A86" s="370" t="b">
        <f>RETURN()</f>
        <v>1</v>
      </c>
      <c r="B86" s="369" t="b">
        <f>RETURN()</f>
        <v>0</v>
      </c>
    </row>
    <row r="87" spans="1:2">
      <c r="A87" s="138"/>
    </row>
    <row r="88" spans="1:2">
      <c r="A88" s="138"/>
    </row>
    <row r="89" spans="1:2">
      <c r="A89" s="138"/>
    </row>
    <row r="90" spans="1:2">
      <c r="A90" s="138"/>
    </row>
  </sheetData>
  <sheetProtection sheet="1" objects="1" scenarios="1"/>
  <sortState ref="B2:B11">
    <sortCondition ref="B2:B11"/>
  </sortState>
  <pageMargins left="0" right="0" top="0" bottom="0" header="0" footer="0"/>
  <pageSetup paperSize="9" scale="94" orientation="portrait" horizontalDpi="360" verticalDpi="360" r:id="rId1"/>
  <headerFooter alignWithMargins="0"/>
</xm:macrosheet>
</file>

<file path=xl/theme/theme1.xml><?xml version="1.0" encoding="utf-8"?>
<a:theme xmlns:a="http://schemas.openxmlformats.org/drawingml/2006/main" name="Thème Office">
  <a:themeElements>
    <a:clrScheme name="Office">
      <a:dk1>
        <a:sysClr val="windowText" lastClr="000000"/>
      </a:dk1>
      <a:lt1>
        <a:sysClr val="window" lastClr="C0C0C0"/>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noFill/>
        <a:ln w="9525">
          <a:noFill/>
          <a:miter lim="800000"/>
          <a:headEnd/>
          <a:tailEnd/>
        </a:ln>
      </a:spPr>
      <a:bodyPr/>
      <a:lstStyle/>
    </a:spDef>
    <a:ln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sheetPr codeName="Feuil1">
    <pageSetUpPr autoPageBreaks="0" fitToPage="1"/>
  </sheetPr>
  <dimension ref="A1:BA236"/>
  <sheetViews>
    <sheetView showGridLines="0" showRowColHeaders="0" tabSelected="1" zoomScale="139" zoomScaleNormal="139" workbookViewId="0">
      <pane ySplit="17" topLeftCell="A18" activePane="bottomLeft" state="frozen"/>
      <selection pane="bottomLeft"/>
    </sheetView>
  </sheetViews>
  <sheetFormatPr baseColWidth="10" defaultRowHeight="11.25"/>
  <cols>
    <col min="1" max="1" width="0.1640625" customWidth="1"/>
    <col min="2" max="2" width="91.83203125" customWidth="1"/>
    <col min="3" max="3" width="46.83203125" customWidth="1"/>
    <col min="4" max="4" width="44.33203125" customWidth="1"/>
    <col min="5" max="5" width="44.5" customWidth="1"/>
    <col min="6" max="8" width="0.1640625" customWidth="1"/>
    <col min="9" max="9" width="55.83203125" customWidth="1"/>
    <col min="10" max="10" width="51.83203125" customWidth="1"/>
    <col min="11" max="11" width="28.5" customWidth="1"/>
    <col min="12" max="13" width="13.83203125" customWidth="1"/>
    <col min="14" max="14" width="16" customWidth="1"/>
    <col min="15" max="15" width="47.83203125" customWidth="1"/>
    <col min="16" max="16" width="25.83203125" customWidth="1"/>
    <col min="17" max="18" width="41.83203125" customWidth="1"/>
    <col min="19" max="19" width="15.83203125" customWidth="1"/>
    <col min="20" max="20" width="18.83203125" customWidth="1"/>
    <col min="21" max="21" width="65.83203125" customWidth="1"/>
    <col min="22" max="22" width="17.83203125" customWidth="1"/>
    <col min="23" max="23" width="81.1640625" customWidth="1"/>
    <col min="24" max="24" width="20.83203125" hidden="1" customWidth="1"/>
    <col min="25" max="25" width="45.83203125" customWidth="1"/>
    <col min="26" max="26" width="100.83203125" customWidth="1"/>
    <col min="27" max="27" width="48.83203125" customWidth="1"/>
    <col min="28" max="28" width="76.83203125" customWidth="1"/>
    <col min="29" max="29" width="20.83203125" customWidth="1"/>
    <col min="30" max="31" width="40.6640625" customWidth="1"/>
    <col min="32" max="33" width="56.83203125" customWidth="1"/>
    <col min="34" max="34" width="57" customWidth="1"/>
    <col min="35" max="35" width="57.1640625" customWidth="1"/>
    <col min="36" max="36" width="0" hidden="1" customWidth="1"/>
    <col min="37" max="37" width="200.83203125" hidden="1" customWidth="1"/>
    <col min="38" max="38" width="48.83203125" customWidth="1"/>
    <col min="39" max="39" width="57.83203125" customWidth="1"/>
    <col min="40" max="40" width="16" customWidth="1"/>
    <col min="41" max="41" width="14" customWidth="1"/>
    <col min="42" max="42" width="10.83203125" customWidth="1"/>
    <col min="43" max="43" width="11.6640625" customWidth="1"/>
    <col min="44" max="50" width="9.83203125" customWidth="1"/>
    <col min="51" max="51" width="13.83203125" customWidth="1"/>
    <col min="52" max="52" width="50.83203125" customWidth="1"/>
    <col min="53" max="53" width="13.83203125" customWidth="1"/>
  </cols>
  <sheetData>
    <row r="1" spans="1:53" ht="0.95" customHeight="1" thickTop="1" thickBot="1">
      <c r="A1" s="1227" t="s">
        <v>3</v>
      </c>
      <c r="B1" s="7" t="str">
        <f ca="1">SUBSTITUTE(SUBSTITUTE(SUBSTITUTE(SUBSTITUTE(SUBSTITUTE(SUBSTITUTE(SUBSTITUTE(TABLEAU!$AA$1,"# &amp; #DANS"," &amp; DANS"),"# &amp; DEPUIS"," &amp; DEPUIS"),"~ #","~                #"),"&gt;","#"),"&lt;","#"),"MIN A ","MIN (A ")," A "," (A ")</f>
        <v/>
      </c>
      <c r="C1" s="8"/>
      <c r="D1" s="9" t="str">
        <f>SUBSTITUTE(CONCATENATE([1]DATES!$K$145," ",[1]DATES!$N$143)," ]","]")</f>
        <v>(4°J): BARCELONE VS PRAGUE {GR F}</v>
      </c>
      <c r="E1" s="1033">
        <f ca="1">COUNTIF(TABLEAU!$E$98:'TABLEAU'!$E$121,"BIENTOT")</f>
        <v>0</v>
      </c>
      <c r="F1" s="10" t="str">
        <f ca="1">IF(AND(A.OUVRIR="CHAMPION'S LEAGUE",DATE.FICHIER.A.OUVRIR&lt;1),"MACRO_OUVRIR_CHAMPIONS_LEAGUE",IF(AND(A.OUVRIR="UEFA",DATE.FICHIER.A.OUVRIR&lt;1),"MACRO_OUVRIR_COUPE_DE_LUEFA",IF(AND(A.OUVRIR="COUPE DE FRANCE",DATE.FICHIER.A.OUVRIR&lt;1),"MACRO_OUVRIR_COUPE_DE_FRANCE",IF(AND(A.OUVRIR="COUPE DE LA LIGUE",DATE.FICHIER.A.OUVRIR&lt;1),"MACRO_OUVRIR_COUPE_DE_LA_LIGUE",IF(AND(A.OUVRIR="CONFEDERATIONS",DATE.FICHIER.A.OUVRIR&lt;1),"MACRO_OUVRIR_CONFEDERATIONS_2017",IF(AND(A.OUVRIR="CHAMPIONNAT",DATE.FICHIER.A.OUVRIR&lt;1),"MACRO_OUVRIR_CHAMPIONNAT",IF(AND(A.OUVRIR="FORMULE 1",DATE.FICHIER.A.OUVRIR&lt;1),"MACRO_OUVRIR_FORMULE$1",IF(AND(A.OUVRIR="MONDIAL",DATE.FICHIER.A.OUVRIR&lt;1),"MACRO_OUVRIR_MONDIAL",IF(AND(A.OUVRIR="EURO",DATE.FICHIER.A.OUVRIR&lt;1),"MACRO_OUVRIR_EURO","MACRO_ATTEINDRE_A$1")))))))))</f>
        <v>MACRO_OUVRIR_CHAMPIONNAT</v>
      </c>
      <c r="G1" s="900" t="str">
        <f ca="1">TRIM(SUBSTITUTE(SUBSTITUTE(SUBSTITUTE(IF(COUNTBLANK(TABLEAU!$J$49:'TABLEAU'!$N$53)=8,"",SUBSTITUTE(CONCATENATE("[",TABLEAU!$I$49," &amp; ",TABLEAU!$I$50," &amp; ",TABLEAU!$I$51," &amp; ",TABLEAU!$I$53,"]")," &amp; &amp;",""))," &amp; ]",""),"[DANS","DANS")," &amp;  &amp;",""))</f>
        <v>[</v>
      </c>
      <c r="H1" s="901"/>
      <c r="I1" s="901"/>
      <c r="J1" s="901"/>
      <c r="K1" s="901"/>
      <c r="L1" s="901"/>
      <c r="M1" s="901"/>
      <c r="N1" s="901"/>
      <c r="O1" s="899" t="str">
        <f>CONCATENATE("[GP DE ",[2]!SUIVANT,"]#")</f>
        <v>[GP DE USA]#</v>
      </c>
      <c r="P1" s="878" t="str">
        <f ca="1">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CONCATENATE(TABLEAU!$A$25,TABLEAU!$AL$19,A.VERIFIER),CONCATENATE("    ",FERIE.3),CONCATENATE("  #",FERIE.3)),"#  #","          ")," DEPASSE","&amp; #DEPASSE"),CONCATENATE(" ",AN.4),""),"   D","   #D"),CONCATENATE(TABLEAU!$K$2," ",XXX),XXX),CONCATENATE(TABLEAU!$K$3," ",XXX),XXX),CONCATENATE(TABLEAU!$K$4," ",XXX),XXX),CONCATENATE(TABLEAU!$K$5," ",XXX),XXX),CONCATENATE(TABLEAU!$K$6," ",XXX),XXX),CONCATENATE(TABLEAU!$K$7," ",XXX),XXX),CONCATENATE(TABLEAU!$K$8," ",XXX),XXX)," &amp; EEE",""),"#EEE",""),TABLEAU!$AL$1,""),"]","]#"),"]##","]#"),CONCATENATE(RESULT,RESULT),RESULT),"##","# &amp; #"),"]#~","]~"),"#ARRET","ARRET"),"0 #","0)# &amp; #"),"1 #","1)# &amp; #"),"2 #","2)# &amp; #"),"3 #","3)# &amp; #"),"4 #","4)# &amp; #"),"5 #","5)# &amp; #"),"6 #","6)# &amp; #"),"7 #","7)# &amp; #"),"8 #","8)# &amp; #"),"9 #","9)# &amp; #"),CONCATENATE("#",FERIE.3,"#D"),CONCATENATE("#",FERIE.3,"# &amp; #D")),"#   (","("),CONCATENATE(RESULT," &amp; ",RESULT),RESULT),"]#)","]#"),"##","# &amp; #"),"]#D","]# &amp; #D"),"]# {N°"," {N°"),CONCATENATE([2]!LEADER," (",DATE.RDV.TV," "),CONCATENATE([2]!LEADER," (")),CONCATENATE([2]!SECOND," (",DATE.RDV.TV," "),CONCATENATE([2]!SECOND," (")),"PTS]","PTS)"),"PTS)# {+","PTS) {+"),"PTS)#]#","PTS)]#"),CONCATENATE(" &amp; ",EVE.DEPAS),""),CONCATENATE([2]!LEADER," (",TABLEAU!$K$2),CONCATENATE([2]!LEADER," (")),CONCATENATE([2]!LEADER," (",TABLEAU!$K$3),CONCATENATE([2]!LEADER," (")),CONCATENATE([2]!LEADER," (",TABLEAU!$K$4),CONCATENATE([2]!LEADER," (")),CONCATENATE([2]!LEADER," (",TABLEAU!$K$5),CONCATENATE([2]!LEADER," (")),CONCATENATE([2]!LEADER," (",TABLEAU!$K$6),CONCATENATE([2]!LEADER," (")),CONCATENATE([2]!LEADER," (",TABLEAU!$K$7),CONCATENATE([2]!LEADER," (")),CONCATENATE([2]!LEADER," (",TABLEAU!$K$8),CONCATENATE([2]!SECOND," (")),CONCATENATE([2]!SECOND," (",TABLEAU!$K$2),CONCATENATE([2]!SECOND," (")),CONCATENATE([2]!SECOND," (",TABLEAU!$K$3),CONCATENATE([2]!SECOND," (")),CONCATENATE([2]!SECOND," (",TABLEAU!$K$4),CONCATENATE([2]!SECOND," (")),CONCATENATE([2]!SECOND," (",TABLEAU!$K$5),CONCATENATE([2]!SECOND," (")),CONCATENATE([2]!SECOND," (",TABLEAU!$K$6),CONCATENATE([2]!SECOND," (")),CONCATENATE([2]!SECOND," (",TABLEAU!$K$7),CONCATENATE([2]!SECOND," (")),CONCATENATE([2]!SECOND," (",TABLEAU!$K$8),CONCATENATE([2]!SECOND," (")),"( ","("),TABLEAU!$AI$19,"")," ~ ("," ("),"##","# &amp; #")</f>
        <v>~SAMEDI 2 NOVEMBRE 2019 [13:00:00]~                                                              #DANS 7H40 (A 20H40 SUR AB1): [SMACKDOWN]#</v>
      </c>
      <c r="Q1" s="879" t="str">
        <f ca="1">IF(RDV.VERIFIER="","",RDV.VERIFIER)</f>
        <v/>
      </c>
      <c r="R1" s="879" t="str">
        <f ca="1">SUBSTITUTE(CONCATENATE(YEAR(A),"-",YEAR(A)+1),"-20","-")</f>
        <v>2019-20</v>
      </c>
      <c r="S1" s="1451" t="str">
        <f ca="1">IF(28-COUNTBLANK(TABLEAU!$R$55:'TABLEAU'!$R$82)&lt;&gt;0,"BIENTOT","")</f>
        <v/>
      </c>
      <c r="T1" s="879" t="str">
        <f ca="1">SUBSTITUTE(SUBSTITUTE(SUBSTITUTE(SUBSTITUTE(SUBSTITUTE(SUBSTITUTE(SUBSTITUTE(IF(TODAY.TV&lt;&gt;"",TODAY.TV,IF(AND(HOUR(MAINTENANT)&gt;20),"",IF(AND(HOUR(MAINTENANT)&gt;20,DEMAIN.TV&lt;&gt;""),"",TODAY.TV))),"&lt; &amp; &gt;DANS"," &amp; DANS"),"&gt;","#"),"&lt;","#"),"1ER ERREUR","1 ERREUR"),"DEPUIS","#DEPASSE DEPUIS"),"##","# &amp; #"),"# &amp; # &amp; #","# &amp; #")</f>
        <v>#DANS 7H45 (A 20H45): [CHAMPIONNAT]# &amp; #DANS 7H40 (A 20H40 SUR AB1): [SMACKDOWN]#</v>
      </c>
      <c r="U1" s="880" t="str">
        <f ca="1">IF(A.VERIFIER="","",CONCATENATE(A.VERIFIER," &amp; ",A.VERIFIER))</f>
        <v/>
      </c>
      <c r="V1" s="881"/>
      <c r="W1" s="1135" t="b">
        <f ca="1">OR(DATE.COLLER.2&lt;&gt;DATE.COPIER.2,RDV.DEPAS&lt;&gt;"",HEURE.DU.RDV&lt;&gt;"",HEURE.DE.LA.TV&lt;&gt;"",FERIE&lt;&gt;"",VER&lt;&gt;"OK",NBR.TV.DEPAS&lt;&gt;"",A.VERIFIER&lt;&gt;"",TABLEAU!$A$49="DEPASSE",QQ&lt;&gt;"",TABLEAU!$AD$2&lt;&gt;0,TABLEAU!$AE$2&lt;&gt;0,,EVE.DEP&lt;&gt;"",TABLEAU!$K$3&lt;&gt;"LUNDI",DANS.1="DEPASSE",DANS.2="DEPASSE",DANS.3="DEPASSE",DANS.4="DEPASSE",DANS.5="DEPASSE",COUNTBLANK(TABLEAU!$AG$55:'TABLEAU'!$AG$82)&lt;&gt;28,MEDOC&lt;&gt;"")</f>
        <v>0</v>
      </c>
      <c r="X1" s="1451" t="str">
        <f ca="1">IF(AND(HOUR(MAINTENANT)&gt;18,TODAY.RDV&lt;&gt;"",DEMAIN.RDV&lt;&gt;""),CONCATENATE(TODAY.RDV," &amp; ",DEMAIN.RDV),IF(AND(HOUR(MAINTENANT)&lt;19,TODAY.RDV&lt;&gt;"",DEMAIN.RDV&lt;&gt;""),TODAY.RDV,IF(TODAY.RDV&lt;&gt;"",TODAY.RDV,IF(AND(HOUR(MAINTENANT)&gt;19,DEMAIN.RDV&lt;&gt;""),DEMAIN.RDV,""))))</f>
        <v/>
      </c>
      <c r="Y1" s="902" t="str">
        <f ca="1">UPPER(SUBSTITUTE(SUBSTITUTE(SUBSTITUTE(SUBSTITUTE(SUBSTITUTE(SUBSTITUTE(SUBSTITUTE(SUBSTITUTE(SUBSTITUTE(SUBSTITUTE(SUBSTITUTE(SUBSTITUTE(SUBSTITUTE(SUBSTITUTE(SUBSTITUTE(IF(DATE.COPIER.2&lt;&gt;DATE.COLLER.2,TABLEAU!$A$143,CONCATENATE(JH,PLUS,PHRASE.SUITE,VER.COL,A.VERIFIER)),"##","# #"),"  "," "),"[MAINTENANT","MAINTENANT"),"#  #","# &amp; #"),"&lt;#","# &amp; #"),"~#","~ #"),"1ER ERREUR","1 ERREUR"),"MIN A ","MIN (A ")," A "," (A "),CONCATENATE("DEMAIN (",LOOKUP(WEEKDAY(B),SEMAINE)," ("),CONCATENATE("DEMAIN (",LOOKUP(WEEKDAY(B),SEMAINE)," ")),"# #","# &amp; #"),"0HIER","HIER"),CONCATENATE(JH,JH),JH),"0HIER","HIER"),CONCATENATE(Q,"&amp;",JH),""))</f>
        <v>~SAMEDI 2 NOVEMBRE 2019 [13:00:00]~                           #DANS 3J= ''67H00'' ~ (5 NOV (A 8H00): [COUPE OEUF]# &amp; #DANS 7H45 (A 20H45): [CHAMPIONNAT]# &amp; #DANS 7H40 (A 20H40 SUR AB1): [SMACKDOWN]#</v>
      </c>
      <c r="Z1" s="882" t="str">
        <f ca="1">UPPER(SUBSTITUTE(SUBSTITUTE(SUBSTITUTE(SUBSTITUTE(SUBSTITUTE(SUBSTITUTE(SUBSTITUTE(SUBSTITUTE(SUBSTITUTE(TABLEAU!$B$1,"] {","]# &amp; #{"),"] &amp; {","]# &amp; #{"),"# #","# &amp; #"),"] &amp; D","]# &amp; #D"),"] &amp; #","]# &amp; #"),"# &amp; DANS","# &amp; #DANS"),"#DEPASSE DEPUIS","#DEPUIS"),"]# &amp; #{","] {"),CONCATENATE("DEMAIN (",LOOKUP(WEEKDAY(B),SEMAINE)," ("),CONCATENATE("DEMAIN (",LOOKUP(WEEKDAY(B),SEMAINE)," ")))</f>
        <v/>
      </c>
      <c r="AA1" s="1451" t="str">
        <f ca="1">UPPER(SUBSTITUTE(SUBSTITUTE(SUBSTITUTE(SUBSTITUTE(SUBSTITUTE(SUBSTITUTE(SUBSTITUTE(SUBSTITUTE(SUBSTITUTE(TABLEAU!$AG$1,"&amp; MAINTENANT","&amp; #MAINTENANT"),"#&gt;","# &amp; #"),"~#","~                               #"),"~#","~                               #"),"&amp; DANS","&amp; #DANS"),"&gt;","#"),"&lt;","#"),"MIN A ","MIN (A ")," A "," (A "))</f>
        <v/>
      </c>
      <c r="AB1" s="879" t="str">
        <f ca="1">UPPER(CONCATENATE(LOOKUP(WEEKDAY(A),SEMAINE)," ",DAY(A)," ",LOOKUP(MONTH(A),MOIS)))</f>
        <v>SAMEDI 2 NOVEMBRE</v>
      </c>
      <c r="AC1" s="1451" t="str">
        <f ca="1">UPPER(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IF(DATE.COP&lt;&gt;DATE.COL,SUBSTITUTE(TABLEAU!$AG$1,"(NOUS","                      (NOUS"),SUBSTITUTE(SUBSTITUTE(SUBSTITUTE(CONCATENATE(JH,"                                       ",FERIE.4,PLUS,TV.VERIFIER,RDV.VERIFIER,"EEE"),"{1 TV}=",""),"{1 RDV}=",""),CONCATENATE(XXX,")# &amp; "),CONCATENATE(XXX,")#                                           "))),"# D","#D"),"##","# &amp; #"),CONCATENATE(XXX,")# &amp; "),CONCATENATE(XXX,")#                            ")),"&amp;#","&amp; #"),"##","# &amp; #")," &amp; # &amp; #"," &amp; #"),"#                            # &amp; ","#                                  "),CONCATENATE(XXX,")#                                            &amp; "),CONCATENATE(XXX,")#                                         ")),CONCATENATE("#CHAMPIONNAT: DEPASSE DEPUIS HIER# &amp;  &amp; #CHAMPIONNAT: DEPASSE DEPUIS HIER#"),A.VERIFIER),CONCATENATE(TABLEAU!$B$228," JOURS ("),CONCATENATE(TABLEAU!$B$228," JOURS           ("))," MIN A "," MIN (A ")," A "," (A "),"#                            #","#                                        #"),CONCATENATE(TABLEAU!$K$9," ",MOIS.MAINTENANT.2," ("),"("),CONCATENATE(DATE.RDV.TV,"A "),CONCATENATE(DATE.RDV.TV," A ")),CONCATENATE(MOIS.MAINTENANT.2," ("),CONCATENATE(MOIS.MAINTENANT.2," ",YEAR(A)," (")),CONCATENATE(YEAR(A)," ("),CONCATENATE(" ",YEAR(A))),CONCATENATE(YEAR(A),"A"),CONCATENATE(YEAR(A)," A")),CONCATENATE("  ",YEAR(A)),CONCATENATE(" ",YEAR(A))),CONCATENATE(TABLEAU!$B$33," &amp; ",TABLEAU!$B$33),TABLEAU!$B$33),"] &amp; D","]# &amp; #D"),"#&amp; D","# &amp; #D"),"]#&amp; #","]# &amp; #"),")#&amp; ",")# &amp; ")," L (A"," LA"),"A (","A "),"B (","B "),"C (","C "),"D (","D "),"E (","E "),"F (","F "),"G (","G "),"H (","H "),"I (","I "),"J (","J "),"K (","K "),"L (","L "),"M (","M "),"N (","N "),"O (","O "),"P (","P "),"Q (","Q "),"R (","R "),"S (","S "),"T (","T "),"U (","U "),"V (","V "),"W (","W "),"X (","X "),"Y (","Y "),"Z (","Z "),"#EEE","#"),CONCATENATE([2]!LEADER,"]= ["),CONCATENATE([2]!LEADER,"= (")),"PTS]","PTS)"),")])",")]"))</f>
        <v>~SAMEDI 2 NOVEMBRE 2019 [13:00:00]~                                       #DANS 7H45 (A 20H45): [CHAMPIONNAT]# &amp; #DANS 7H40 (A 20H40 SUR AB1): [SMACKDOWN]#</v>
      </c>
      <c r="AD1" s="2315" t="str">
        <f ca="1">SUBSTITUTE(CONCATENATE(YEAR(A)-1,"-",YEAR(A)),"19-20","19-")</f>
        <v>2018-2019</v>
      </c>
      <c r="AE1" s="2316"/>
      <c r="AF1" s="1464" t="str">
        <f ca="1">SUBSTITUTE(SUBSTITUTE(SUBSTITUTE(IF(RDV.4.DATE=B,CONCATENATE(NOMBRE.RDV,TABLEAU!$F$49,TABLEAU!$F$50,TABLEAU!$F$51,TABLEAU!$F$53),IF(RDV.3.DATE=B,CONCATENATE(NOMBRE.RDV,TABLEAU!$F$49,TABLEAU!$F$50,TABLEAU!$F$51),IF(RDV.2.DATE=B,CONCATENATE(NOMBRE.RDV,TABLEAU!$F$49,TABLEAU!$F$50),IF(RDV.1.DATE=B,CONCATENATE(NOMBRE.RDV,TABLEAU!$F$49),"")))),"#DEMAIN (","("),SUBSTITUTE(CONCATENATE("(",LOOKUP(WEEKDAY(B),SEMAINE)," ",DAY(B)," ",LOOKUP(MONTH(B),MOIS)," ",YEAR(B)," ")," 1 "," 1ER "),"("),"DEMAIN ",CONCATENATE("DEMAIN ",TABLEAU!$AB$3," "))</f>
        <v/>
      </c>
      <c r="AG1" s="883" t="str">
        <f ca="1">SUBSTITUTE(SUBSTITUTE(SUBSTITUTE(SUBSTITUTE(SUBSTITUTE(SUBSTITUTE(SUBSTITUTE(SUBSTITUTE(ERREUR.DATE,"#PRENDRE LES MEDICAMENTS# PRENDRE LES MEDICAMENTS","#PRENDRE LES MEDICAMENTS#"),"# {1 PROG}","#"),"# {1 RDV}","#"),"#&lt;","#"),"] &amp;","]&lt; &amp;"),"#DEPASSE DEPUIS","#DEPUIS")," &amp; {"," &amp; &gt;{"),"&lt; &amp; &gt;DANS"," &amp; DANS")</f>
        <v/>
      </c>
      <c r="AH1" s="879" t="str">
        <f ca="1">UPPER(SUBSTITUTE(SUBSTITUTE(SUBSTITUTE(IF(DATE.DEPASSE&gt;0,"",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IF(AND(TABLEAU!$AM$33="#",DATE.RDV.TV="DIMANCHE"),CONCATENATE("[",MODIF,WWE),IF(DATE.RDV.TV&lt;&gt;"DIMANCHE",CONCATENATE("[",MODIF,TABLEAU!$AM$33),CONCATENATE("[",MODIF,TABLEAU!$AM$33,WWE))),UPPER("{1 PROG}= "),""),CONCATENATE(DATE.RDV.TV,UPPER(" A ")),"A "),"#]#","#"),TABLEAU!$AB$2,""),CONCATENATE(" ",YEAR(A)),""),"DANS (MATCH","DANS MATCH"),"]= [","= ["),"DANS 0 MIN","MAINTENANT")," &amp; DEPASSE"," &amp; #DEPASSE"),"] &amp;D","]# &amp; #D"),CONCATENATE(TABLEAU!$AM$42," &amp; #",NBR.TV,SUBSTITUTE(SUBSTITUTE(TABLEAU!$AM$42,"#DEPASSE","DEPASSE"),CONCATENATE(" ",YEAR(A)),"")),CONCATENATE("#",NBR.TV,SUBSTITUTE(SUBSTITUTE(TABLEAU!$AM$42,"#DEPASSE","DEPASSE"),CONCATENATE(" ",YEAR(A)),""))),CONCATENATE(TABLEAU!$I$33," &amp; ",TABLEAU!$I$33),TABLEAU!$I$33),CONCATENATE(" &amp; ",TABLEAU!$AM$42," &amp; ")," &amp; "),TABLEAU!$AA$132,MODIF),TABLEAU!$AM$5,""),CONCATENATE(TABLEAU!$AM$42," &amp; #",NBR.TV,SUBSTITUTE(TABLEAU!$AM$42,"#DEPASSE ","DEPASSE ")),TABLEAU!$AM$42),CONCATENATE(TABLEAU!$AM$42," &amp; #",NBR.TV,SUBSTITUTE(TABLEAU!$AM$42,"#DANS","DANS")),CONCATENATE(NBR.TV,TABLEAU!$AM$42)),CONCATENATE(TABLEAU!$Y$33," &amp; #",NBR.TV),CONCATENATE(TABLEAU!$Y$33,"&amp; # ")),CONCATENATE(TABLEAU!$AM$42," &amp; ",TABLEAU!$AM$42),TABLEAU!$AM$42),"##","# &amp; #"),TABLEAU!$B$33,TABLEAU!$AM$42),"[ &amp; ",""),CONCATENATE("[",TABLEAU!$AM$42," &amp; #",NBR.TV),"#"),"[#","#"),"[{","#{"),"#&amp; #","# &amp; #"),CONCATENATE(TABLEAU!$AI$55," &amp; ",TABLEAU!$B$33),TABLEAU!$AI$55),CONCATENATE(TABLEAU!$AI$59," &amp; ",TABLEAU!$B$33),TABLEAU!$AI$59),CONCATENATE(TABLEAU!$AI$63," &amp; ",TABLEAU!$B$33),TABLEAU!$AI$63),CONCATENATE(TABLEAU!$AI$68," &amp; ",TABLEAU!$B$33),TABLEAU!$AI$68),CONCATENATE(TABLEAU!$AI$72," &amp; ",TABLEAU!$B$33),TABLEAU!$AI$72),CONCATENATE(TABLEAU!$AI$76," &amp; ",TABLEAU!$B$33),TABLEAU!$AI$76),CONCATENATE(TABLEAU!$AI$80," &amp; ",TABLEAU!$B$33),TABLEAU!$AI$80),"# D","#D")),"PTS]","PTS)"),CONCATENATE([2]!LEADER,"= ["),CONCATENATE([2]!LEADER,"= (")),")])",")]"))</f>
        <v>#DANS 7H45 (A 20H45): [CHAMPIONNAT]#{2 PROG}= #DANS 7H45 (A 20H45): [CHAMPIONNAT]# &amp; &amp; #DANS 7H40 (A 20H40 SUR AB1): [SMACKDOWN]#</v>
      </c>
      <c r="AI1" s="884" t="str">
        <f ca="1">IF(DATE.DEPASSE&gt;0,"",SUBSTITUTE(TABLEAU!$B$33,CONCATENATE(LOOKUP(WEEKDAY(A),SEMAINE)," ",DAY(A)," ",LOOKUP(MONTH(A),MOIS)," ",YEAR(A)," "),""))</f>
        <v>#DANS 7H45 (A 20H45): [CHAMPIONNAT]#</v>
      </c>
      <c r="AJ1" s="885"/>
      <c r="AK1" s="885"/>
      <c r="AL1" s="863" t="str">
        <f>IF(MINUTE(TABLEAU!$M$33)&gt;9,CONCATENATE("#[~ (A ",SUBSTITUTE(HOUR(TABLEAU!$M$33),":","H"),"H",MINUTE(TABLEAU!$M$33),"): [",TABLEAU!$A$33,"]#"),CONCATENATE("#[~ (A ",SUBSTITUTE(HOUR(TABLEAU!$M$33),":","H"),"H0",MINUTE(TABLEAU!$M$33),"): [",TABLEAU!$A$33,"]#"))</f>
        <v>#[~ (A 20H45): [CHAMPIONNAT]#</v>
      </c>
      <c r="AM1" s="1136" t="str">
        <f ca="1">SUBSTITUTE(SUBSTITUTE(IF(TABLEAU!$D$41=0,CONCATENATE(TABLEAU!$B$33," &amp; ",TABLEAU!$B$34," &amp; ",TABLEAU!$B$35," &amp; ",TABLEAU!$B$36," &amp; ",TABLEAU!$B$37," &amp; ",TABLEAU!$B$38," &amp; ",TABLEAU!$B$39," &amp; ",TABLEAU!$B$40," &amp; ",TABLEAU!$B$41," &amp; ",RDV.VERIFIER),IF(TABLEAU!$D$40=0,CONCATENATE(TABLEAU!$B$33," &amp; ",TABLEAU!$B$34," &amp; ",TABLEAU!$B$35," &amp; ",TABLEAU!$B$36," &amp; ",TABLEAU!$B$37," &amp; ",TABLEAU!$B$38," &amp; ",TABLEAU!$B$39," &amp; ",TABLEAU!$B$40," &amp; ",RDV.VERIFIER),IF(TABLEAU!$D$39=0,CONCATENATE(TABLEAU!$B$33," &amp; ",TABLEAU!$B$34," &amp; ",TABLEAU!$B$35," &amp; ",TABLEAU!$B$36," &amp; ",TABLEAU!$B$37," &amp; ",TABLEAU!$B$38," &amp; ",TABLEAU!$B$39," &amp; ",RDV.VERIFIER),IF(TABLEAU!$D$38=0,CONCATENATE(TABLEAU!$B$33," &amp; ",TABLEAU!$B$34," &amp; ",TABLEAU!$B$35," &amp; ",TABLEAU!$B$36," &amp; ",TABLEAU!$B$37," &amp; ",TABLEAU!$B$38," &amp; ",RDV.VERIFIER),IF(TABLEAU!$D$37=0,CONCATENATE(TABLEAU!$B$33," &amp; ",TABLEAU!$B$34," &amp; ",TABLEAU!$B$35," &amp; ",TABLEAU!$B$36," &amp; ",TABLEAU!$B$37," &amp; ",RDV.VERIFIER),IF(TABLEAU!$D$36=0,CONCATENATE(TABLEAU!$B$33," &amp; ",TABLEAU!$B$34," &amp; ",TABLEAU!$B$35," &amp; ",TABLEAU!$B$36," &amp; ",RDV.VERIFIER),IF(TABLEAU!$D$35=0,CONCATENATE(TABLEAU!$B$33," &amp; ",TABLEAU!$B$34," &amp; ",TABLEAU!$B$35," &amp; ",RDV.VERIFIER),IF(TABLEAU!$D$34=0,CONCATENATE(TABLEAU!$B$33," &amp; ",TABLEAU!$B$34," &amp; ",RDV.VERIFIER),IF(TABLEAU!$D$33=0,CONCATENATE(TABLEAU!$B$33," &amp; ",RDV.VERIFIER),""))))))))),CONCATENATE(" &amp; ",DATE.RDV.TV),""),CONCATENATE(DATE.RDV.TV," ",DAY(A)," ",MOIS.MAINTENANT.2," ",YEAR(A)," "),"")</f>
        <v xml:space="preserve">#DANS 7H45 (A 20H45): [CHAMPIONNAT]# &amp; </v>
      </c>
      <c r="AN1" s="1565" t="str">
        <f ca="1">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IF(CONCATENATE(PLUS,EVE.DEPAS,RDV.DEPAS)="",TABLEAU!$AN$33,CONCATENATE(EVE.DEPAS,RDV.DEPAS)),"##","# &amp; #"),"= #","= "),CONCATENATE(" &amp; ",TABLEAU!$A$206),""),"= &amp; #DEPUIS"," DEPUIS"),"1 PROG EST DEPASSE ",""),"#DEPUIS ","#DEPASSE DEPUIS "),CONCATENATE(SUBSTITUTE(TABLEAU!$B$33,CONCATENATE(DATE.RDV.TV," "),"")," &amp; ",SUBSTITUTE(TABLEAU!$B$33,CONCATENATE(DATE.RDV.TV," "),"")),SUBSTITUTE(TABLEAU!$B$33,CONCATENATE(DATE.RDV.TV," "),""))," #ALLEZ L'OM#",""),"= ALLEZ L'OM# &amp; #DEPASSE",""),"= #DEPASSE",""),TABLEAU!$AN$2,""),"=  &amp;",""),"DEPASSE #DEPASSE","DEPASSE"),"[CHAMPIONNAT]","[CHAMPIONNAT]"),CONCATENATE(TABLEAU!$B$33," &amp; ",TABLEAU!$B$33),TABLEAU!$B$33),"[CHAMPIONNAT]","[CHAMPIONNAT]"),"1 PROG EST ",""),"2 PROG SONT ",""),"3 PROG SONT ",""),"4 PROG SONT ",""),"CHAMPIONNAT","CHAMPIONNAT"),"#&amp; D","# &amp; #D"),"LE CHAMPIONNAT","LE CHAMPIONNAT")," &amp;  &amp;"," &amp;"),"##","# &amp; #"),CONCATENATE("MIN (",DATE.RDV.TV," "),"MIN ("),CONCATENATE(TABLEAU!$AL$143," &amp; ",TABLEAU!$AL$143," &amp; ",TABLEAU!$AL$143," &amp; ",TABLEAU!$AL$143),TABLEAU!$AL$143),CONCATENATE(DATE.RDV.TV," A "),"A ")</f>
        <v/>
      </c>
      <c r="AO1" s="1566"/>
      <c r="AP1" s="1484"/>
      <c r="AQ1" s="1484"/>
      <c r="AR1" s="2059" t="str">
        <f ca="1">SUBSTITUTE(TABLEAU!$AR$2," ~ "," ")</f>
        <v>#DANS 7H45 (A 20H45): [CHAMPIONNAT]#</v>
      </c>
      <c r="AS1" s="2060"/>
      <c r="AT1" s="2060"/>
      <c r="AU1" s="2061"/>
      <c r="AV1" s="2009" t="str">
        <f ca="1">UPPER(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AC$1,CONCATENATE(" JOURS ",TABLEAU!$K$3),CONCATENATE("JOURS ",TABLEAU!$K$3))," JOURS MARDI ","JOURS (MARDI ")," JOURS MERCREDI ","JOURS (MERCREDI ")," JOURS JEUDI ","JOURS (JEUDI ")," JOURS VENDREDI ","JOURS (VENDREDI ")," JOURS SAMEDI ","JOURS (SAMEDI ")," JOURS DIMANCHE ","JOURS (DIMANCHE ")," HIER "," HIER ("),"((","("),CONCATENATE(YEAR(A)," A "),"A "),"MIN A","MIN (A"),"##","# &amp; #"),"DEMAIN= #DEPASSE# ~","DEPASSE DEPUIS HIER"),"MAINTENANT A","MAINTENANT (A"),"[CHAMPIONNAT]","[CHAMPIONNAT]"),TABLEAU!$A$19,A.VERIFIER),TABLEAU!$AL$145,TABLEAU!$AL$146),CONCATENATE(TABLEAU!$B$49," &amp; ",TABLEAU!$B$49),TABLEAU!$B$49),CONCATENATE(YEAR(A)+1," ("),CONCATENATE(YEAR(A)+1," ")),TABLEAU!$AL$147,TABLEAU!$AL$148),CONCATENATE(FERIE.4," &amp; ",Q," &amp; ",FERIE.4),CONCATENATE(FERIE.4," &amp; ",Q)),CONCATENATE(FERIE.4," &amp; ",TABLEAU!$AM$47," &amp; ",FERIE.4),CONCATENATE(FERIE.4," &amp; ",TABLEAU!$AM$47)),"DANS MIN","MAINTENANT"),TABLEAU!$AL$149,TABLEAU!$AL$150)," ~ "," ~ (")," (("," ("),CONCATENATE(YEAR(A)-1,"",AN.4),AN.4),"JOURS ~ (","JOURS ("),BBB,XXX),CCC,XXX),GGG,XXX),"ZZZ"," &amp; "),"JOURS"," JOURS"),"  JOURS"," JOURS"),"#EEE","#"),CONCATENATE([2]!LEADER," ",'[2]PILOTES &amp; ECURIES'!$AG$4),CONCATENATE([2]!LEADER," (",'[2]PILOTES &amp; ECURIES'!$AG$4)),CONCATENATE('[2]PILOTES &amp; ECURIES'!$AF$5," ",'[2]PILOTES &amp; ECURIES'!$AG$5),CONCATENATE('[2]PILOTES &amp; ECURIES'!$AF$5," (",'[2]PILOTES &amp; ECURIES'!$AG$5)),"##","# &amp; #"),CONCATENATE("(",CVB,YEAR(A)," "),""))</f>
        <v>~SAMEDI 2 NOVEMBRE 2019 [13:00:00]~                                       #DANS 7H45 (A 20H45): [CHAMPIONNAT]# &amp; #DANS 7H40 (A 20H40 SUR AB1): [SMACKDOWN]#</v>
      </c>
      <c r="AW1" s="2010"/>
      <c r="AX1" s="2011"/>
      <c r="AY1" s="1485"/>
      <c r="AZ1" s="1486"/>
      <c r="BA1" s="1486"/>
    </row>
    <row r="2" spans="1:53" ht="9.9499999999999993" customHeight="1" thickTop="1">
      <c r="A2" s="1228">
        <f ca="1">TODAY()</f>
        <v>43771</v>
      </c>
      <c r="B2" s="434">
        <v>42908.093692129631</v>
      </c>
      <c r="C2" s="435">
        <f>[3]!L1.DATE</f>
        <v>43771</v>
      </c>
      <c r="D2" s="436">
        <f>[3]!L1.HEURE</f>
        <v>0.86458333333333337</v>
      </c>
      <c r="E2" s="437"/>
      <c r="F2" s="11" t="s">
        <v>1</v>
      </c>
      <c r="G2" s="2253" t="str">
        <f ca="1">UPPER(SUBSTITUTE(IF(TABLEAU!$P$55="#DEPASSE#",CONCATENATE("DEPASSE ",TABLEAU!$L$55,TABLEAU!$C$55,"#"),LUNDI.TV.1),"1ER ERREUR","1 ERREUR"))</f>
        <v>#DANS 2 JOURS (LUNDI 4 NOVEMBRE A 18H50 SUR TFX): [TELE-REALITE]#</v>
      </c>
      <c r="H2" s="2254"/>
      <c r="I2" s="12">
        <v>1</v>
      </c>
      <c r="J2" s="13" t="str">
        <f>UPPER("JANVIER")</f>
        <v>JANVIER</v>
      </c>
      <c r="K2" s="14" t="str">
        <f>UPPER("DIMANCHE")</f>
        <v>DIMANCHE</v>
      </c>
      <c r="L2" s="1814" t="str">
        <f ca="1">UPPER(SUBSTITUTE(SUBSTITUTE(SUBSTITUTE(SUBSTITUTE(CONCATENATE(TABLEAU!$B$21," ",TABLEAU!$B$22),"##","#"),"# #","# &amp; #")," #","# &amp; #"),"# &amp;# &amp; #","# &amp; #"))</f>
        <v>NOUS SOMMES LE SAMEDI 2 NOVEMBRE 2019 ET IL EST 13H00</v>
      </c>
      <c r="M2" s="2479"/>
      <c r="N2" s="2480"/>
      <c r="O2" s="2452" t="str">
        <f ca="1">UPPER(SUBSTITUTE(SUBSTITUTE(SUBSTITUTE(SUBSTITUTE(SUBSTITUTE(SUBSTITUTE(SUBSTITUTE(SUBSTITUTE(SUBSTITUTE(SUBSTITUTE(SUBSTITUTE(SUBSTITUTE(SUBSTITUTE(SUBSTITUTE(SUBSTITUTE(SUBSTITUTE(SUBSTITUTE(SUBSTITUTE(SUBSTITUTE(SUBSTITUTE(SUBSTITUTE(SUBSTITUTE(IF(TABLEAU!$K$3&lt;&gt;"LUNDI","#ERREUR DANS LES LUNDIS#",IF(DATE.COLLER.2&lt;&gt;A,ERREUR.DATE,SUBSTITUTE(SUBSTITUTE(SUBSTITUTE(SUBSTITUTE(CONCATENATE(JH,"                                                      ",MEDOC,ENVIE.DATE,PLUS,RESULT,TV,A.VERIFIER,"]"),"##","# &amp; #"),"# #","# &amp; #"),CONCATENATE(FERIE.4," &amp; ",FERIE.4),FERIE.4),"##","# &amp; #"))),CONCATENATE(" &amp; ",DANS.GP," (A ",HEURE.GP.VERIFIER,"): [FORMULE 1]#"),""),"&amp;#","&amp; #"),CONCATENATE(DANS.L1," (A ",HEURE.L1.VERIFIER,"): [NOUVELLE SAISON DE CHAMPIONNAT]# &amp; "),""),CONCATENATE(TABLEAU!$B$33," &amp; ",TABLEAU!$B$33),TABLEAU!$B$33),CONCATENATE("     ",RESULT," &amp; ",TABLEAU!$AL$48," &amp; "),"      "),"&amp;]",""),"]#]","]#"),TABLEAU!$AM$13,TABLEAU!$B$33),CONCATENATE(" ",YEAR(A)," A")," A"),CONCATENATE(" &amp;  ",TABLEAU!$O$33," &amp; #DANS")," &amp; #DANS"),"]#D","]# &amp; #D"),TABLEAU!$AZ$2,TABLEAU!$I$14),"##","# &amp; #"),CONCATENATE(TABLEAU!$B$34," &amp; ",TABLEAU!$B$33," &amp; ",TABLEAU!$B$34),CONCATENATE(TABLEAU!$B$34," &amp; ",TABLEAU!$B$33)),"#]","#"),CONCATENATE(TV.SUITE," &amp; ",VERIF),TV.SUITE),CONCATENATE(MODIF.2," &amp; ",MODIF.2),MODIF.2),"##","# &amp; #")," ]",""),"MEDOC","MEDICATENT(S)"),CONCATENATE(FICHIER.A.MODIFIER," (A DANS"),"DANS"),"# &amp; # &amp;",""))</f>
        <v>~SAMEDI 2 NOVEMBRE 2019 [13:00:00]~                                                      #DANS 3J= ''67H00'' ~ (5 NOV A 8H00): [COUPE OEUF]# &amp; #DANS 7H45 (A 20H45): [CHAMPIONNAT]# &amp; #DANS 7H40 (A 20H40 SUR AB1): [SMACKDOWN]#</v>
      </c>
      <c r="P2" s="2467" t="str">
        <f ca="1">UPPER(SUBSTITUTE(SUBSTITUTE(SUBSTITUTE(SUBSTITUTE(DATE.FINALE,TABAC,""),"~  &amp;","~"),"#]","#")," &amp;  &amp;"," &amp;"))</f>
        <v>~SAMEDI 2 NOVEMBRE 2019 [13:00:00]~ #DANS 3J= ''67H00'' ~ (5 NOV A 8H00): [COUPE OEUF]# &amp; #DANS 7H45 (A 20H45): [CHAMPIONNAT]# &amp; #DANS 7H40 (A 20H40 SUR AB1): [SMACKDOWN]#</v>
      </c>
      <c r="Q2" s="2468"/>
      <c r="R2" s="2468"/>
      <c r="S2" s="2468"/>
      <c r="T2" s="2468"/>
      <c r="U2" s="2468"/>
      <c r="V2" s="2469"/>
      <c r="W2" s="2440" t="str">
        <f ca="1">TABLEAU!$O$2</f>
        <v>~SAMEDI 2 NOVEMBRE 2019 [13:00:00]~                                                      #DANS 3J= ''67H00'' ~ (5 NOV A 8H00): [COUPE OEUF]# &amp; #DANS 7H45 (A 20H45): [CHAMPIONNAT]# &amp; #DANS 7H40 (A 20H40 SUR AB1): [SMACKDOWN]#</v>
      </c>
      <c r="X2" s="15"/>
      <c r="Y2" s="2442" t="str">
        <f ca="1">TABLEAU!$O$2</f>
        <v>~SAMEDI 2 NOVEMBRE 2019 [13:00:00]~                                                      #DANS 3J= ''67H00'' ~ (5 NOV A 8H00): [COUPE OEUF]# &amp; #DANS 7H45 (A 20H45): [CHAMPIONNAT]# &amp; #DANS 7H40 (A 20H40 SUR AB1): [SMACKDOWN]#</v>
      </c>
      <c r="Z2" s="2070"/>
      <c r="AA2" s="995" t="str">
        <f ca="1">UPPER(TABLEAU!$AA$4)</f>
        <v/>
      </c>
      <c r="AB2" s="2119" t="str">
        <f ca="1">UPPER(SUBSTITUTE(CONCATENATE(LOOKUP(WEEKDAY(A),SEMAINE)," ",DAY(A)," ",LOOKUP(MONTH(TODAY()),MOIS)," ")," 1 "," 1ER "))</f>
        <v xml:space="preserve">SAMEDI 2 NOVEMBRE </v>
      </c>
      <c r="AC2" s="2120"/>
      <c r="AD2" s="2321">
        <f ca="1">COUNTIF(TABLEAU!$B$49:'TABLEAU'!$B$53,"#DEPASSE#")</f>
        <v>0</v>
      </c>
      <c r="AE2" s="2116">
        <f ca="1">28-COUNTBLANK(TABLEAU!$P$55:'TABLEAU'!$P$82)-$AY$54</f>
        <v>0</v>
      </c>
      <c r="AF2" s="2104" t="str">
        <f ca="1">TRIM(SUBSTITUTE(SUBSTITUTE(TABLEAU!$O$2,")# &amp;",")                          "),")                           #",")# &amp; #"))</f>
        <v>~SAMEDI 2 NOVEMBRE 2019 [13:00:00]~ #DANS 3J= ''67H00'' ~ (5 NOV A 8H00): [COUPE OEUF]# &amp; #DANS 7H45 (A 20H45): [CHAMPIONNAT]# &amp; #DANS 7H40 (A 20H40 SUR AB1): [SMACKDOWN]#</v>
      </c>
      <c r="AG2" s="2105"/>
      <c r="AH2" s="2105"/>
      <c r="AI2" s="2106"/>
      <c r="AJ2" s="15"/>
      <c r="AK2" s="15"/>
      <c r="AL2" s="2081" t="str">
        <f ca="1">SUBSTITUTE(SUBSTITUTE(SUBSTITUTE(SUBSTITUTE(SUBSTITUTE(SUBSTITUTE(SUBSTITUTE(CONCATENATE(TABLEAU!$O$2,"ù"),"]~ ","]~                   "),"#   ","#           "),TABLEAU!$AL$132,""),"  &amp; ","")," &amp;ù","")," ù",""),"#ù","#")</f>
        <v>~SAMEDI 2 NOVEMBRE 2019 [13:00:00]~                                                                        #DANS 3J= ''67H00'' ~ (5 NOV A 8H00): [COUPE OEUF]# &amp; #DANS 7H45 (A 20H45): [CHAMPIONNAT]# &amp; #DANS 7H40 (A 20H40 SUR AB1): [SMACKDOWN]#</v>
      </c>
      <c r="AM2" s="2092" t="str">
        <f ca="1">UPPER(SUBSTITUTE(SUBSTITUTE(SUBSTITUTE(SUBSTITUTE(TRIM(SUBSTITUTE(EVE.DEPAS,"# #","# &amp; #")),"EVENEMENT ",""),"##","#"),"DEPASSE# DEPASSE","DEPASSE"),CONCATENATE(DATE.RDV.TV," A "),"A "))</f>
        <v/>
      </c>
      <c r="AN2" s="2134" t="str">
        <f ca="1">TRIM(IF(OR(TABLEAU!$L$33="#DEPASSE#",TABLEAU!$D$33&lt;0),CONCATENATE("#",TABLEAU!$A$33,": DEPASSE ",TABLEAU!$T$33,"#"),IF(TABLEAU!$D$33&gt;6,"",LOOKUP(WEEKDAY(A+TABLEAU!$D$33),CALENDRIER))))</f>
        <v>SAMEDI</v>
      </c>
      <c r="AO2" s="2135"/>
      <c r="AP2" s="2136"/>
      <c r="AQ2" s="2146" t="str">
        <f ca="1">TABLEAU!$M$10</f>
        <v>00</v>
      </c>
      <c r="AR2" s="2015" t="str">
        <f ca="1">TABLEAU!$B$33</f>
        <v>#DANS 7H45 (A 20H45): [CHAMPIONNAT]#</v>
      </c>
      <c r="AS2" s="2016"/>
      <c r="AT2" s="2016"/>
      <c r="AU2" s="2017"/>
      <c r="AV2" s="2490" t="str">
        <f ca="1">IF(SECOND(NOW())&gt;9,CONCATENATE(H.M,":",SECOND(NOW())),CONCATENATE(H.M,":0",SECOND(NOW())))</f>
        <v>13:00:00</v>
      </c>
      <c r="AW2" s="2491"/>
      <c r="AX2" s="2492"/>
      <c r="AY2" s="2487" t="str">
        <f ca="1">IF(A&gt;[4]!DATE.FIN.1,A-[4]!DATE.FIN.1,IF(AND(PROCHAIN.1=[4]!PROCHAIN,DIFFERENCE.1="DEPASSE"),MINU.1,IF(AND(PROCHAIN.2=[4]!PROCHAIN,DIFFERENCE.2="DEPASSE"),MINU.2,IF(AND(PROCHAIN.3=[4]!PROCHAIN,DIFFERENCE.3="DEPASSE"),MINU.3,IF(AND(PROCHAIN.4=[4]!PROCHAIN,DIFFERENCE.4="DEPASSE"),MINU.4,IF(AND(PROCHAIN.5=[4]!PROCHAIN,DIFFERENCE.5="DEPASSE"),MINU.5,""))))))</f>
        <v/>
      </c>
      <c r="AZ2" s="2485" t="str">
        <f ca="1">SUBSTITUTE(CONCATENATE(TABLEAU!$I$14," &amp; ",TABLEAU!$I$14),"] &amp;","]# &amp;")</f>
        <v xml:space="preserve"> &amp; </v>
      </c>
      <c r="BA2" s="2486"/>
    </row>
    <row r="3" spans="1:53" ht="9.9499999999999993" customHeight="1" thickBot="1">
      <c r="A3" s="1229">
        <v>43771</v>
      </c>
      <c r="B3" s="438">
        <v>42908.094942129632</v>
      </c>
      <c r="C3" s="439">
        <f>[1]!SDF</f>
        <v>43774</v>
      </c>
      <c r="D3" s="440" t="str">
        <f>[1]!LDC.HEURE</f>
        <v>18:55</v>
      </c>
      <c r="E3" s="441"/>
      <c r="F3" s="16" t="s">
        <v>1</v>
      </c>
      <c r="G3" s="2235" t="str">
        <f ca="1">UPPER(IF(TABLEAU!$P$56="#DEPASSE#",CONCATENATE("DEPASSE",TABLEAU!$L$56,TABLEAU!$C$56,"#"),LUNDI.TV.2))</f>
        <v>#DANS 2 JOURS (LUNDI 4 NOVEMBRE A 19H50 SUR W9): [LES MARSEILLAIS]#</v>
      </c>
      <c r="H3" s="2236"/>
      <c r="I3" s="804">
        <v>2</v>
      </c>
      <c r="J3" s="805" t="str">
        <f>UPPER("FEVRIER")</f>
        <v>FEVRIER</v>
      </c>
      <c r="K3" s="806" t="str">
        <f>UPPER("LUNDI")</f>
        <v>LUNDI</v>
      </c>
      <c r="L3" s="2481"/>
      <c r="M3" s="2482"/>
      <c r="N3" s="2082"/>
      <c r="O3" s="2453"/>
      <c r="P3" s="1680"/>
      <c r="Q3" s="1681"/>
      <c r="R3" s="1681"/>
      <c r="S3" s="1681"/>
      <c r="T3" s="1681"/>
      <c r="U3" s="1681"/>
      <c r="V3" s="1812"/>
      <c r="W3" s="2441"/>
      <c r="X3" s="15"/>
      <c r="Y3" s="2443"/>
      <c r="Z3" s="2071"/>
      <c r="AA3" s="996" t="str">
        <f ca="1">UPPER(TRIM(SUBSTITUTE(SUBSTITUTE(SUBSTITUTE(SUBSTITUTE(SUBSTITUTE(SUBSTITUTE(SUBSTITUTE(SUBSTITUTE(TABLEAU!$AF$143,"~ &gt;","~                                    #"),"&lt;#","&lt; &amp; #"),"##D","# &amp; #D"),CONCATENATE(LOOKUP(MONTH(A),MOIS)," (A"),CONCATENATE(LOOKUP(MONTH(A),MOIS)," A")),"~#","~                               #")," &amp; &amp; "," &amp; ")," &amp; &amp; "," &amp; ")," &amp; &amp; "," &amp; ")))</f>
        <v/>
      </c>
      <c r="AB3" s="2121" t="str">
        <f ca="1">UPPER(LOOKUP(WEEKDAY(B),SEMAINE))</f>
        <v>DIMANCHE</v>
      </c>
      <c r="AC3" s="2122"/>
      <c r="AD3" s="2322"/>
      <c r="AE3" s="2117"/>
      <c r="AF3" s="2107"/>
      <c r="AG3" s="2108"/>
      <c r="AH3" s="2108"/>
      <c r="AI3" s="2109"/>
      <c r="AJ3" s="15"/>
      <c r="AK3" s="15"/>
      <c r="AL3" s="2082"/>
      <c r="AM3" s="2093"/>
      <c r="AN3" s="732" t="str">
        <f ca="1">UPPER(SUBSTITUTE(IF(DATE.RDV.TV&lt;&gt;TABLEAU!$K$3,"",SUBSTITUTE(SUBSTITUTE(SUBSTITUTE(SUBSTITUTE(IF(OR(RDV.1.DATE=A,RDV.1.DATE=B),SUBSTITUTE(TABLEAU!$B$49,CONCATENATE("DEMAIN (",LOOKUP(WEEKDAY(B),SEMAINE)," ",DAY(B)," ",LOOKUP(MONTH(B),MOIS)," ",YEAR(B)," "),"CETTE NUIT ("),""),"] &amp; #","]# &amp; #"),"CETTE NUIT (A 13H21): [KINE]# &amp; ",""),"##","#"),"#CETTE NUIT (A 13H21): [KINE]#",TABLEAU!$B$49)),"DANS 0","DANS "))</f>
        <v/>
      </c>
      <c r="AO3" s="1016"/>
      <c r="AP3" s="1014" t="str">
        <f ca="1">IF(9-COUNTIF(TABLEAU!$AP$5:'TABLEAU'!$AP$13,"OK")&lt;&gt;0,"#ERREUR HORAIRE#","")</f>
        <v/>
      </c>
      <c r="AQ3" s="2147"/>
      <c r="AR3" s="2018"/>
      <c r="AS3" s="2019"/>
      <c r="AT3" s="2019"/>
      <c r="AU3" s="2020"/>
      <c r="AV3" s="2490"/>
      <c r="AW3" s="2491"/>
      <c r="AX3" s="2492"/>
      <c r="AY3" s="2488"/>
      <c r="AZ3" s="2485"/>
      <c r="BA3" s="2486"/>
    </row>
    <row r="4" spans="1:53" ht="9.9499999999999993" customHeight="1" thickBot="1">
      <c r="A4" s="1230"/>
      <c r="B4" s="442" t="str">
        <f ca="1">UPPER(SUBSTITUTE(SUBSTITUTE(SUBSTITUTE(SUBSTITUTE(SUBSTITUTE(SUBSTITUTE(SUBSTITUTE(SUBSTITUTE(SUBSTITUTE(TABLEAU!$AA$2,"# #EVENEMENT #","#EVENEMENT DEPASSE "),CONCATENATE("(",NBA," "),"("),"): DANS MIN","):"),"# #","# &amp; #"),"#DEPUIS","#DEPASSE DEPUIS"),"##","# &amp; #"),"MIN A ","MIN (A ")," A "," (A "),CONCATENATE(LOOKUP(WEEKDAY(B),SEMAINE)," (A"),CONCATENATE(LOOKUP(WEEKDAY(B),SEMAINE)," A")))</f>
        <v/>
      </c>
      <c r="C4" s="439">
        <f>[5]!UEFA.DATE</f>
        <v>43895</v>
      </c>
      <c r="D4" s="440">
        <f>[5]!UEFA.HEURE</f>
        <v>0.78819444444444453</v>
      </c>
      <c r="E4" s="441"/>
      <c r="F4" s="16" t="s">
        <v>1</v>
      </c>
      <c r="G4" s="2235" t="str">
        <f ca="1">UPPER(IF(TABLEAU!$P$57="#DEPASSE#",CONCATENATE("DEPASSE",TABLEAU!$L$57,TABLEAU!$C$57,"#"),LUNDI.TV.3))</f>
        <v>#DANS 2 JOURS (LUNDI 4 NOVEMBRE A 23H00 SUR TF1): [NEW YORK UNITE SPECIALE]#</v>
      </c>
      <c r="H4" s="2236"/>
      <c r="I4" s="17">
        <v>3</v>
      </c>
      <c r="J4" s="18" t="str">
        <f>UPPER("MARS")</f>
        <v>MARS</v>
      </c>
      <c r="K4" s="19" t="str">
        <f>UPPER("MARDI")</f>
        <v>MARDI</v>
      </c>
      <c r="L4" s="2481"/>
      <c r="M4" s="2482"/>
      <c r="N4" s="2082"/>
      <c r="O4" s="2453"/>
      <c r="P4" s="1680"/>
      <c r="Q4" s="1681"/>
      <c r="R4" s="1681"/>
      <c r="S4" s="1681"/>
      <c r="T4" s="1681"/>
      <c r="U4" s="1681"/>
      <c r="V4" s="1812"/>
      <c r="W4" s="2441"/>
      <c r="X4" s="15"/>
      <c r="Y4" s="2443"/>
      <c r="Z4" s="2071"/>
      <c r="AA4" s="997" t="str">
        <f ca="1">SUBSTITUTE(TABLEAU!$AA$3,CONCATENATE(YEAR(A)," (A"),CONCATENATE(YEAR(A)," A"))</f>
        <v/>
      </c>
      <c r="AB4" s="2123" t="str">
        <f ca="1">UPPER(SUBSTITUTE(CONCATENATE(LOOKUP(WEEKDAY(A),SEMAINE)," ",DAY(A)," ",LOOKUP(MONTH(A),MOIS)," ")," 1 "," 1ER "))</f>
        <v xml:space="preserve">SAMEDI 2 NOVEMBRE </v>
      </c>
      <c r="AC4" s="2124"/>
      <c r="AD4" s="2322"/>
      <c r="AE4" s="2117"/>
      <c r="AF4" s="2107"/>
      <c r="AG4" s="2108"/>
      <c r="AH4" s="2108"/>
      <c r="AI4" s="2109"/>
      <c r="AJ4" s="15"/>
      <c r="AK4" s="15"/>
      <c r="AL4" s="2082"/>
      <c r="AM4" s="2094"/>
      <c r="AN4" s="733" t="str">
        <f ca="1">UPPER(SUBSTITUTE(SUBSTITUTE(CONCATENATE(TABLEAU!$AE$2," PROG "),"{0 PROG}= ",""),"{-1 PROG}= ",""))</f>
        <v xml:space="preserve">0 PROG </v>
      </c>
      <c r="AO4" s="1017"/>
      <c r="AP4" s="1015"/>
      <c r="AQ4" s="2148"/>
      <c r="AR4" s="2018"/>
      <c r="AS4" s="2019"/>
      <c r="AT4" s="2019"/>
      <c r="AU4" s="2020"/>
      <c r="AV4" s="2493"/>
      <c r="AW4" s="2494"/>
      <c r="AX4" s="2495"/>
      <c r="AY4" s="2489"/>
      <c r="AZ4" s="2485"/>
      <c r="BA4" s="2486"/>
    </row>
    <row r="5" spans="1:53" ht="9.9499999999999993" customHeight="1" thickBot="1">
      <c r="A5" s="1230"/>
      <c r="B5" s="443"/>
      <c r="C5" s="439">
        <f>[6]!FRANCE.DATE</f>
        <v>43865</v>
      </c>
      <c r="D5" s="440">
        <f>[6]!FRANCE.HEURE</f>
        <v>0.83333333333333337</v>
      </c>
      <c r="E5" s="441"/>
      <c r="F5" s="16" t="s">
        <v>1</v>
      </c>
      <c r="G5" s="2235" t="str">
        <f ca="1">UPPER(IF(TABLEAU!$P$58="#DEPASSE#",CONCATENATE("DEPASSE",TABLEAU!$L$58,TABLEAU!$C$58,"#"),LUNDI.TV.4))</f>
        <v/>
      </c>
      <c r="H5" s="2236"/>
      <c r="I5" s="804">
        <v>4</v>
      </c>
      <c r="J5" s="805" t="str">
        <f>UPPER("AVRIL")</f>
        <v>AVRIL</v>
      </c>
      <c r="K5" s="806" t="str">
        <f>UPPER("MERCREDI")</f>
        <v>MERCREDI</v>
      </c>
      <c r="L5" s="2481"/>
      <c r="M5" s="2482"/>
      <c r="N5" s="2082"/>
      <c r="O5" s="2453"/>
      <c r="P5" s="1680"/>
      <c r="Q5" s="1681"/>
      <c r="R5" s="1681"/>
      <c r="S5" s="1681"/>
      <c r="T5" s="1681"/>
      <c r="U5" s="1681"/>
      <c r="V5" s="1812"/>
      <c r="W5" s="2441"/>
      <c r="X5" s="15"/>
      <c r="Y5" s="2443"/>
      <c r="Z5" s="2071"/>
      <c r="AA5" s="998" t="str">
        <f ca="1">UPPER(SUBSTITUTE(TABLEAU!$A$16,"15 16",""))</f>
        <v>OUVRIR CHAMPIONNAT</v>
      </c>
      <c r="AB5" s="2121" t="str">
        <f ca="1">TRIM(SUBSTITUTE(IF(DAY(TODAY())=1,CONCATENATE(LOOKUP(WEEKDAY(TODAY()),SEMAINE)," 1ER ",LOOKUP(MONTH(TODAY()),MOIS)," ",YEAR(TODAY())),CONCATENATE(LOOKUP(WEEKDAY(TODAY()),SEMAINE)," ",DAY(TODAY())," ",LOOKUP(MONTH(TODAY()),MOIS)," ",YEAR(TODAY())))," 1 "," 1ER "))</f>
        <v>SAMEDI 2 NOVEMBRE 2019</v>
      </c>
      <c r="AC5" s="2122"/>
      <c r="AD5" s="2322"/>
      <c r="AE5" s="2117"/>
      <c r="AF5" s="2107"/>
      <c r="AG5" s="2108"/>
      <c r="AH5" s="2108"/>
      <c r="AI5" s="2109"/>
      <c r="AJ5" s="15"/>
      <c r="AK5" s="15"/>
      <c r="AL5" s="2082"/>
      <c r="AM5" s="2097" t="str">
        <f ca="1">SUBSTITUTE(CVB," 1ER "," 1 ")</f>
        <v xml:space="preserve">SAMEDI 2 NOVEMBRE </v>
      </c>
      <c r="AN5" s="1012" t="str">
        <f>UPPER("LIGUE 1")</f>
        <v>LIGUE 1</v>
      </c>
      <c r="AO5" s="1009" t="str">
        <f>CONCATENATE(DAY(JOUR.L1),"/",MONTH(JOUR.L1),"/",YEAR(JOUR.L1)," ",TEXT(HEURE.L1,"[H]:MM"))</f>
        <v>2/11/2019 20:45</v>
      </c>
      <c r="AP5" s="1010" t="str">
        <f ca="1">UPPER(IF(DIF.L1="#DEPASSE#","OK",IF(INT(TABLEAU!$AT5)=0,"OK",IF(DIF.L1="","OK",IF(SUBSTITUTE(SUBSTITUTE(SUBSTITUTE(TABLEAU!$AR5,"''",""),"H",","),".","")&lt;&gt;TABLEAU!$AT5,"FAUX","OK")))))</f>
        <v>OK</v>
      </c>
      <c r="AQ5" s="758" t="str">
        <f ca="1">IF(DANS.DEP.L1&lt;&gt;"","#DEPASSE#",IF(DATE.L1&lt;0,"#DEPASSE#",IF(DATE.L1=0,"AUJOURD'HUI",IF(DATE.L1=1,"DEMAIN",IF(DATE.L1&gt;1,CONCATENATE(DATE.L1," JOURS"))))))</f>
        <v>AUJOURD'HUI</v>
      </c>
      <c r="AR5" s="759" t="str">
        <f ca="1">IF(DANS.DEP.L1&lt;&gt;"","#DEPASSE#",SUBSTITUTE(IF(DATE.L1&lt;0,"#DEPASSE#",IF(OR(TABLEAU!$AU5=0,TABLEAU!$AU5&lt;0),CONCATENATE("''",SUBSTITUTE(TABLEAU!$AT5,",","H"),"''"),IF(AND(TABLEAU!$AS5="",TABLEAU!$AU5=""),CONCATENATE("''",SUBSTITUTE(TABLEAU!$AT5,",","H"),"''"),SUBSTITUTE(SUBSTITUTE(SUBSTITUTE(SUBSTITUTE(SUBSTITUTE(SUBSTITUTE(SUBSTITUTE(SUBSTITUTE(SUBSTITUTE(SUBSTITUTE(SUBSTITUTE(SUBSTITUTE(SUBSTITUTE(SUBSTITUTE(SUBSTITUTE(IF(AND(TABLEAU!$AV5=0,TABLEAU!$AW5&lt;&gt;0),CONCATENATE(SUBSTITUTE(TABLEAU!$AW5,"H","")," MIN"),SUBSTITUTE(IF(TABLEAU!$AV5&lt;1,CONCATENATE(SUBSTITUTE(TABLEAU!$AW5,"H0","")," MIN"),SUBSTITUTE(SUBSTITUTE(SUBSTITUTE(SUBSTITUTE(SUBSTITUTE(SUBSTITUTE(SUBSTITUTE(IF(AND(TABLEAU!$AS5&lt;&gt;"",TABLEAU!$AU5&lt;&gt;"",TABLEAU!$AU5=10),CONCATENATE("''",TABLEAU!$AV5,"''"),IF(AND(TABLEAU!$AS5&lt;&gt;"",TABLEAU!$AU5&lt;&gt;"",TABLEAU!$AU5&lt;10),CONCATENATE("''",TABLEAU!$AS5,".00",ROUND(TABLEAU!$AU5,2),"''"),IF(AND(TABLEAU!$AS5="",TABLEAU!$AV5&lt;100),CONCATENATE("''",TABLEAU!$AT5,"''"),IF(AND(TABLEAU!$AS5="",TABLEAU!$AT5=""),"",IF(AND(TABLEAU!$AS5="",TABLEAU!$AT5&lt;&gt;""),CONCATENATE("''",TABLEAU!$AT5,"''"),IF(AND(TABLEAU!$AS5&lt;&gt;"",TABLEAU!$AU5&lt;&gt;"",TABLEAU!$AU5&gt;99.99),CONCATENATE("''",TABLEAU!$AS5,".",ROUND(TABLEAU!$AU5,2),"''"),IF(AND(TABLEAU!$AS5&lt;&gt;"",TABLEAU!$AU5&lt;&gt;"",TABLEAU!$AU5&lt;100),CONCATENATE("''",TABLEAU!$AS5,".0",ROUND(TABLEAU!$AU5,2),"''")))))))),",","H"),"H1''","H10''"),"H2''","H20''"),"H3''","H30''"),"H4''","H40''"),"H5''","H50''"),CONCATENATE("''",TABLEAU!$AV5,"''"),CONCATENATE("''",TABLEAU!$AV5,"H00''"))),",00H00","H00")),"''","H00''"),"H00''1","''1"),"H00''2","''2"),"H00''3","''3"),"H00''4","''4"),"H00''5","''5"),"H00''6","''6"),"H00''7","''7"),"H00''8","''8"),"H00''9","''9"),SUBSTITUTE(CONCATENATE(TABLEAU!$AX5,"H00")," ",""),TABLEAU!$AX5)," ''","''"),CONCATENATE(TABLEAU!$AV5,"''"),CONCATENATE(TABLEAU!$AV5,TABLEAU!$AW5,"''")),CONCATENATE(TRIM(TABLEAU!$AW5),"0",TRIM(TABLEAU!$AX5),"''"),CONCATENATE(TABLEAU!$AW5,"0''")),CONCATENATE(TABLEAU!$AW5," ",TABLEAU!$AW5),TABLEAU!$AW5)))),CONCATENATE(TABLEAU!$AW5,"0H00"),CONCATENATE(TABLEAU!$AW5,"0")))</f>
        <v>''7H45''</v>
      </c>
      <c r="AS5" s="1246" t="str">
        <f ca="1">IF(DANS.DEP.L1&lt;&gt;"","#DEPASSE#",IF(DATE.L1&lt;0,"#DEPASSE#",IF(INT(CONCATENATE(TEXT(TABLEAU!$AO5-NOW()+"0:01","[H],MM"))/1000)=0,"",INT(CONCATENATE(TEXT(TABLEAU!$AO5-NOW()+"0:01","[H],MM"))/1000))))</f>
        <v/>
      </c>
      <c r="AT5" s="1009" t="str">
        <f ca="1">IF(DANS.DEP.L1&lt;&gt;"","#DEPASSE#",IF(DATE.L1&lt;0,"#DEPASSE#",IF(TABLEAU!$M$10="00",CONCATENATE(SUBSTITUTE(TEXT(TABLEAU!$AO5+-NOW()+"0:00:01","[H]:MM"),":",",")),IF(AND(JOUR.L1=A,HOUR(HEURE.L1)=HOUR(HEURE.MAINTENANT),MINUTE(HEURE.L1)=MINUTE(HEURE.MAINTENANT)),"0",CONCATENATE(SUBSTITUTE(TEXT(TABLEAU!$AO5+"0:01:00"-NOW(),"[H]:MM"),":",","))))))</f>
        <v>7,45</v>
      </c>
      <c r="AU5" s="1247" t="str">
        <f ca="1">IF(DANS.DEP.L1&lt;&gt;"","#DEPASSE#",IF(DATE.L1&lt;0,"#DEPASSE#",IF(TABLEAU!$AS5="","",TABLEAU!$AT5-(TABLEAU!$AS5*1000))))</f>
        <v/>
      </c>
      <c r="AV5" s="770">
        <f ca="1">IF(DANS.DEP.L1&lt;&gt;"","#DEPASSE#",IF(DATE.L1&lt;0,"#DEPASSE#",IF(AND(TABLEAU!$AS5&lt;&gt;"",TABLEAU!$AU5&lt;100),CONCATENATE(TABLEAU!$AS5,".0",ROUND(TABLEAU!$AU5,0)),IF(AND(TABLEAU!$AS5&lt;&gt;"",TABLEAU!$AU5&lt;1000),CONCATENATE(TABLEAU!$AS5,".",ROUND(TABLEAU!$AU5,0)),ROUND(TABLEAU!$AT5,0)))))</f>
        <v>7</v>
      </c>
      <c r="AW5" s="987" t="str">
        <f ca="1">IF(DANS.DEP.L1&lt;&gt;"","#DEPASSE#",IF(DATE.L1&lt;0,"#DEPASSE#",SUBSTITUTE(SUBSTITUTE(SUBSTITUTE(SUBSTITUTE(SUBSTITUTE(SUBSTITUTE(SUBSTITUTE(SUBSTITUTE(SUBSTITUTE(SUBSTITUTE(IF(TABLEAU!$AU5&lt;10,ROUND(TABLEAU!$AU5,2),IF(ROUND(TABLEAU!$AV5-TABLEAU!$AT5,2)=0,"H00",SUBSTITUTE(SUBSTITUTE(SUBSTITUTE(ROUND(TABLEAU!$AV5-TABLEAU!$AT5,2),"-",""),",","H"),"0H","H"))),"0,","H"),"1,","H"),"2,","H"),"3,","H"),"4,","H"),"5,","H"),"6,","H"),"7,","H"),"8,","H"),"9,","H")))</f>
        <v>H45</v>
      </c>
      <c r="AX5" s="768" t="str">
        <f ca="1">IF(DANS.DEP.L1&lt;&gt;"","#DEPASSE#",IF(DATE.L1&lt;0,"#DEPASSE#",IF(TABLEAU!$AU$5="","",IF(TABLEAU!$AU5="#DEPASSE#",TABLEAU!$AU$5,SUBSTITUTE(SUBSTITUTE(SUBSTITUTE(SUBSTITUTE(SUBSTITUTE(SUBSTITUTE(SUBSTITUTE(SUBSTITUTE(CONCATENATE("H",ROUND(TABLEAU!$AU$5-INT(TABLEAU!$AU$5),2)," "),"HH","H"),"0,",""),"H0 ","H00 "),"H1 ","H10 "),"H2 ","H20 "),"H3 ","H30 "),"H4 ","H40 "),"H5 ","H50 ")))))</f>
        <v/>
      </c>
      <c r="AY5" s="1075">
        <f ca="1">IF(TABLEAU!$AQ$5&lt;&gt;"AUJOURD'HUI","",SUM(TABLEAU!$AV5))</f>
        <v>7</v>
      </c>
      <c r="AZ5" s="1533" t="str">
        <f ca="1">SUBSTITUTE(SUBSTITUTE(SUBSTITUTE(TABLEAU!$AX$5," ","]"),"H",""),"0]","")</f>
        <v/>
      </c>
      <c r="BA5" s="1534" t="str">
        <f ca="1">IF(LEN(TABLEAU!$AZ$5)=3,SUBSTITUTE(TABLEAU!$AZ$5,"]",""),TABLEAU!$AZ$5)</f>
        <v/>
      </c>
    </row>
    <row r="6" spans="1:53" ht="9.9499999999999993" customHeight="1">
      <c r="A6" s="1231" t="str">
        <f ca="1">UPPER(SUBSTITUTE(SUBSTITUTE(SUBSTITUTE(SUBSTITUTE(SUBSTITUTE(SUBSTITUTE(SUBSTITUTE(TABLEAU!$Z$1,"&lt; &amp; &gt;DANS"," &amp; DANS"),"&lt; &amp; &gt;DEPUIS"," &amp; DEPUIS"),"MAINTENANT MAINTENANT","MAINTENANT"),": :",":"),"MAINTENANT DANS MIN","MAINTENANT"),"] (","] &amp; ("),CONCATENATE("DEMAIN (",LOOKUP(WEEKDAY(B),SEMAINE)," ("),CONCATENATE("DEMAIN (",LOOKUP(WEEKDAY(B),SEMAINE)," ")))</f>
        <v/>
      </c>
      <c r="B6" s="444"/>
      <c r="C6" s="445">
        <f>[7]!LIGUE.DATE</f>
        <v>43816</v>
      </c>
      <c r="D6" s="440" t="str">
        <f>[7]!LIGUE.HEURE</f>
        <v>21:00</v>
      </c>
      <c r="E6" s="441"/>
      <c r="F6" s="16" t="s">
        <v>1</v>
      </c>
      <c r="G6" s="2235" t="str">
        <f ca="1">UPPER(SUBSTITUTE(SUBSTITUTE(IF(TABLEAU!$P$59="#DEPASSE#",CONCATENATE("DEPASSE",TABLEAU!$L$59,TABLEAU!$C$59,"#"),MARDI.TV.1),"MIN A ","MIN (A ")," A "," (A "))</f>
        <v>#DANS 3 JOURS (MARDI 5 NOVEMBRE (A 18H50 SUR TFX): [TELE-REALITE]#</v>
      </c>
      <c r="H6" s="2236"/>
      <c r="I6" s="17">
        <v>5</v>
      </c>
      <c r="J6" s="18" t="str">
        <f>UPPER("MAI")</f>
        <v>MAI</v>
      </c>
      <c r="K6" s="19" t="str">
        <f>UPPER("JEUDI")</f>
        <v>JEUDI</v>
      </c>
      <c r="L6" s="2481"/>
      <c r="M6" s="2482"/>
      <c r="N6" s="2082"/>
      <c r="O6" s="2453"/>
      <c r="P6" s="1680"/>
      <c r="Q6" s="1681"/>
      <c r="R6" s="1681"/>
      <c r="S6" s="1681"/>
      <c r="T6" s="1681"/>
      <c r="U6" s="1681"/>
      <c r="V6" s="1812"/>
      <c r="W6" s="2441"/>
      <c r="X6" s="15"/>
      <c r="Y6" s="2443"/>
      <c r="Z6" s="2071"/>
      <c r="AA6" s="20" t="str">
        <f ca="1">IF(DATE.RDV.TV=TABLEAU!$K$3,TABLEAU!$M$55,IF(DATE.RDV.TV="MARDI",TABLEAU!$M$59,IF(DATE.RDV.TV="MERCREDI",TABLEAU!$M$63,IF(DATE.RDV.TV="JEUDI",TABLEAU!$M$67,IF(DATE.RDV.TV="VENDREDI",TABLEAU!$M$71,IF(DATE.RDV.TV="SAMEDI",TABLEAU!$M$75,IF(DATE.RDV.TV="DIMANCHE",TABLEAU!$M$79)))))))</f>
        <v/>
      </c>
      <c r="AB6" s="2123" t="str">
        <f ca="1">TRIM(SUBSTITUTE(IF(DAY(TODAY())=1,CONCATENATE(LOOKUP(WEEKDAY(TODAY()),SEMAINE)," 1ER ",LOOKUP(MONTH(TODAY()),MOIS)),CONCATENATE(LOOKUP(WEEKDAY(TODAY()),SEMAINE)," ",DAY(TODAY())," ",LOOKUP(MONTH(TODAY()),MOIS)))," 1 "," 1ER "))</f>
        <v>SAMEDI 2 NOVEMBRE</v>
      </c>
      <c r="AC6" s="2124"/>
      <c r="AD6" s="2322"/>
      <c r="AE6" s="2117"/>
      <c r="AF6" s="2107"/>
      <c r="AG6" s="2108"/>
      <c r="AH6" s="2108"/>
      <c r="AI6" s="2109"/>
      <c r="AJ6" s="15"/>
      <c r="AK6" s="15"/>
      <c r="AL6" s="2082"/>
      <c r="AM6" s="2098"/>
      <c r="AN6" s="1252" t="str">
        <f>UPPER("LDC")</f>
        <v>LDC</v>
      </c>
      <c r="AO6" s="1253" t="str">
        <f>CONCATENATE(DAY(JOUR.LDC),"/",MONTH(JOUR.LDC),"/",YEAR(JOUR.LDC)," ",TEXT(HEURE.LDC,"[H]:MM"))</f>
        <v>5/11/2019 18:55</v>
      </c>
      <c r="AP6" s="1254" t="str">
        <f ca="1">UPPER(IF(DIF.LDC="#DEPASSE#","OK",IF(INT(TABLEAU!$AT6)=0,"OK",IF(DIF.LDC="","OK",IF(SUBSTITUTE(SUBSTITUTE(SUBSTITUTE(TABLEAU!$AR6,"''",""),"H",","),".","")&lt;&gt;TABLEAU!$AT6,"FAUX","OK")))))</f>
        <v>OK</v>
      </c>
      <c r="AQ6" s="1255" t="str">
        <f ca="1">IF(DANS.DEP.LDC&lt;&gt;"","#DEPASSE#",IF(DATE.LDC&lt;0,"#DEPASSE#",IF(DATE.LDC=0,"AUJOURD'HUI",IF(DATE.LDC=1,"DEMAIN",IF(DATE.LDC&gt;1,CONCATENATE(DATE.LDC," JOURS"))))))</f>
        <v>3 JOURS</v>
      </c>
      <c r="AR6" s="1256" t="str">
        <f ca="1">IF(DANS.DEP.LDC&lt;&gt;"","#DEPASSE#",SUBSTITUTE(IF(DATE.LDC&lt;0,"#DEPASSE#",IF(OR(TABLEAU!$AU6=0,TABLEAU!$AU6&lt;0),CONCATENATE("''",SUBSTITUTE(TABLEAU!$AT6,",","H"),"''"),IF(AND(TABLEAU!$AS6="",TABLEAU!$AU6=""),CONCATENATE("''",SUBSTITUTE(TABLEAU!$AT6,",","H"),"''"),SUBSTITUTE(SUBSTITUTE(SUBSTITUTE(SUBSTITUTE(SUBSTITUTE(SUBSTITUTE(SUBSTITUTE(SUBSTITUTE(SUBSTITUTE(SUBSTITUTE(SUBSTITUTE(SUBSTITUTE(SUBSTITUTE(SUBSTITUTE(SUBSTITUTE(IF(AND(TABLEAU!$AV6=0,TABLEAU!$AW6&lt;&gt;0),CONCATENATE(SUBSTITUTE(TABLEAU!$AW6,"H","")," MIN"),SUBSTITUTE(IF(TABLEAU!$AV6&lt;1,CONCATENATE(SUBSTITUTE(TABLEAU!$AW6,"H0","")," MIN"),SUBSTITUTE(SUBSTITUTE(SUBSTITUTE(SUBSTITUTE(SUBSTITUTE(SUBSTITUTE(SUBSTITUTE(IF(AND(TABLEAU!$AS6&lt;&gt;"",TABLEAU!$AU6&lt;&gt;"",TABLEAU!$AU6=10),CONCATENATE("''",TABLEAU!$AV6,"''"),IF(AND(TABLEAU!$AS6&lt;&gt;"",TABLEAU!$AU6&lt;&gt;"",TABLEAU!$AU6&lt;10),CONCATENATE("''",TABLEAU!$AS6,".00",ROUND(TABLEAU!$AU6,2),"''"),IF(AND(TABLEAU!$AS6="",TABLEAU!$AV6&lt;100),CONCATENATE("''",TABLEAU!$AT6,"''"),IF(AND(TABLEAU!$AS6="",TABLEAU!$AT6=""),"",IF(AND(TABLEAU!$AS6="",TABLEAU!$AT6&lt;&gt;""),CONCATENATE("''",TABLEAU!$AT6,"''"),IF(AND(TABLEAU!$AS6&lt;&gt;"",TABLEAU!$AU6&lt;&gt;"",TABLEAU!$AU6&gt;99.99),CONCATENATE("''",TABLEAU!$AS6,".",ROUND(TABLEAU!$AU6,2),"''"),IF(AND(TABLEAU!$AS6&lt;&gt;"",TABLEAU!$AU6&lt;&gt;"",TABLEAU!$AU6&lt;100),CONCATENATE("''",TABLEAU!$AS6,".0",ROUND(TABLEAU!$AU6,2),"''")))))))),",","H"),"H1''","H10''"),"H2''","H20''"),"H3''","H30''"),"H4''","H40''"),"H5''","H50''"),CONCATENATE("''",TABLEAU!$AV6,"''"),CONCATENATE("''",TABLEAU!$AV6,"H00''"))),",00H00","H00")),"''","H00''"),"H00''1","''1"),"H00''2","''2"),"H00''3","''3"),"H00''4","''4"),"H00''5","''5"),"H00''6","''6"),"H00''7","''7"),"H00''8","''8"),"H00''9","''9"),SUBSTITUTE(CONCATENATE(TABLEAU!$AX6,"H00")," ",""),TABLEAU!$AX6)," ''","''"),CONCATENATE(TABLEAU!$AV6,"''"),CONCATENATE(TABLEAU!$AV6,TABLEAU!$AW6,"''")),CONCATENATE(TRIM(TABLEAU!$AW6),"0",TRIM(TABLEAU!$AX6),"''"),CONCATENATE(TABLEAU!$AW6,"0''")),CONCATENATE(TABLEAU!$AW6," ",TABLEAU!$AW6),TABLEAU!$AW6)))),CONCATENATE(TABLEAU!$AW6,"0H00"),CONCATENATE(TABLEAU!$AW6,"0")))</f>
        <v>''77H55''</v>
      </c>
      <c r="AS6" s="1257" t="str">
        <f ca="1">IF(DANS.DEP.LDC&lt;&gt;"","#DEPASSE#",IF(DATE.LDC&lt;0,"#DEPASSE#",IF(INT(CONCATENATE(TEXT(TABLEAU!$AO6-NOW()+"0:01","[H],MM"))/1000)=0,"",INT(CONCATENATE(TEXT(TABLEAU!$AO6-NOW()+"0:01","[H],MM"))/1000))))</f>
        <v/>
      </c>
      <c r="AT6" s="1253" t="str">
        <f ca="1">IF(DANS.DEP.LDC&lt;&gt;"","#DEPASSE#",IF(DATE.LDC&lt;0,"#DEPASSE#",IF(TABLEAU!$M$10="00",CONCATENATE(SUBSTITUTE(TEXT(TABLEAU!$AO6+-NOW()+"0:00:01","[H]:MM"),":",",")),IF(AND(JOUR.LDC=A,HOUR(HEURE.LDC)=HOUR(HEURE.MAINTENANT),MINUTE(HEURE.LDC)=MINUTE(HEURE.MAINTENANT)),"0",CONCATENATE(SUBSTITUTE(TEXT(TABLEAU!$AO6+"0:01:00"-NOW(),"[H]:MM"),":",","))))))</f>
        <v>77,55</v>
      </c>
      <c r="AU6" s="1258" t="str">
        <f ca="1">IF(DANS.DEP.LDC&lt;&gt;"","#DEPASSE#",IF(DATE.LDC&lt;0,"#DEPASSE#",IF(TABLEAU!$AS6="","",TABLEAU!$AT6-(TABLEAU!$AS6*1000))))</f>
        <v/>
      </c>
      <c r="AV6" s="1259">
        <f ca="1">IF(DANS.DEP.LDC&lt;&gt;"","#DEPASSE#",IF(DATE.LDC&lt;0,"#DEPASSE#",IF(AND(TABLEAU!$AS6&lt;&gt;"",TABLEAU!$AU6&lt;100),CONCATENATE(TABLEAU!$AS6,".0",ROUND(TABLEAU!$AU6,0)),IF(AND(TABLEAU!$AS6&lt;&gt;"",TABLEAU!$AU6&lt;1000),CONCATENATE(TABLEAU!$AS6,".",ROUND(TABLEAU!$AU6,0)),ROUND(TABLEAU!$AT6,0)))))</f>
        <v>78</v>
      </c>
      <c r="AW6" s="1260" t="str">
        <f ca="1">IF(DANS.DEP.LDC&lt;&gt;"","#DEPASSE#",IF(DATE.LDC&lt;0,"#DEPASSE#",SUBSTITUTE(SUBSTITUTE(SUBSTITUTE(SUBSTITUTE(SUBSTITUTE(SUBSTITUTE(SUBSTITUTE(SUBSTITUTE(SUBSTITUTE(SUBSTITUTE(IF(TABLEAU!$AU6&lt;10,ROUND(TABLEAU!$AU6,2),IF(ROUND(TABLEAU!$AV6-TABLEAU!$AT6,2)=0,"H00",SUBSTITUTE(SUBSTITUTE(SUBSTITUTE(ROUND(TABLEAU!$AV6-TABLEAU!$AT6,2),"-",""),",","H"),"0H","H"))),"0,","H"),"1,","H"),"2,","H"),"3,","H"),"4,","H"),"5,","H"),"6,","H"),"7,","H"),"8,","H"),"9,","H")))</f>
        <v>H45</v>
      </c>
      <c r="AX6" s="1261" t="str">
        <f ca="1">IF(DANS.DEP.LDC&lt;&gt;"","#DEPASSE#",IF(DATE.LDC&lt;0,"#DEPASSE#",IF(TABLEAU!$AU$6="","",IF(TABLEAU!$AU$6="#DEPASSE#",TABLEAU!$AU$6,SUBSTITUTE(SUBSTITUTE(SUBSTITUTE(SUBSTITUTE(SUBSTITUTE(SUBSTITUTE(SUBSTITUTE(SUBSTITUTE(CONCATENATE("H",ROUND(TABLEAU!$AU$6-INT(TABLEAU!$AU$6),2)," "),"HH","H"),"0,",""),"H0 ","H00 "),"H1 ","H10 "),"H2 ","H20 "),"H3 ","H30 "),"H4 ","H40 "),"H5 ","H50 ")))))</f>
        <v/>
      </c>
      <c r="AY6" s="1248" t="str">
        <f ca="1">IF(TABLEAU!$AQ$6&lt;&gt;"AUJOURD'HUI","",SUM(TABLEAU!$AV6))</f>
        <v/>
      </c>
      <c r="AZ6" s="1533" t="str">
        <f ca="1">SUBSTITUTE(SUBSTITUTE(SUBSTITUTE(TABLEAU!$AX$6," ","]"),"H",""),"0]","")</f>
        <v/>
      </c>
      <c r="BA6" s="1534" t="str">
        <f ca="1">IF(LEN(TABLEAU!$AZ$6)=3,SUBSTITUTE(TABLEAU!$AZ$6,"]",""),TABLEAU!$AZ$6)</f>
        <v/>
      </c>
    </row>
    <row r="7" spans="1:53" ht="9.9499999999999993" customHeight="1">
      <c r="A7" s="1232" t="str">
        <f ca="1">UPPER(SUBSTITUTE(SUBSTITUTE(SUBSTITUTE(PHRASE,JH,""),TABLEAU!$A$192,""),")#                                D",")# &amp; #D"))</f>
        <v xml:space="preserve">                                                      #DANS 3J= ''67H00'' ~ (5 NOV A 8H00): [COUPE OEUF]# &amp; #DANS 7H45 (A 20H45): [CHAMPIONNAT]# &amp; #DANS 7H40 (A 20H40 SUR AB1): [SMACKDOWN]#</v>
      </c>
      <c r="B7" s="443"/>
      <c r="C7" s="439">
        <f>[8]!MONDIAL.DATE</f>
        <v>44886</v>
      </c>
      <c r="D7" s="440">
        <f>[8]!MONDIAL.HEURE</f>
        <v>0.70833333333333337</v>
      </c>
      <c r="E7" s="441"/>
      <c r="F7" s="21"/>
      <c r="G7" s="2235" t="str">
        <f ca="1">UPPER(SUBSTITUTE(SUBSTITUTE(IF(TABLEAU!$P$60="#DEPASSE#",CONCATENATE("DEPASSE",TABLEAU!$L$60,TABLEAU!$C$60,"#"),MARDI.TV.2),"MIN A ","MIN (A ")," A "," (A "))</f>
        <v>#DANS 3 JOURS (MARDI 5 NOVEMBRE (A 19H50 SUR W9): [LES MARSEILLAIS]#</v>
      </c>
      <c r="H7" s="2236"/>
      <c r="I7" s="804">
        <v>6</v>
      </c>
      <c r="J7" s="805" t="str">
        <f>UPPER("JUIN")</f>
        <v>JUIN</v>
      </c>
      <c r="K7" s="806" t="str">
        <f>UPPER("VENDREDI")</f>
        <v>VENDREDI</v>
      </c>
      <c r="L7" s="2481"/>
      <c r="M7" s="2482"/>
      <c r="N7" s="2082"/>
      <c r="O7" s="2453"/>
      <c r="P7" s="1680"/>
      <c r="Q7" s="1681"/>
      <c r="R7" s="1681"/>
      <c r="S7" s="1681"/>
      <c r="T7" s="1681"/>
      <c r="U7" s="1681"/>
      <c r="V7" s="1812"/>
      <c r="W7" s="2441"/>
      <c r="X7" s="15"/>
      <c r="Y7" s="2443"/>
      <c r="Z7" s="2071"/>
      <c r="AA7" s="233" t="str">
        <f ca="1">IF(DATE.RDV.TV=TABLEAU!$K$3,TABLEAU!$M$56,IF(DATE.RDV.TV="MARDI",TABLEAU!$M$60,IF(DATE.RDV.TV="MERCREDI",TABLEAU!$M$64,IF(DATE.RDV.TV="JEUDI",TABLEAU!$M$68,IF(DATE.RDV.TV="VENDREDI",TABLEAU!$M$72,IF(DATE.RDV.TV="SAMEDI",TABLEAU!$M$76,IF(DATE.RDV.TV="DIMANCHE",TABLEAU!$M$80)))))))</f>
        <v/>
      </c>
      <c r="AB7" s="2121" t="str">
        <f ca="1">UPPER(SUBSTITUTE(CONCATENATE(LOOKUP(WEEKDAY(B),SEMAINE)," ",DAY(B)," ",LOOKUP(MONTH(B),MOIS)," ")," 1 "," 1ER "))</f>
        <v xml:space="preserve">DIMANCHE 3 NOVEMBRE </v>
      </c>
      <c r="AC7" s="2122"/>
      <c r="AD7" s="2322"/>
      <c r="AE7" s="2117"/>
      <c r="AF7" s="2107"/>
      <c r="AG7" s="2108"/>
      <c r="AH7" s="2108"/>
      <c r="AI7" s="2109"/>
      <c r="AJ7" s="15"/>
      <c r="AK7" s="15"/>
      <c r="AL7" s="2082"/>
      <c r="AM7" s="2093" t="str">
        <f ca="1">CONCATENATE("#MAINTENANT (A ",TABLEAU!$AN$28,")# &amp; ",QQ)</f>
        <v xml:space="preserve">#MAINTENANT (A 13H00)# &amp; </v>
      </c>
      <c r="AN7" s="1013" t="str">
        <f>UPPER("FORMULE 1")</f>
        <v>FORMULE 1</v>
      </c>
      <c r="AO7" s="774" t="str">
        <f>CONCATENATE(DAY(JOUR.GP),"/",MONTH(JOUR.GP),"/",YEAR(JOUR.GP)," ",TEXT(HEURE.GP,"[H]:MM"))</f>
        <v>3/11/2019 17:00</v>
      </c>
      <c r="AP7" s="1011" t="str">
        <f ca="1">UPPER(IF(DIF.GP="#DEPASSE#","OK",IF(INT(TABLEAU!$AT7)=0,"OK",IF(DIF.GP="","OK",IF(SUBSTITUTE(SUBSTITUTE(SUBSTITUTE(TABLEAU!$AR7,"''",""),"H",","),".","")&lt;&gt;TABLEAU!$AT7,"FAUX","OK")))))</f>
        <v>OK</v>
      </c>
      <c r="AQ7" s="760" t="str">
        <f ca="1">IF(DANS.DEP.GP&lt;&gt;"","#DEPASSE#",IF(DATE.GP&lt;0,"#DEPASSE#",IF(DATE.GP=0,"AUJOURD'HUI",IF(DATE.GP=1,"DEMAIN",IF(DATE.GP&gt;1,CONCATENATE(DATE.GP," JOURS"))))))</f>
        <v>DEMAIN</v>
      </c>
      <c r="AR7" s="761" t="str">
        <f ca="1">IF(DANS.DEP.GP&lt;&gt;"","#DEPASSE#",SUBSTITUTE(IF(DATE.GP&lt;0,"#DEPASSE#",IF(OR(TABLEAU!$AU7=0,TABLEAU!$AU7&lt;0),CONCATENATE("''",SUBSTITUTE(TABLEAU!$AT7,",","H"),"''"),IF(AND(TABLEAU!$AS7="",TABLEAU!$AU7=""),CONCATENATE("''",SUBSTITUTE(TABLEAU!$AT7,",","H"),"''"),SUBSTITUTE(SUBSTITUTE(SUBSTITUTE(SUBSTITUTE(SUBSTITUTE(SUBSTITUTE(SUBSTITUTE(SUBSTITUTE(SUBSTITUTE(SUBSTITUTE(SUBSTITUTE(SUBSTITUTE(SUBSTITUTE(SUBSTITUTE(SUBSTITUTE(IF(AND(TABLEAU!$AV7=0,TABLEAU!$AW7&lt;&gt;0),CONCATENATE(SUBSTITUTE(TABLEAU!$AW7,"H","")," MIN"),SUBSTITUTE(IF(TABLEAU!$AV7&lt;1,CONCATENATE(SUBSTITUTE(TABLEAU!$AW7,"H0","")," MIN"),SUBSTITUTE(SUBSTITUTE(SUBSTITUTE(SUBSTITUTE(SUBSTITUTE(SUBSTITUTE(SUBSTITUTE(IF(AND(TABLEAU!$AS7&lt;&gt;"",TABLEAU!$AU7&lt;&gt;"",TABLEAU!$AU7=10),CONCATENATE("''",TABLEAU!$AV7,"''"),IF(AND(TABLEAU!$AS7&lt;&gt;"",TABLEAU!$AU7&lt;&gt;"",TABLEAU!$AU7&lt;10),CONCATENATE("''",TABLEAU!$AS7,".00",ROUND(TABLEAU!$AU7,2),"''"),IF(AND(TABLEAU!$AS7="",TABLEAU!$AV7&lt;100),CONCATENATE("''",TABLEAU!$AT7,"''"),IF(AND(TABLEAU!$AS7="",TABLEAU!$AT7=""),"",IF(AND(TABLEAU!$AS7="",TABLEAU!$AT7&lt;&gt;""),CONCATENATE("''",TABLEAU!$AT7,"''"),IF(AND(TABLEAU!$AS7&lt;&gt;"",TABLEAU!$AU7&lt;&gt;"",TABLEAU!$AU7&gt;99.99),CONCATENATE("''",TABLEAU!$AS7,".",ROUND(TABLEAU!$AU7,2),"''"),IF(AND(TABLEAU!$AS7&lt;&gt;"",TABLEAU!$AU7&lt;&gt;"",TABLEAU!$AU7&lt;100),CONCATENATE("''",TABLEAU!$AS7,".0",ROUND(TABLEAU!$AU7,2),"''")))))))),",","H"),"H1''","H10''"),"H2''","H20''"),"H3''","H30''"),"H4''","H40''"),"H5''","H50''"),CONCATENATE("''",TABLEAU!$AV7,"''"),CONCATENATE("''",TABLEAU!$AV7,"H00''"))),",00H00","H00")),"''","H00''"),"H00''1","''1"),"H00''2","''2"),"H00''3","''3"),"H00''4","''4"),"H00''5","''5"),"H00''6","''6"),"H00''7","''7"),"H00''8","''8"),"H00''9","''9"),SUBSTITUTE(CONCATENATE(TABLEAU!$AX7,"H00")," ",""),TABLEAU!$AX7)," ''","''"),CONCATENATE(TABLEAU!$AV7,"''"),CONCATENATE(TABLEAU!$AV7,TABLEAU!$AW7,"''")),CONCATENATE(TRIM(TABLEAU!$AW7),"0",TRIM(TABLEAU!$AX7),"''"),CONCATENATE(TABLEAU!$AW7,"0''")),CONCATENATE(TABLEAU!$AW7," ",TABLEAU!$AW7),TABLEAU!$AW7)))),CONCATENATE(TABLEAU!$AW7,"0H00"),CONCATENATE(TABLEAU!$AW7,"0")))</f>
        <v>''28H00''</v>
      </c>
      <c r="AS7" s="773" t="str">
        <f ca="1">IF(DANS.DEP.GP&lt;&gt;"","#DEPASSE#",IF(DATE.GP&lt;0,"#DEPASSE#",IF(INT(CONCATENATE(TEXT(TABLEAU!$AO7-NOW()+"0:01","[H],MM"))/1000)=0,"",INT(CONCATENATE(TEXT(TABLEAU!$AO7-NOW()+"0:01","[H],MM"))/1000))))</f>
        <v/>
      </c>
      <c r="AT7" s="774" t="str">
        <f ca="1">IF(DANS.DEP.GP&lt;&gt;"","#DEPASSE#",IF(DATE.GP&lt;0,"#DEPASSE#",IF(TABLEAU!$M$10="00",CONCATENATE(SUBSTITUTE(TEXT(TABLEAU!$AO7+-NOW()+"0:00:01","[H]:MM"),":",",")),IF(AND(JOUR.GP=A,HOUR(HEURE.GP)=HOUR(HEURE.MAINTENANT),MINUTE(HEURE.GP)=MINUTE(HEURE.MAINTENANT)),"0",CONCATENATE(SUBSTITUTE(TEXT(TABLEAU!$AO7+"0:01:00"-NOW(),"[H]:MM"),":",","))))))</f>
        <v>28,00</v>
      </c>
      <c r="AU7" s="775" t="str">
        <f ca="1">IF(DANS.DEP.GP&lt;&gt;"","#DEPASSE#",IF(DATE.GP&lt;0,"#DEPASSE#",IF(TABLEAU!$AS7="","",TABLEAU!$AT7-(TABLEAU!$AS7*1000))))</f>
        <v/>
      </c>
      <c r="AV7" s="771">
        <f ca="1">IF(DANS.DEP.GP&lt;&gt;"","#DEPASSE#",IF(DATE.GP&lt;0,"#DEPASSE#",IF(AND(TABLEAU!$AS7&lt;&gt;"",TABLEAU!$AU7&lt;100),CONCATENATE(TABLEAU!$AS7,".0",ROUND(TABLEAU!$AU7,0)),IF(AND(TABLEAU!$AS7&lt;&gt;"",TABLEAU!$AU7&lt;1000),CONCATENATE(TABLEAU!$AS7,".",ROUND(TABLEAU!$AU7,0)),ROUND(TABLEAU!$AT7,0)))))</f>
        <v>28</v>
      </c>
      <c r="AW7" s="988" t="str">
        <f ca="1">IF(DANS.DEP.GP&lt;&gt;"","#DEPASSE#",IF(DATE.GP&lt;0,"#DEPASSE#",SUBSTITUTE(SUBSTITUTE(SUBSTITUTE(SUBSTITUTE(SUBSTITUTE(SUBSTITUTE(SUBSTITUTE(SUBSTITUTE(SUBSTITUTE(SUBSTITUTE(IF(TABLEAU!$AU7&lt;10,ROUND(TABLEAU!$AU7,2),IF(ROUND(TABLEAU!$AV7-TABLEAU!$AT7,2)=0,"H00",SUBSTITUTE(SUBSTITUTE(SUBSTITUTE(ROUND(TABLEAU!$AV7-TABLEAU!$AT7,2),"-",""),",","H"),"0H","H"))),"0,","H"),"1,","H"),"2,","H"),"3,","H"),"4,","H"),"5,","H"),"6,","H"),"7,","H"),"8,","H"),"9,","H")))</f>
        <v>H00</v>
      </c>
      <c r="AX7" s="769" t="str">
        <f ca="1">IF(DANS.DEP.GP&lt;&gt;"","#DEPASSE#",IF(DATE.GP&lt;0,"#DEPASSE#",IF(TABLEAU!$AU$7="","",IF(TABLEAU!$AU$7="#DEPASSE#",TABLEAU!$AU$7,SUBSTITUTE(SUBSTITUTE(SUBSTITUTE(SUBSTITUTE(SUBSTITUTE(SUBSTITUTE(SUBSTITUTE(SUBSTITUTE(CONCATENATE("H",ROUND(TABLEAU!$AU$7-INT(TABLEAU!$AU$7),2)," "),"HH","H"),"0,",""),"H0 ","H00 "),"H1 ","H10 "),"H2 ","H20 "),"H3 ","H30 "),"H4 ","H40 "),"H5 ","H50 ")))))</f>
        <v/>
      </c>
      <c r="AY7" s="1076" t="str">
        <f ca="1">IF(TABLEAU!$AQ$7&lt;&gt;"AUJOURD'HUI","",SUM(TABLEAU!$AV7))</f>
        <v/>
      </c>
      <c r="AZ7" s="1533" t="str">
        <f ca="1">SUBSTITUTE(SUBSTITUTE(SUBSTITUTE(TABLEAU!$AX$7," ","]"),"H",""),"0]","")</f>
        <v/>
      </c>
      <c r="BA7" s="1534" t="str">
        <f ca="1">IF(LEN(TABLEAU!$AZ$7)=3,SUBSTITUTE(TABLEAU!$AZ$7,"]",""),TABLEAU!$AZ$7)</f>
        <v/>
      </c>
    </row>
    <row r="8" spans="1:53" ht="9.9499999999999993" customHeight="1" thickBot="1">
      <c r="A8" s="1233"/>
      <c r="B8" s="443"/>
      <c r="C8" s="439">
        <f>[9]!EURO.DATE</f>
        <v>43992</v>
      </c>
      <c r="D8" s="440" t="str">
        <f>[9]!EURO.HEURE</f>
        <v>21:00</v>
      </c>
      <c r="E8" s="441"/>
      <c r="F8" s="21" t="s">
        <v>1</v>
      </c>
      <c r="G8" s="2235" t="str">
        <f ca="1">UPPER(IF(TABLEAU!$P$61="#DEPASSE#",CONCATENATE("DEPASSE",TABLEAU!$L$61,TABLEAU!$C$61,"#"),MARDI.TV.3))</f>
        <v>#DANS 3 JOURS (MARDI 5 NOVEMBRE A 21H05 SUR TF1): [S.W.A.T]#</v>
      </c>
      <c r="H8" s="2236"/>
      <c r="I8" s="17">
        <v>7</v>
      </c>
      <c r="J8" s="18" t="str">
        <f>UPPER("JUILLET")</f>
        <v>JUILLET</v>
      </c>
      <c r="K8" s="23" t="str">
        <f>UPPER("SAMEDI")</f>
        <v>SAMEDI</v>
      </c>
      <c r="L8" s="2483"/>
      <c r="M8" s="2484"/>
      <c r="N8" s="2083"/>
      <c r="O8" s="2453"/>
      <c r="P8" s="1680"/>
      <c r="Q8" s="1681"/>
      <c r="R8" s="1681"/>
      <c r="S8" s="1681"/>
      <c r="T8" s="1681"/>
      <c r="U8" s="1681"/>
      <c r="V8" s="1812"/>
      <c r="W8" s="2441"/>
      <c r="X8" s="15"/>
      <c r="Y8" s="2443"/>
      <c r="Z8" s="2071"/>
      <c r="AA8" s="22" t="str">
        <f ca="1">IF(DATE.RDV.TV=TABLEAU!$K$3,TABLEAU!$M$57,IF(DATE.RDV.TV="MARDI",TABLEAU!$M$61,IF(DATE.RDV.TV="MERCREDI",TABLEAU!$M$65,IF(DATE.RDV.TV="JEUDI",TABLEAU!$M$69,IF(DATE.RDV.TV="VENDREDI",TABLEAU!$M$73,IF(DATE.RDV.TV="SAMEDI",TABLEAU!$M$77,IF(DATE.RDV.TV="DIMANCHE",TABLEAU!$M$81)))))))</f>
        <v/>
      </c>
      <c r="AB8" s="2123" t="str">
        <f ca="1">TRIM(SUBSTITUTE(IF(DAY(DATE.COLLER.2)=1,CONCATENATE(LOOKUP(WEEKDAY(DATE.COLLER.2),SEMAINE)," 1ER ",LOOKUP(MONTH(TODAY()),MOIS)),CONCATENATE(LOOKUP(WEEKDAY(DATE.COLLER.2),SEMAINE)," ",DAY(DATE.COLLER.2)," ",LOOKUP(MONTH(DATE.COLLER.2),MOIS)))," 1 "," 1ER "))</f>
        <v>SAMEDI 2 NOVEMBRE</v>
      </c>
      <c r="AC8" s="2124"/>
      <c r="AD8" s="2322"/>
      <c r="AE8" s="2117"/>
      <c r="AF8" s="2107"/>
      <c r="AG8" s="2108"/>
      <c r="AH8" s="2108"/>
      <c r="AI8" s="2109"/>
      <c r="AJ8" s="15"/>
      <c r="AK8" s="15"/>
      <c r="AL8" s="2082"/>
      <c r="AM8" s="2093"/>
      <c r="AN8" s="1262" t="str">
        <f>UPPER("COUPE DE LA LIGUE")</f>
        <v>COUPE DE LA LIGUE</v>
      </c>
      <c r="AO8" s="488" t="str">
        <f>CONCATENATE(DAY(JOUR.COUPE.LIGUE),"/",MONTH(JOUR.COUPE.LIGUE),"/",YEAR(JOUR.COUPE.LIGUE)," ",TEXT(HEURE.LIGUE,"[H]:MM"))</f>
        <v>17/12/2019 21:00</v>
      </c>
      <c r="AP8" s="1263" t="str">
        <f ca="1">UPPER(IF(DIF.LIGUE="#DEPASSE#","OK",IF(INT(TABLEAU!$AT8)=0,"OK",IF(DIF.LIGUE="","OK",IF(SUBSTITUTE(SUBSTITUTE(SUBSTITUTE(TABLEAU!$AR8,"''",""),"H",","),".","")&lt;&gt;TABLEAU!$AT8,"FAUX","OK")))))</f>
        <v>OK</v>
      </c>
      <c r="AQ8" s="1264" t="str">
        <f ca="1">IF(DANS.DEP.LIGUE&lt;&gt;"","#DEPASSE#",IF(DATE.LIGUE&lt;0,"#DEPASSE#",IF(DATE.LIGUE=0,"AUJOURD'HUI",IF(DATE.LIGUE=1,"DEMAIN",IF(DATE.LIGUE&gt;1,CONCATENATE(DATE.LIGUE," JOURS"))))))</f>
        <v>45 JOURS</v>
      </c>
      <c r="AR8" s="1265" t="str">
        <f ca="1">IF(DANS.DEP.LIGUE&lt;&gt;"","#DEPASSE#",SUBSTITUTE(IF(DATE.LIGUE&lt;0,"#DEPASSE#",IF(OR(TABLEAU!$AU8=0,TABLEAU!$AU8&lt;0),CONCATENATE("''",SUBSTITUTE(TABLEAU!$AT8,",","H"),"''"),IF(AND(TABLEAU!$AS8="",TABLEAU!$AU8=""),CONCATENATE("''",SUBSTITUTE(TABLEAU!$AT8,",","H"),"''"),SUBSTITUTE(SUBSTITUTE(SUBSTITUTE(SUBSTITUTE(SUBSTITUTE(SUBSTITUTE(SUBSTITUTE(SUBSTITUTE(SUBSTITUTE(SUBSTITUTE(SUBSTITUTE(SUBSTITUTE(SUBSTITUTE(SUBSTITUTE(SUBSTITUTE(IF(AND(TABLEAU!$AV8=0,TABLEAU!$AW8&lt;&gt;0),CONCATENATE(SUBSTITUTE(TABLEAU!$AW8,"H","")," MIN"),SUBSTITUTE(IF(TABLEAU!$AV8&lt;1,CONCATENATE(SUBSTITUTE(TABLEAU!$AW8,"H0","")," MIN"),SUBSTITUTE(SUBSTITUTE(SUBSTITUTE(SUBSTITUTE(SUBSTITUTE(SUBSTITUTE(SUBSTITUTE(IF(AND(TABLEAU!$AS8&lt;&gt;"",TABLEAU!$AU8&lt;&gt;"",TABLEAU!$AU8=10),CONCATENATE("''",TABLEAU!$AV8,"''"),IF(AND(TABLEAU!$AS8&lt;&gt;"",TABLEAU!$AU8&lt;&gt;"",TABLEAU!$AU8&lt;10),CONCATENATE("''",TABLEAU!$AS8,".00",ROUND(TABLEAU!$AU8,2),"''"),IF(AND(TABLEAU!$AS8="",TABLEAU!$AV8&lt;100),CONCATENATE("''",TABLEAU!$AT8,"''"),IF(AND(TABLEAU!$AS8="",TABLEAU!$AT8=""),"",IF(AND(TABLEAU!$AS8="",TABLEAU!$AT8&lt;&gt;""),CONCATENATE("''",TABLEAU!$AT8,"''"),IF(AND(TABLEAU!$AS8&lt;&gt;"",TABLEAU!$AU8&lt;&gt;"",TABLEAU!$AU8&gt;99.99),CONCATENATE("''",TABLEAU!$AS8,".",ROUND(TABLEAU!$AU8,2),"''"),IF(AND(TABLEAU!$AS8&lt;&gt;"",TABLEAU!$AU8&lt;&gt;"",TABLEAU!$AU8&lt;100),CONCATENATE("''",TABLEAU!$AS8,".0",ROUND(TABLEAU!$AU8,2),"''")))))))),",","H"),"H1''","H10''"),"H2''","H20''"),"H3''","H30''"),"H4''","H40''"),"H5''","H50''"),CONCATENATE("''",TABLEAU!$AV8,"''"),CONCATENATE("''",TABLEAU!$AV8,"H00''"))),",00H00","H00")),"''","H00''"),"H00''1","''1"),"H00''2","''2"),"H00''3","''3"),"H00''4","''4"),"H00''5","''5"),"H00''6","''6"),"H00''7","''7"),"H00''8","''8"),"H00''9","''9"),SUBSTITUTE(CONCATENATE(TABLEAU!$AX8,"H00")," ",""),TABLEAU!$AX8)," ''","''"),CONCATENATE(TABLEAU!$AV8,"''"),CONCATENATE(TABLEAU!$AV8,TABLEAU!$AW8,"''")),CONCATENATE(TRIM(TABLEAU!$AW8),"0",TRIM(TABLEAU!$AX8),"''"),CONCATENATE(TABLEAU!$AW8,"0''")),CONCATENATE(TABLEAU!$AW8," ",TABLEAU!$AW8),TABLEAU!$AW8)))),CONCATENATE(TABLEAU!$AW8,"0H00"),CONCATENATE(TABLEAU!$AW8,"0")))</f>
        <v>''1.088H00''</v>
      </c>
      <c r="AS8" s="1266">
        <f ca="1">IF(DANS.DEP.LIGUE&lt;&gt;"","#DEPASSE#",IF(DATE.LIGUE&lt;0,"#DEPASSE#",IF(INT(CONCATENATE(TEXT(TABLEAU!$AO8-NOW()+"0:01","[H],MM"))/1000)=0,"",INT(CONCATENATE(TEXT(TABLEAU!$AO8-NOW()+"0:01","[H],MM"))/1000))))</f>
        <v>1</v>
      </c>
      <c r="AT8" s="488" t="str">
        <f ca="1">IF(DANS.DEP.LIGUE&lt;&gt;"","#DEPASSE#",IF(DATE.LIGUE&lt;0,"#DEPASSE#",IF(TABLEAU!$M$10="00",CONCATENATE(SUBSTITUTE(TEXT(TABLEAU!$AO8+-NOW()+"0:00:01","[H]:MM"),":",",")),IF(AND(JOUR.LIGUE=A,HOUR(HEURE.LIGUE)=HOUR(HEURE.MAINTENANT),MINUTE(HEURE.LIGUE)=MINUTE(HEURE.MAINTENANT)),"0",CONCATENATE(SUBSTITUTE(TEXT(TABLEAU!$AO8+"0:01:00"-NOW(),"[H]:MM"),":",","))))))</f>
        <v>1088,00</v>
      </c>
      <c r="AU8" s="1267">
        <f ca="1">IF(DANS.DEP.LIGUE&lt;&gt;"","#DEPASSE#",IF(DATE.LIGUE&lt;0,"#DEPASSE#",IF(TABLEAU!$AS8="","",TABLEAU!$AT8-(TABLEAU!$AS8*1000))))</f>
        <v>88</v>
      </c>
      <c r="AV8" s="1268" t="str">
        <f ca="1">IF(DANS.DEP.LIGUE&lt;&gt;"","#DEPASSE#",IF(DATE.LIGUE&lt;0,"#DEPASSE#",IF(AND(TABLEAU!$AS8&lt;&gt;"",TABLEAU!$AU8&lt;100),CONCATENATE(TABLEAU!$AS8,".0",ROUND(TABLEAU!$AU8,0)),IF(AND(TABLEAU!$AS8&lt;&gt;"",TABLEAU!$AU8&lt;1000),CONCATENATE(TABLEAU!$AS8,".",ROUND(TABLEAU!$AU8,0)),ROUND(TABLEAU!$AT8,0)))))</f>
        <v>1.088</v>
      </c>
      <c r="AW8" s="1269" t="str">
        <f ca="1">IF(DANS.DEP.LIGUE&lt;&gt;"","#DEPASSE#",IF(DATE.LIGUE&lt;0,"#DEPASSE#",SUBSTITUTE(SUBSTITUTE(SUBSTITUTE(SUBSTITUTE(SUBSTITUTE(SUBSTITUTE(SUBSTITUTE(SUBSTITUTE(SUBSTITUTE(SUBSTITUTE(IF(TABLEAU!$AU8&lt;10,ROUND(TABLEAU!$AU8,2),IF(ROUND(TABLEAU!$AV8-TABLEAU!$AT8,2)=0,"H00",SUBSTITUTE(SUBSTITUTE(SUBSTITUTE(ROUND(TABLEAU!$AV8-TABLEAU!$AT8,2),"-",""),",","H"),"0H","H"))),"0,","H"),"1,","H"),"2,","H"),"3,","H"),"4,","H"),"5,","H"),"6,","H"),"7,","H"),"8,","H"),"9,","H")))</f>
        <v>H00</v>
      </c>
      <c r="AX8" s="1270" t="str">
        <f ca="1">IF(DANS.DEP.LIGUE&lt;&gt;"","#DEPASSE#",IF(DATE.LIGUE&lt;0,"#DEPASSE#",IF(TABLEAU!$AU$8="","",IF(TABLEAU!$AU$8="#DEPASSE#",TABLEAU!$AU$8,SUBSTITUTE(SUBSTITUTE(SUBSTITUTE(SUBSTITUTE(SUBSTITUTE(SUBSTITUTE(SUBSTITUTE(SUBSTITUTE(CONCATENATE("H",ROUND(TABLEAU!$AU$8-INT(TABLEAU!$AU$8),2)," "),"HH","H"),"0,",""),"H0 ","H00 "),"H1 ","H10 "),"H2 ","H20 "),"H3 ","H30 "),"H4 ","H40 "),"H5 ","H50 ")))))</f>
        <v xml:space="preserve">H00 </v>
      </c>
      <c r="AY8" s="1249" t="str">
        <f ca="1">IF(TABLEAU!$AQ$8&lt;&gt;"AUJOURD'HUI","",SUM(TABLEAU!$AV8))</f>
        <v/>
      </c>
      <c r="AZ8" s="1533" t="str">
        <f ca="1">SUBSTITUTE(SUBSTITUTE(SUBSTITUTE(TABLEAU!$AX$8," ","]"),"H",""),"0]","")</f>
        <v>0</v>
      </c>
      <c r="BA8" s="1534" t="str">
        <f ca="1">IF(LEN(TABLEAU!$AZ$8)=3,SUBSTITUTE(TABLEAU!$AZ$8,"]",""),TABLEAU!$AZ$8)</f>
        <v>0</v>
      </c>
    </row>
    <row r="9" spans="1:53" ht="9.9499999999999993" customHeight="1" thickBot="1">
      <c r="A9" s="1233" t="s">
        <v>121</v>
      </c>
      <c r="B9" s="443"/>
      <c r="C9" s="446">
        <f>[10]!CONFEDERATIONS.DATE</f>
        <v>44350</v>
      </c>
      <c r="D9" s="440">
        <f>[10]!CONFEDERATIONS.HEURE</f>
        <v>0.875</v>
      </c>
      <c r="E9" s="441"/>
      <c r="F9" s="21" t="s">
        <v>1</v>
      </c>
      <c r="G9" s="2235" t="str">
        <f ca="1">UPPER(IF(TABLEAU!$P$62="#DEPASSE#",CONCATENATE("DEPASSE",TABLEAU!$L$62,TABLEAU!$C$62,"#"),MARDI.TV.4))</f>
        <v/>
      </c>
      <c r="H9" s="2236"/>
      <c r="I9" s="814">
        <v>8</v>
      </c>
      <c r="J9" s="815" t="str">
        <f>UPPER("AOUT")</f>
        <v>AOUT</v>
      </c>
      <c r="K9" s="809">
        <f ca="1">DAY(TODAY())</f>
        <v>2</v>
      </c>
      <c r="L9" s="800" t="str">
        <f ca="1">CONCATENATE(HOUR(NOW()),":",TABLEAU!$K$12,":",TABLEAU!$M$10)</f>
        <v>13:00:00</v>
      </c>
      <c r="M9" s="812">
        <f ca="1">MONTH(TODAY())</f>
        <v>11</v>
      </c>
      <c r="N9" s="801" t="str">
        <f ca="1">LOOKUP(MONTH(TODAY()),MOIS)</f>
        <v>NOVEMBRE</v>
      </c>
      <c r="O9" s="2453"/>
      <c r="P9" s="1680"/>
      <c r="Q9" s="1681"/>
      <c r="R9" s="1681"/>
      <c r="S9" s="1681"/>
      <c r="T9" s="1681"/>
      <c r="U9" s="1681"/>
      <c r="V9" s="1812"/>
      <c r="W9" s="2441"/>
      <c r="X9" s="15"/>
      <c r="Y9" s="2443"/>
      <c r="Z9" s="2446" t="s">
        <v>133</v>
      </c>
      <c r="AA9" s="234" t="str">
        <f ca="1">IF(DATE.RDV.TV=TABLEAU!$K$3,TABLEAU!$M$58,IF(DATE.RDV.TV="MARDI",TABLEAU!$M$62,IF(DATE.RDV.TV="MERCREDI",TABLEAU!$M$66,IF(DATE.RDV.TV="JEUDI",TABLEAU!$M$70,IF(DATE.RDV.TV="VENDREDI",TABLEAU!$M$74,IF(DATE.RDV.TV="SAMEDI",TABLEAU!$M$78,IF(DATE.RDV.TV="DIMANCHE",TABLEAU!$M$82)))))))</f>
        <v/>
      </c>
      <c r="AB9" s="2317" t="str">
        <f ca="1">UPPER(SUBSTITUTE(CONCATENATE(LOOKUP(WEEKDAY(A),SEMAINE)," ",DAY(A),"/",MONTH(A),"/",YEAR(A)," ")," 1 "," 1ER "))</f>
        <v xml:space="preserve">SAMEDI 2/11/2019 </v>
      </c>
      <c r="AC9" s="2318"/>
      <c r="AD9" s="2322"/>
      <c r="AE9" s="2117"/>
      <c r="AF9" s="2107"/>
      <c r="AG9" s="2108"/>
      <c r="AH9" s="2108"/>
      <c r="AI9" s="2109"/>
      <c r="AJ9" s="15"/>
      <c r="AK9" s="15"/>
      <c r="AL9" s="2082"/>
      <c r="AM9" s="2093"/>
      <c r="AN9" s="1271" t="str">
        <f>UPPER("COUPE DE FRANCE")</f>
        <v>COUPE DE FRANCE</v>
      </c>
      <c r="AO9" s="1272" t="str">
        <f>CONCATENATE(DAY(JOUR.COUPE.FRANCE),"/",MONTH(JOUR.COUPE.FRANCE),"/",YEAR(JOUR.COUPE.FRANCE)," ",TEXT(HEURE.FRANCE,"[H]:MM"))</f>
        <v>4/2/2020 20:00</v>
      </c>
      <c r="AP9" s="1273" t="str">
        <f ca="1">UPPER(IF(DIF.FRANCE="#DEPASSE#","OK",IF(INT(TABLEAU!$AT9)=0,"OK",IF(DIF.FRANCE="","OK",IF(SUBSTITUTE(SUBSTITUTE(SUBSTITUTE(TABLEAU!$AR9,"''",""),"H",","),".","")&lt;&gt;TABLEAU!$AT9,"FAUX","OK")))))</f>
        <v>OK</v>
      </c>
      <c r="AQ9" s="1274" t="str">
        <f ca="1">IF(DANS.DEP.FRANCE&lt;&gt;"","#DEPASSE#",IF(DATE.FRANCE&lt;0,"#DEPASSE#",IF(DATE.FRANCE=0,"AUJOURD'HUI",IF(DATE.FRANCE=1,"DEMAIN",IF(DATE.FRANCE&gt;1,CONCATENATE(DATE.FRANCE," JOURS"))))))</f>
        <v>94 JOURS</v>
      </c>
      <c r="AR9" s="1275" t="str">
        <f ca="1">IF(DANS.DEP.FRANCE&lt;&gt;"","#DEPASSE#",SUBSTITUTE(IF(DATE.FRANCE&lt;0,"#DEPASSE#",IF(OR(TABLEAU!$AU9=0,TABLEAU!$AU9&lt;0),CONCATENATE("''",SUBSTITUTE(TABLEAU!$AT9,",","H"),"''"),IF(AND(TABLEAU!$AS9="",TABLEAU!$AU9=""),CONCATENATE("''",SUBSTITUTE(TABLEAU!$AT9,",","H"),"''"),SUBSTITUTE(SUBSTITUTE(SUBSTITUTE(SUBSTITUTE(SUBSTITUTE(SUBSTITUTE(SUBSTITUTE(SUBSTITUTE(SUBSTITUTE(SUBSTITUTE(SUBSTITUTE(SUBSTITUTE(SUBSTITUTE(SUBSTITUTE(SUBSTITUTE(IF(AND(TABLEAU!$AV9=0,TABLEAU!$AW9&lt;&gt;0),CONCATENATE(SUBSTITUTE(TABLEAU!$AW9,"H","")," MIN"),SUBSTITUTE(IF(TABLEAU!$AV9&lt;1,CONCATENATE(SUBSTITUTE(TABLEAU!$AW9,"H0","")," MIN"),SUBSTITUTE(SUBSTITUTE(SUBSTITUTE(SUBSTITUTE(SUBSTITUTE(SUBSTITUTE(SUBSTITUTE(IF(AND(TABLEAU!$AS9&lt;&gt;"",TABLEAU!$AU9&lt;&gt;"",TABLEAU!$AU9=10),CONCATENATE("''",TABLEAU!$AV9,"''"),IF(AND(TABLEAU!$AS9&lt;&gt;"",TABLEAU!$AU9&lt;&gt;"",TABLEAU!$AU9&lt;10),CONCATENATE("''",TABLEAU!$AS9,".00",ROUND(TABLEAU!$AU9,2),"''"),IF(AND(TABLEAU!$AS9="",TABLEAU!$AV9&lt;100),CONCATENATE("''",TABLEAU!$AT9,"''"),IF(AND(TABLEAU!$AS9="",TABLEAU!$AT9=""),"",IF(AND(TABLEAU!$AS9="",TABLEAU!$AT9&lt;&gt;""),CONCATENATE("''",TABLEAU!$AT9,"''"),IF(AND(TABLEAU!$AS9&lt;&gt;"",TABLEAU!$AU9&lt;&gt;"",TABLEAU!$AU9&gt;99.99),CONCATENATE("''",TABLEAU!$AS9,".",ROUND(TABLEAU!$AU9,2),"''"),IF(AND(TABLEAU!$AS9&lt;&gt;"",TABLEAU!$AU9&lt;&gt;"",TABLEAU!$AU9&lt;100),CONCATENATE("''",TABLEAU!$AS9,".0",ROUND(TABLEAU!$AU9,2),"''")))))))),",","H"),"H1''","H10''"),"H2''","H20''"),"H3''","H30''"),"H4''","H40''"),"H5''","H50''"),CONCATENATE("''",TABLEAU!$AV9,"''"),CONCATENATE("''",TABLEAU!$AV9,"H00''"))),",00H00","H00")),"''","H00''"),"H00''1","''1"),"H00''2","''2"),"H00''3","''3"),"H00''4","''4"),"H00''5","''5"),"H00''6","''6"),"H00''7","''7"),"H00''8","''8"),"H00''9","''9"),SUBSTITUTE(CONCATENATE(TABLEAU!$AX9,"H00")," ",""),TABLEAU!$AX9)," ''","''"),CONCATENATE(TABLEAU!$AV9,"''"),CONCATENATE(TABLEAU!$AV9,TABLEAU!$AW9,"''")),CONCATENATE(TRIM(TABLEAU!$AW9),"0",TRIM(TABLEAU!$AX9),"''"),CONCATENATE(TABLEAU!$AW9,"0''")),CONCATENATE(TABLEAU!$AW9," ",TABLEAU!$AW9),TABLEAU!$AW9)))),CONCATENATE(TABLEAU!$AW9,"0H00"),CONCATENATE(TABLEAU!$AW9,"0")))</f>
        <v>''2.263H00''</v>
      </c>
      <c r="AS9" s="1276">
        <f ca="1">IF(DANS.DEP.FRANCE&lt;&gt;"","#DEPASSE#",IF(DATE.FRANCE&lt;0,"#DEPASSE#",IF(INT(CONCATENATE(TEXT(TABLEAU!$AO9-NOW()+"0:01","[H],MM"))/1000)=0,"",INT(CONCATENATE(TEXT(TABLEAU!$AO9-NOW()+"0:01","[H],MM"))/1000))))</f>
        <v>2</v>
      </c>
      <c r="AT9" s="1272" t="str">
        <f ca="1">IF(DANS.DEP.FRANCE&lt;&gt;"","#DEPASSE#",IF(DATE.FRANCE&lt;0,"#DEPASSE#",IF(TABLEAU!$M$10="00",CONCATENATE(SUBSTITUTE(TEXT(TABLEAU!$AO9+-NOW()+"0:00:01","[H]:MM"),":",",")),IF(AND(JOUR.FRANCE=A,HOUR(HEURE.FRANCE)=HOUR(HEURE.MAINTENANT),MINUTE(HEURE.FRANCE)=MINUTE(HEURE.MAINTENANT)),"0",CONCATENATE(SUBSTITUTE(TEXT(TABLEAU!$AO9+"0:01:00"-NOW(),"[H]:MM"),":",","))))))</f>
        <v>2263,00</v>
      </c>
      <c r="AU9" s="1277">
        <f ca="1">IF(DANS.DEP.FRANCE&lt;&gt;"","#DEPASSE#",IF(DATE.FRANCE&lt;0,"#DEPASSE#",IF(TABLEAU!$AS9="","",TABLEAU!$AT9-(TABLEAU!$AS9*1000))))</f>
        <v>263</v>
      </c>
      <c r="AV9" s="1278" t="str">
        <f ca="1">IF(DANS.DEP.FRANCE&lt;&gt;"","#DEPASSE#",IF(DATE.FRANCE&lt;0,"#DEPASSE#",IF(AND(TABLEAU!$AS9&lt;&gt;"",TABLEAU!$AU9&lt;100),CONCATENATE(TABLEAU!$AS9,".0",ROUND(TABLEAU!$AU9,0)),IF(AND(TABLEAU!$AS9&lt;&gt;"",TABLEAU!$AU9&lt;1000),CONCATENATE(TABLEAU!$AS9,".",ROUND(TABLEAU!$AU9,0)),ROUND(TABLEAU!$AT9,0)))))</f>
        <v>2.263</v>
      </c>
      <c r="AW9" s="1279" t="str">
        <f ca="1">IF(DANS.DEP.FRANCE&lt;&gt;"","#DEPASSE#",IF(DATE.FRANCE&lt;0,"#DEPASSE#",SUBSTITUTE(SUBSTITUTE(SUBSTITUTE(SUBSTITUTE(SUBSTITUTE(SUBSTITUTE(SUBSTITUTE(SUBSTITUTE(SUBSTITUTE(SUBSTITUTE(IF(TABLEAU!$AU9&lt;10,ROUND(TABLEAU!$AU9,2),IF(ROUND(TABLEAU!$AV9-TABLEAU!$AT9,2)=0,"H00",SUBSTITUTE(SUBSTITUTE(SUBSTITUTE(ROUND(TABLEAU!$AV9-TABLEAU!$AT9,2),"-",""),",","H"),"0H","H"))),"0,","H"),"1,","H"),"2,","H"),"3,","H"),"4,","H"),"5,","H"),"6,","H"),"7,","H"),"8,","H"),"9,","H")))</f>
        <v>H00</v>
      </c>
      <c r="AX9" s="1280" t="str">
        <f ca="1">IF(DANS.DEP.FRANCE&lt;&gt;"","#DEPASSE#",IF(DATE.FRANCE&lt;0,"#DEPASSE#",IF(TABLEAU!$AU$9="","",IF(TABLEAU!$AU9="#DEPASSE#",TABLEAU!$AU$9,SUBSTITUTE(SUBSTITUTE(SUBSTITUTE(SUBSTITUTE(SUBSTITUTE(SUBSTITUTE(SUBSTITUTE(SUBSTITUTE(CONCATENATE("H",ROUND(TABLEAU!$AU$9-INT(TABLEAU!$AU$9),2)," "),"HH","H"),"0,",""),"H0 ","H00 "),"H1 ","H10 "),"H2 ","H20 "),"H3 ","H30 "),"H4 ","H40 "),"H5 ","H50 ")))))</f>
        <v xml:space="preserve">H00 </v>
      </c>
      <c r="AY9" s="1282" t="str">
        <f ca="1">IF(TABLEAU!$AQ9&lt;&gt;"AUJOURD'HUI","",SUM(TABLEAU!$AV9))</f>
        <v/>
      </c>
      <c r="AZ9" s="1533" t="str">
        <f ca="1">SUBSTITUTE(SUBSTITUTE(SUBSTITUTE(TABLEAU!$AX9," ","]"),"H",""),"0]","")</f>
        <v>0</v>
      </c>
      <c r="BA9" s="1534" t="str">
        <f ca="1">IF(LEN(TABLEAU!$AZ9)=3,SUBSTITUTE(TABLEAU!$AZ9,"]",""),TABLEAU!$AZ9)</f>
        <v>0</v>
      </c>
    </row>
    <row r="10" spans="1:53" ht="9.9499999999999993" customHeight="1" thickBot="1">
      <c r="A10" s="1234" t="str">
        <f ca="1">IF(DANS.L1.VERIFIER="#DEPASSE#",SUBSTITUTE(DANS.L1,"#DEPASSE",""),IF(DANS.CHAMPIONS.LEAGUE.VERIFIER="#DEPASSE#",SUBSTITUTE(DANS.CHAMPIONS.LEAGUE,"#DEPASSE",""),IF(DANS.UEFA.VERIFIER="#DEPASSE#",SUBSTITUTE(DANS.UEFA,"#DEPASSE",""),IF(DANS.COUPE.FRANCE.VERIFIER="#DEPASSE#",SUBSTITUTE(DANS.COUPE.FRANCE,"#DEPASSE",""),IF(DANS.COUPE.LIGUE.VERIFIER="#DEPASSE#",SUBSTITUTE(DANS.COUPE.LIGUE,"#DEPASSE",""),IF(DANS.GP.VERIFIER="#DEPASSE#",SUBSTITUTE(DANS.GP,"#DEPASSE",""),IF(DANS.MONDIAL.VERIFIER="#DEPASSE#",SUBSTITUTE(DANS.MONDIAL,"#DEPASSE",""),"")))))))</f>
        <v/>
      </c>
      <c r="B10" s="27"/>
      <c r="C10" s="447">
        <f>IF([2]!F1.DATE="","31/12/2019",[2]!F1.DATE)</f>
        <v>43772</v>
      </c>
      <c r="D10" s="448" t="str">
        <f>[2]!F1.HEURE</f>
        <v>17:00</v>
      </c>
      <c r="E10" s="441"/>
      <c r="F10" s="21" t="s">
        <v>1</v>
      </c>
      <c r="G10" s="2235" t="str">
        <f ca="1">UPPER(SUBSTITUTE(SUBSTITUTE(IF(TABLEAU!$P$63="#DEPASSE#",CONCATENATE("DEPASSE",TABLEAU!$L$63,TABLEAU!$C$63,"#"),MERCREDI.TV.1),"MIN A ","MIN (A ")," A "," (A "))</f>
        <v>#DANS 4 JOURS (MERCREDI 6 NOVEMBRE (A 18H50 SUR TFX): [TELE-REALITE]#</v>
      </c>
      <c r="H10" s="2236"/>
      <c r="I10" s="17">
        <v>9</v>
      </c>
      <c r="J10" s="18" t="str">
        <f>UPPER("SEPTEMBRE")</f>
        <v>SEPTEMBRE</v>
      </c>
      <c r="K10" s="477">
        <f ca="1">HOUR(NOW())</f>
        <v>13</v>
      </c>
      <c r="L10" s="810">
        <f ca="1">YEAR(TODAY())</f>
        <v>2019</v>
      </c>
      <c r="M10" s="1132" t="str">
        <f ca="1">IF(SECOND(NOW())&lt;10,CONCATENATE("0",SECOND(NOW())),SECOND(NOW()))</f>
        <v>00</v>
      </c>
      <c r="N10" s="813" t="str">
        <f ca="1">CONCATENATE(HOUR(NOW()),":",TABLEAU!$K$12)</f>
        <v>13:00</v>
      </c>
      <c r="O10" s="2453"/>
      <c r="P10" s="1680"/>
      <c r="Q10" s="1681"/>
      <c r="R10" s="1681"/>
      <c r="S10" s="1681"/>
      <c r="T10" s="1681"/>
      <c r="U10" s="1681"/>
      <c r="V10" s="1812"/>
      <c r="W10" s="2441"/>
      <c r="X10" s="15"/>
      <c r="Y10" s="2443"/>
      <c r="Z10" s="2447"/>
      <c r="AA10" s="24" t="str">
        <f ca="1">UPPER(TABLEAU!$AA$5)</f>
        <v>OUVRIR CHAMPIONNAT</v>
      </c>
      <c r="AB10" s="2498" t="str">
        <f ca="1">CONCATENATE(" ",YEAR(A)-2000," ",YEAR(A)-2000+1)</f>
        <v xml:space="preserve"> 19 20</v>
      </c>
      <c r="AC10" s="2499" t="str">
        <f ca="1">SUBSTITUTE(CONCATENATE(" ",YEAR(A)-1,"-",YEAR(A),""),"-20","-")</f>
        <v xml:space="preserve"> 2018-19</v>
      </c>
      <c r="AD10" s="2322"/>
      <c r="AE10" s="2117"/>
      <c r="AF10" s="2107"/>
      <c r="AG10" s="2108"/>
      <c r="AH10" s="2108"/>
      <c r="AI10" s="2109"/>
      <c r="AJ10" s="15"/>
      <c r="AK10" s="15"/>
      <c r="AL10" s="2082"/>
      <c r="AM10" s="2097" t="str">
        <f>CONCATENATE(QQ," &amp; #MAINTENANT (A 19H00 SUR NRJ12): [TELE-REALITE]","#")</f>
        <v xml:space="preserve"> &amp; #MAINTENANT (A 19H00 SUR NRJ12): [TELE-REALITE]#</v>
      </c>
      <c r="AN10" s="1283" t="str">
        <f>UPPER("UEFA")</f>
        <v>UEFA</v>
      </c>
      <c r="AO10" s="1284" t="str">
        <f>CONCATENATE(DAY(JOUR.UEFA),"/",MONTH(JOUR.UEFA),"/",YEAR(JOUR.UEFA)," ",TEXT(HEURE.UEFA,"[H]:MM"))</f>
        <v>5/3/2020 18:55</v>
      </c>
      <c r="AP10" s="1285" t="str">
        <f ca="1">UPPER(IF(DIF.UEFA="#DEPASSE#","OK",IF(INT(TABLEAU!$AT10)=0,"OK",IF(DIF.UEFA="","OK",IF(SUBSTITUTE(SUBSTITUTE(SUBSTITUTE(TABLEAU!$AR10,"''",""),"H",","),".","")&lt;&gt;TABLEAU!$AT10,"FAUX","OK")))))</f>
        <v>OK</v>
      </c>
      <c r="AQ10" s="1286" t="str">
        <f ca="1">IF(DANS.DEP.UEFA&lt;&gt;"","#DEPASSE#",IF(DATE.UEFA&lt;0,"#DEPASSE#",IF(DATE.UEFA=0,"AUJOURD'HUI",IF(DATE.UEFA=1,"DEMAIN",IF(DATE.UEFA&gt;1,CONCATENATE(DATE.UEFA," JOURS"))))))</f>
        <v>124 JOURS</v>
      </c>
      <c r="AR10" s="1287" t="str">
        <f ca="1">IF(DANS.DEP.UEFA&lt;&gt;"","#DEPASSE#",SUBSTITUTE(IF(DATE.UEFA&lt;0,"#DEPASSE#",IF(OR(TABLEAU!$AU10=0,TABLEAU!$AU10&lt;0),CONCATENATE("''",SUBSTITUTE(TABLEAU!$AT10,",","H"),"''"),IF(AND(TABLEAU!$AS10="",TABLEAU!$AU10=""),CONCATENATE("''",SUBSTITUTE(TABLEAU!$AT10,",","H"),"''"),SUBSTITUTE(SUBSTITUTE(SUBSTITUTE(SUBSTITUTE(SUBSTITUTE(SUBSTITUTE(SUBSTITUTE(SUBSTITUTE(SUBSTITUTE(SUBSTITUTE(SUBSTITUTE(SUBSTITUTE(SUBSTITUTE(SUBSTITUTE(SUBSTITUTE(IF(AND(TABLEAU!$AV10=0,TABLEAU!$AW10&lt;&gt;0),CONCATENATE(SUBSTITUTE(TABLEAU!$AW10,"H","")," MIN"),SUBSTITUTE(IF(TABLEAU!$AV10&lt;1,CONCATENATE(SUBSTITUTE(TABLEAU!$AW10,"H0","")," MIN"),SUBSTITUTE(SUBSTITUTE(SUBSTITUTE(SUBSTITUTE(SUBSTITUTE(SUBSTITUTE(SUBSTITUTE(IF(AND(TABLEAU!$AS10&lt;&gt;"",TABLEAU!$AU10&lt;&gt;"",TABLEAU!$AU10=10),CONCATENATE("''",TABLEAU!$AV10,"''"),IF(AND(TABLEAU!$AS10&lt;&gt;"",TABLEAU!$AU10&lt;&gt;"",TABLEAU!$AU10&lt;10),CONCATENATE("''",TABLEAU!$AS10,".00",ROUND(TABLEAU!$AU10,2),"''"),IF(AND(TABLEAU!$AS10="",TABLEAU!$AV10&lt;100),CONCATENATE("''",TABLEAU!$AT10,"''"),IF(AND(TABLEAU!$AS10="",TABLEAU!$AT10=""),"",IF(AND(TABLEAU!$AS10="",TABLEAU!$AT10&lt;&gt;""),CONCATENATE("''",TABLEAU!$AT10,"''"),IF(AND(TABLEAU!$AS10&lt;&gt;"",TABLEAU!$AU10&lt;&gt;"",TABLEAU!$AU10&gt;99.99),CONCATENATE("''",TABLEAU!$AS10,".",ROUND(TABLEAU!$AU10,2),"''"),IF(AND(TABLEAU!$AS10&lt;&gt;"",TABLEAU!$AU10&lt;&gt;"",TABLEAU!$AU10&lt;100),CONCATENATE("''",TABLEAU!$AS10,".0",ROUND(TABLEAU!$AU10,2),"''")))))))),",","H"),"H1''","H10''"),"H2''","H20''"),"H3''","H30''"),"H4''","H40''"),"H5''","H50''"),CONCATENATE("''",TABLEAU!$AV10,"''"),CONCATENATE("''",TABLEAU!$AV10,"H00''"))),",00H00","H00")),"''","H00''"),"H00''1","''1"),"H00''2","''2"),"H00''3","''3"),"H00''4","''4"),"H00''5","''5"),"H00''6","''6"),"H00''7","''7"),"H00''8","''8"),"H00''9","''9"),SUBSTITUTE(CONCATENATE(TABLEAU!$AX10,"H00")," ",""),TABLEAU!$AX10)," ''","''"),CONCATENATE(TABLEAU!$AV10,"''"),CONCATENATE(TABLEAU!$AV10,TABLEAU!$AW10,"''")),CONCATENATE(TRIM(TABLEAU!$AW10),"0",TRIM(TABLEAU!$AX10),"''"),CONCATENATE(TABLEAU!$AW10,"0''")),CONCATENATE(TABLEAU!$AW10," ",TABLEAU!$AW10),TABLEAU!$AW10)))),CONCATENATE(TABLEAU!$AW10,"0H00"),CONCATENATE(TABLEAU!$AW10,"0")))</f>
        <v>''2.981H55''</v>
      </c>
      <c r="AS10" s="1288">
        <f ca="1">IF(DANS.DEP.UEFA&lt;&gt;"","#DEPASSE#",IF(DATE.UEFA&lt;0,"#DEPASSE#",IF(INT(CONCATENATE(TEXT(TABLEAU!$AO10-NOW()+"0:01","[H],MM"))/1000)=0,"",INT(CONCATENATE(TEXT(TABLEAU!$AO10-NOW()+"0:01","[H],MM"))/1000))))</f>
        <v>2</v>
      </c>
      <c r="AT10" s="1284" t="str">
        <f ca="1">IF(DANS.DEP.UEFA&lt;&gt;"","#DEPASSE#",IF(DATE.UEFA&lt;0,"#DEPASSE#",IF(TABLEAU!$M$10="00",CONCATENATE(SUBSTITUTE(TEXT(TABLEAU!$AO10+-NOW()+"0:00:01","[H]:MM"),":",",")),IF(AND(JOUR.UEFA=A,HOUR(HEURE.UEFA)=HOUR(HEURE.MAINTENANT),MINUTE(HEURE.UEFA)=MINUTE(HEURE.MAINTENANT)),"0",CONCATENATE(SUBSTITUTE(TEXT(TABLEAU!$AO10+"0:01:00"-NOW(),"[H]:MM"),":",","))))))</f>
        <v>2981,55</v>
      </c>
      <c r="AU10" s="1289">
        <f ca="1">IF(DANS.DEP.UEFA&lt;&gt;"","#DEPASSE#",IF(DATE.UEFA&lt;0,"#DEPASSE#",IF(TABLEAU!$AS10="","",TABLEAU!$AT10-(TABLEAU!$AS10*1000))))</f>
        <v>981.55000000000018</v>
      </c>
      <c r="AV10" s="1290" t="str">
        <f ca="1">IF(DANS.DEP.UEFA&lt;&gt;"","#DEPASSE#",IF(DATE.UEFA&lt;0,"#DEPASSE#",IF(AND(TABLEAU!$AS10&lt;&gt;"",TABLEAU!$AU10&lt;100),CONCATENATE(TABLEAU!$AS10,".0",ROUND(TABLEAU!$AU10,0)),IF(AND(TABLEAU!$AS10&lt;&gt;"",TABLEAU!$AU10&lt;1000),CONCATENATE(TABLEAU!$AS10,".",ROUND(TABLEAU!$AU10,0)),ROUND(TABLEAU!$AT10,0)))))</f>
        <v>2.982</v>
      </c>
      <c r="AW10" s="1291" t="str">
        <f ca="1">IF(DANS.DEP.UEFA&lt;&gt;"","#DEPASSE#",IF(DATE.UEFA&lt;0,"#DEPASSE#",SUBSTITUTE(SUBSTITUTE(SUBSTITUTE(SUBSTITUTE(SUBSTITUTE(SUBSTITUTE(SUBSTITUTE(SUBSTITUTE(SUBSTITUTE(SUBSTITUTE(IF(TABLEAU!$AU10&lt;10,ROUND(TABLEAU!$AU10,2),IF(ROUND(TABLEAU!$AV10-TABLEAU!$AT10,2)=0,"H00",SUBSTITUTE(SUBSTITUTE(SUBSTITUTE(ROUND(TABLEAU!$AV10-TABLEAU!$AT10,2),"-",""),",","H"),"0H","H"))),"0,","H"),"1,","H"),"2,","H"),"3,","H"),"4,","H"),"5,","H"),"6,","H"),"7,","H"),"8,","H"),"9,","H")))</f>
        <v>H45</v>
      </c>
      <c r="AX10" s="1292" t="str">
        <f ca="1">IF(DANS.DEP.UEFA&lt;&gt;"","#DEPASSE#",IF(DATE.UEFA&lt;0,"#DEPASSE#",IF(TABLEAU!$AU10="","",IF(TABLEAU!$AU$10="#DEPASSE#",TABLEAU!$AU$10,SUBSTITUTE(SUBSTITUTE(SUBSTITUTE(SUBSTITUTE(SUBSTITUTE(SUBSTITUTE(SUBSTITUTE(SUBSTITUTE(CONCATENATE("H",ROUND(TABLEAU!$AU$10-INT(TABLEAU!$AU$10),2)," "),"HH","H"),"0,",""),"H0 ","H00 "),"H1 ","H10 "),"H2 ","H20 "),"H3 ","H30 "),"H4 ","H40 "),"H5 ","H50 ")))))</f>
        <v xml:space="preserve">H55 </v>
      </c>
      <c r="AY10" s="1250" t="str">
        <f ca="1">IF(TABLEAU!$AQ$10&lt;&gt;"AUJOURD'HUI","",SUM(TABLEAU!$AV$10))</f>
        <v/>
      </c>
      <c r="AZ10" s="1533" t="str">
        <f ca="1">SUBSTITUTE(SUBSTITUTE(SUBSTITUTE(TABLEAU!$AX$10," ","]"),"H",""),"0]","")</f>
        <v>55]</v>
      </c>
      <c r="BA10" s="1534" t="str">
        <f ca="1">IF(LEN(TABLEAU!$AZ10)=3,SUBSTITUTE(TABLEAU!$AZ10,"]",""),TABLEAU!$AZ10)</f>
        <v>55</v>
      </c>
    </row>
    <row r="11" spans="1:53" ht="9.9499999999999993" customHeight="1" thickBot="1">
      <c r="A11" s="1233" t="str">
        <f ca="1">IF(TABLEAU!$A$10&lt;&gt;"",TABLEAU!$A$10,IF(DANS.EURO.VERIFIER="#DEPASSE#",SUBSTITUTE(DANS.EURO,"#DEPASSE",""),IF(DANS.CONFEDERATIONS.VERIFIER="#DEPASSE#",SUBSTITUTE(DANS.CONFEDERATIONS,"#DEPASSE",""),"")))</f>
        <v/>
      </c>
      <c r="B11" s="465"/>
      <c r="C11" s="449"/>
      <c r="D11" s="626"/>
      <c r="E11" s="627"/>
      <c r="F11" s="21" t="s">
        <v>1</v>
      </c>
      <c r="G11" s="2235" t="str">
        <f ca="1">UPPER(IF(TABLEAU!$P$64="#DEPASSE#",CONCATENATE("DEPASSE",TABLEAU!$L$64,TABLEAU!$C$64,"#"),MERCREDI.TV.2))</f>
        <v>#DANS 4 JOURS (MERCREDI 6 NOVEMBRE A 19H50 SUR W9): [LES MARSEILLAIS]#</v>
      </c>
      <c r="H11" s="2236"/>
      <c r="I11" s="804">
        <v>10</v>
      </c>
      <c r="J11" s="805" t="str">
        <f>UPPER("OCTOBRE")</f>
        <v>OCTOBRE</v>
      </c>
      <c r="K11" s="808">
        <f ca="1">IF(HOUR(NOW())&lt;10,CONCATENATE("0",HOUR(NOW())),HOUR(NOW()))</f>
        <v>13</v>
      </c>
      <c r="L11" s="802" t="str">
        <f ca="1">IF(TABLEAU!$K$12=0,0,TABLEAU!$K$12)</f>
        <v>00</v>
      </c>
      <c r="M11" s="2255" t="str">
        <f ca="1">UPPER(CONCATENATE("~",LOOKUP(WEEKDAY(A),SEMAINE)," ",DAY(A)," ",LOOKUP(MONTH(TODAY()),MOIS)," [",HEURE.MAINTENANT.2,"]~"))</f>
        <v>~SAMEDI 2 NOVEMBRE [13H00]~</v>
      </c>
      <c r="N11" s="2256"/>
      <c r="O11" s="2453"/>
      <c r="P11" s="1680"/>
      <c r="Q11" s="1681"/>
      <c r="R11" s="1681"/>
      <c r="S11" s="1681"/>
      <c r="T11" s="1681"/>
      <c r="U11" s="1681"/>
      <c r="V11" s="1812"/>
      <c r="W11" s="2441"/>
      <c r="X11" s="15"/>
      <c r="Y11" s="2443"/>
      <c r="Z11" s="2447"/>
      <c r="AA11" s="235">
        <f ca="1">IF(TABLEAU!$D$33&gt;0,0,IF(TABLEAU!$L$33="#DEPASSE#",0,TABLEAU!$M$33-H.M))</f>
        <v>0.32291666666666674</v>
      </c>
      <c r="AB11" s="2496">
        <f ca="1">YEAR(A)</f>
        <v>2019</v>
      </c>
      <c r="AC11" s="2497"/>
      <c r="AD11" s="2322"/>
      <c r="AE11" s="2117"/>
      <c r="AF11" s="2107"/>
      <c r="AG11" s="2108"/>
      <c r="AH11" s="2108"/>
      <c r="AI11" s="2109"/>
      <c r="AJ11" s="15"/>
      <c r="AK11" s="15"/>
      <c r="AL11" s="2082"/>
      <c r="AM11" s="2101"/>
      <c r="AN11" s="1293" t="str">
        <f>UPPER("MONDIAL")</f>
        <v>MONDIAL</v>
      </c>
      <c r="AO11" s="1294" t="str">
        <f>CONCATENATE(DAY(JOUR.MONDIAL),"/",MONTH(JOUR.MONDIAL),"/",YEAR(JOUR.MONDIAL)," ",TEXT(HEURE.MONDIAL,"[H]:MM"))</f>
        <v>21/11/2022 17:00</v>
      </c>
      <c r="AP11" s="1295" t="str">
        <f ca="1">UPPER(IF(DIF.MONDIAL="#DEPASSE#","OK",IF(INT(TABLEAU!$AT11)=0,"OK",IF(DIF.MONDIAL="","OK",IF(SUBSTITUTE(SUBSTITUTE(SUBSTITUTE(TABLEAU!$AR11,"''",""),"H",","),".","")&lt;&gt;TABLEAU!$AT11,"FAUX","OK")))))</f>
        <v>OK</v>
      </c>
      <c r="AQ11" s="1296" t="str">
        <f ca="1">IF(DANS.DEP.MONDIAL&lt;&gt;"","#DEPASSE#",IF(DATE.MONDIAL&lt;0,"#DEPASSE#",IF(DATE.MONDIAL=0,"AUJOURD'HUI",IF(DATE.MONDIAL=1,"DEMAIN",IF(DATE.MONDIAL&gt;1,CONCATENATE(DATE.MONDIAL," JOURS"))))))</f>
        <v>1115 JOURS</v>
      </c>
      <c r="AR11" s="1297" t="str">
        <f ca="1">IF(DANS.DEP.MONDIAL&lt;&gt;"","#DEPASSE#",SUBSTITUTE(IF(DATE.MONDIAL&lt;0,"#DEPASSE#",IF(OR(TABLEAU!$AU11=0,TABLEAU!$AU11&lt;0),CONCATENATE("''",SUBSTITUTE(TABLEAU!$AT11,",","H"),"''"),IF(AND(TABLEAU!$AS11="",TABLEAU!$AU11=""),CONCATENATE("''",SUBSTITUTE(TABLEAU!$AT11,",","H"),"''"),SUBSTITUTE(SUBSTITUTE(SUBSTITUTE(SUBSTITUTE(SUBSTITUTE(SUBSTITUTE(SUBSTITUTE(SUBSTITUTE(SUBSTITUTE(SUBSTITUTE(SUBSTITUTE(SUBSTITUTE(SUBSTITUTE(SUBSTITUTE(SUBSTITUTE(IF(AND(TABLEAU!$AV11=0,TABLEAU!$AW11&lt;&gt;0),CONCATENATE(SUBSTITUTE(TABLEAU!$AW11,"H","")," MIN"),SUBSTITUTE(IF(TABLEAU!$AV11&lt;1,CONCATENATE(SUBSTITUTE(TABLEAU!$AW11,"H0","")," MIN"),SUBSTITUTE(SUBSTITUTE(SUBSTITUTE(SUBSTITUTE(SUBSTITUTE(SUBSTITUTE(SUBSTITUTE(IF(AND(TABLEAU!$AS11&lt;&gt;"",TABLEAU!$AU11&lt;&gt;"",TABLEAU!$AU11=10),CONCATENATE("''",TABLEAU!$AV11,"''"),IF(AND(TABLEAU!$AS11&lt;&gt;"",TABLEAU!$AU11&lt;&gt;"",TABLEAU!$AU11&lt;10),CONCATENATE("''",TABLEAU!$AS11,".00",ROUND(TABLEAU!$AU11,2),"''"),IF(AND(TABLEAU!$AS11="",TABLEAU!$AV11&lt;100),CONCATENATE("''",TABLEAU!$AT11,"''"),IF(AND(TABLEAU!$AS11="",TABLEAU!$AT11=""),"",IF(AND(TABLEAU!$AS11="",TABLEAU!$AT11&lt;&gt;""),CONCATENATE("''",TABLEAU!$AT11,"''"),IF(AND(TABLEAU!$AS11&lt;&gt;"",TABLEAU!$AU11&lt;&gt;"",TABLEAU!$AU11&gt;99.99),CONCATENATE("''",TABLEAU!$AS11,".",ROUND(TABLEAU!$AU11,2),"''"),IF(AND(TABLEAU!$AS11&lt;&gt;"",TABLEAU!$AU11&lt;&gt;"",TABLEAU!$AU11&lt;100),CONCATENATE("''",TABLEAU!$AS11,".0",ROUND(TABLEAU!$AU11,2),"''")))))))),",","H"),"H1''","H10''"),"H2''","H20''"),"H3''","H30''"),"H4''","H40''"),"H5''","H50''"),CONCATENATE("''",TABLEAU!$AV11,"''"),CONCATENATE("''",TABLEAU!$AV11,"H00''"))),",00H00","H00")),"''","H00''"),"H00''1","''1"),"H00''2","''2"),"H00''3","''3"),"H00''4","''4"),"H00''5","''5"),"H00''6","''6"),"H00''7","''7"),"H00''8","''8"),"H00''9","''9"),SUBSTITUTE(CONCATENATE(TABLEAU!$AX11,"H00")," ",""),TABLEAU!$AX11)," ''","''"),CONCATENATE(TABLEAU!$AV11,"''"),CONCATENATE(TABLEAU!$AV11,TABLEAU!$AW11,"''")),CONCATENATE(TRIM(TABLEAU!$AW11),"0",TRIM(TABLEAU!$AX11),"''"),CONCATENATE(TABLEAU!$AW11,"0''")),CONCATENATE(TABLEAU!$AW11," ",TABLEAU!$AW11),TABLEAU!$AW11)))),CONCATENATE(TABLEAU!$AW11,"0H00"),CONCATENATE(TABLEAU!$AW11,"0")))</f>
        <v>''26.764H00''</v>
      </c>
      <c r="AS11" s="1301">
        <f ca="1">IF(DANS.DEP.MONDIAL&lt;&gt;"","#DEPASSE#",IF(DATE.MONDIAL&lt;0,"#DEPASSE#",IF(INT(CONCATENATE(TEXT(TABLEAU!$AO11-NOW()+"0:01","[H],MM"))/1000)=0,"",INT(CONCATENATE(TEXT(TABLEAU!$AO11-NOW()+"0:01","[H],MM"))/1000))))</f>
        <v>26</v>
      </c>
      <c r="AT11" s="1294" t="str">
        <f ca="1">IF(DANS.DEP.MONDIAL&lt;&gt;"","#DEPASSE#",IF(DATE.MONDIAL&lt;0,"#DEPASSE#",IF(TABLEAU!$M$10="00",CONCATENATE(SUBSTITUTE(TEXT(TABLEAU!$AO11+-NOW()+"0:00:01","[H]:MM"),":",",")),IF(AND(JOUR.MONDIAL=A,HOUR(HEURE.MONDIAL)=HOUR(HEURE.MAINTENANT),MINUTE(HEURE.MONDIAL)=MINUTE(HEURE.MAINTENANT)),"0",CONCATENATE(SUBSTITUTE(TEXT(TABLEAU!$AO11+"0:01:00"-NOW(),"[H]:MM"),":",","))))))</f>
        <v>26764,00</v>
      </c>
      <c r="AU11" s="1302">
        <f ca="1">IF(DANS.DEP.MONDIAL&lt;&gt;"","#DEPASSE#",IF(DATE.MONDIAL&lt;0,"#DEPASSE#",IF(TABLEAU!$AS11="","",TABLEAU!$AT11-(TABLEAU!$AS11*1000))))</f>
        <v>764</v>
      </c>
      <c r="AV11" s="1298" t="str">
        <f ca="1">IF(DANS.DEP.MONDIAL&lt;&gt;"","#DEPASSE#",IF(DATE.MONDIAL&lt;0,"#DEPASSE#",IF(AND(TABLEAU!$AS11&lt;&gt;"",TABLEAU!$AU11&lt;100),CONCATENATE(TABLEAU!$AS11,".0",ROUND(TABLEAU!$AU11,0)),IF(AND(TABLEAU!$AS11&lt;&gt;"",TABLEAU!$AU11&lt;1000),CONCATENATE(TABLEAU!$AS11,".",ROUND(TABLEAU!$AU11,0)),ROUND(TABLEAU!$AT11,0)))))</f>
        <v>26.764</v>
      </c>
      <c r="AW11" s="1299" t="str">
        <f ca="1">IF(DANS.DEP.MONDIAL&lt;&gt;"","#DEPASSE#",IF(DATE.MONDIAL&lt;0,"#DEPASSE#",SUBSTITUTE(SUBSTITUTE(SUBSTITUTE(SUBSTITUTE(SUBSTITUTE(SUBSTITUTE(SUBSTITUTE(SUBSTITUTE(SUBSTITUTE(SUBSTITUTE(IF(TABLEAU!$AU11&lt;10,ROUND(TABLEAU!$AU11,2),IF(ROUND(TABLEAU!$AV11-TABLEAU!$AT11,2)=0,"H00",SUBSTITUTE(SUBSTITUTE(SUBSTITUTE(ROUND(TABLEAU!$AV11-TABLEAU!$AT11,2),"-",""),",","H"),"0H","H"))),"0,","H"),"1,","H"),"2,","H"),"3,","H"),"4,","H"),"5,","H"),"6,","H"),"7,","H"),"8,","H"),"9,","H")))</f>
        <v>H00</v>
      </c>
      <c r="AX11" s="1300" t="str">
        <f ca="1">IF(DANS.DEP.MONDIAL&lt;&gt;"","#DEPASSE#",IF(DATE.MONDIAL&lt;0,"#DEPASSE#",IF(TABLEAU!$AU$11="","",IF(TABLEAU!$AU$11="#DEPASSE#",TABLEAU!$AU$11,SUBSTITUTE(SUBSTITUTE(SUBSTITUTE(SUBSTITUTE(SUBSTITUTE(SUBSTITUTE(SUBSTITUTE(SUBSTITUTE(CONCATENATE("H",ROUND(TABLEAU!$AU$11-INT(TABLEAU!$AU$11),2)," "),"HH","H"),"0,",""),"H0 ","H00 "),"H1 ","H10 "),"H2 ","H20 "),"H3 ","H30 "),"H4 ","H40 "),"H5 ","H50 ")))))</f>
        <v xml:space="preserve">H00 </v>
      </c>
      <c r="AY11" s="1281" t="str">
        <f ca="1">IF(TABLEAU!$AQ$11&lt;&gt;"AUJOURD'HUI","",SUM(TABLEAU!$AV$11))</f>
        <v/>
      </c>
      <c r="AZ11" s="1533" t="str">
        <f ca="1">SUBSTITUTE(SUBSTITUTE(SUBSTITUTE(TABLEAU!$AX$11," ","]"),"H",""),"0]","")</f>
        <v>0</v>
      </c>
      <c r="BA11" s="1534" t="str">
        <f ca="1">IF(LEN(TABLEAU!$AZ11)=3,SUBSTITUTE(TABLEAU!$AZ11,"]",""),TABLEAU!$AZ11)</f>
        <v>0</v>
      </c>
    </row>
    <row r="12" spans="1:53" ht="9.9499999999999993" customHeight="1">
      <c r="A12" s="1233" t="str">
        <f ca="1">UPPER(SUBSTITUTE(SUBSTITUTE(SUBSTITUTE(SUBSTITUTE(SUBSTITUTE(SUBSTITUTE(SUBSTITUTE(SUBSTITUTE(SUBSTITUTE(SUBSTITUTE(SUBSTITUTE(SUBSTITUTE(TABLEAU!$A$190,"LUNDI (A","(LUNDI A"),"MARDI (A","(MARDI A"),"MERCREDI (A","(MERCREDI A"),"JEUDI (A","(JEUDI A"),"VENDREDI (A","(VENDREDI A"),"SAMEDI (A","(SAMEDI A"),"DIMANCHE (A","(DIMANCHE A")," &amp;  &amp; ("," &amp; #("),"] &amp; (","]# &amp; #("),"DIMANCHE A 1H05","LUNDI A 1H05"),"[DEPASSE","DEPASSE"),"##","# &amp; #"))</f>
        <v/>
      </c>
      <c r="B12" s="466" t="s">
        <v>66</v>
      </c>
      <c r="C12" s="29"/>
      <c r="D12" s="628"/>
      <c r="E12" s="627"/>
      <c r="F12" s="21" t="s">
        <v>1</v>
      </c>
      <c r="G12" s="2235" t="str">
        <f ca="1">UPPER(IF(TABLEAU!$P$65="#DEPASSE#",CONCATENATE("DEPASSE",TABLEAU!$L$65,TABLEAU!$C$65,"#"),MERCREDI.TV.3))</f>
        <v>#DANS 4 JOURS (MERCREDI 6 NOVEMBRE A 20H40 SUR AB1): [RAW]#</v>
      </c>
      <c r="H12" s="2236"/>
      <c r="I12" s="17">
        <v>11</v>
      </c>
      <c r="J12" s="18" t="str">
        <f>UPPER("NOVEMBRE")</f>
        <v>NOVEMBRE</v>
      </c>
      <c r="K12" s="25" t="str">
        <f ca="1">IF(MINUTE(NOW())&lt;10,CONCATENATE("0",MINUTE(NOW())),MINUTE(NOW()))</f>
        <v>00</v>
      </c>
      <c r="L12" s="811">
        <f ca="1">TODAY()</f>
        <v>43771</v>
      </c>
      <c r="M12" s="2257">
        <f ca="1">WEEKDAY(AUJOURDHUI)</f>
        <v>7</v>
      </c>
      <c r="N12" s="2259" t="str">
        <f ca="1">LOOKUP(WEEKDAY(TODAY()),SEMAINE)</f>
        <v>SAMEDI</v>
      </c>
      <c r="O12" s="2453"/>
      <c r="P12" s="1680"/>
      <c r="Q12" s="1681"/>
      <c r="R12" s="1681"/>
      <c r="S12" s="1681"/>
      <c r="T12" s="1681"/>
      <c r="U12" s="1681"/>
      <c r="V12" s="1812"/>
      <c r="W12" s="2441"/>
      <c r="X12" s="15"/>
      <c r="Y12" s="2443"/>
      <c r="Z12" s="2447"/>
      <c r="AA12" s="26" t="str">
        <f ca="1">SUBSTITUTE(SUBSTITUTE(SUBSTITUTE(SUBSTITUTE(IF(TABLEAU!$AD$2=TABLEAU!$AE$2,"",SUBSTITUTE(SUBSTITUTE(IF(TABLEAU!$W$28&lt;&gt;"",TRIM(CONCATENATE("#EVENEMENT DEPASSE",TABLEAU!$V$33," ",TABLEAU!$V$34," ",TABLEAU!$V$35," ",TABLEAU!$V$36," ",TABLEAU!$V$37," ",TABLEAU!$V$38," ",TABLEAU!$V$39," ",TABLEAU!$V$40," ",TABLEAU!$V$41,"#")),"")," #","#"),"##","#")),"#DEPASSE",""),"&amp; DEPUIS"," &amp; DEPASSE DEPUIS"),"EVENEMENT ",""),CONCATENATE(DATE.RDV.TV," A "),"A ")</f>
        <v/>
      </c>
      <c r="AB12" s="2500" t="str">
        <f ca="1">SUBSTITUTE(TABLEAU!$AB$5,CONCATENATE(DATE.RDV.TV," "),"")</f>
        <v>2 NOVEMBRE 2019</v>
      </c>
      <c r="AC12" s="2501"/>
      <c r="AD12" s="2322"/>
      <c r="AE12" s="2117"/>
      <c r="AF12" s="2107"/>
      <c r="AG12" s="2108"/>
      <c r="AH12" s="2108"/>
      <c r="AI12" s="2109"/>
      <c r="AJ12" s="15"/>
      <c r="AK12" s="15"/>
      <c r="AL12" s="2082"/>
      <c r="AM12" s="2101"/>
      <c r="AN12" s="1303" t="str">
        <f>UPPER("EURO")</f>
        <v>EURO</v>
      </c>
      <c r="AO12" s="1304" t="str">
        <f>CONCATENATE(DAY(JOUR.EURO),"/",MONTH(JOUR.EURO),"/",YEAR(JOUR.EURO)," ",TEXT(HEURE.EURO,"[H]:MM"))</f>
        <v>10/6/2020 21:00</v>
      </c>
      <c r="AP12" s="1305" t="str">
        <f ca="1">UPPER(IF(DIF.EURO="#DEPASSE#","OK",IF(INT(TABLEAU!$AT12)=0,"OK",IF(DIF.EURO="","OK",IF(SUBSTITUTE(SUBSTITUTE(SUBSTITUTE(TABLEAU!$AR12,"''",""),"H",","),".","")&lt;&gt;TABLEAU!$AT12,"FAUX","OK")))))</f>
        <v>OK</v>
      </c>
      <c r="AQ12" s="1306" t="str">
        <f ca="1">IF(DANS.DEP.EURO&lt;&gt;"","#DEPASSE#",IF(DATE.EURO&lt;0,"#DEPASSE#",IF(DATE.EURO=0,"AUJOURD'HUI",IF(DATE.EURO=1,"DEMAIN",IF(DATE.EURO&gt;1,CONCATENATE(DATE.EURO," JOURS"))))))</f>
        <v>221 JOURS</v>
      </c>
      <c r="AR12" s="1307" t="str">
        <f ca="1">IF(DANS.DEP.EURO&lt;&gt;"","#DEPASSE#",SUBSTITUTE(IF(DATE.EURO&lt;0,"#DEPASSE#",IF(OR(TABLEAU!$AU12=0,TABLEAU!$AU12&lt;0),CONCATENATE("''",SUBSTITUTE(TABLEAU!$AT12,",","H"),"''"),IF(AND(TABLEAU!$AS12="",TABLEAU!$AU12=""),CONCATENATE("''",SUBSTITUTE(TABLEAU!$AT12,",","H"),"''"),SUBSTITUTE(SUBSTITUTE(SUBSTITUTE(SUBSTITUTE(SUBSTITUTE(SUBSTITUTE(SUBSTITUTE(SUBSTITUTE(SUBSTITUTE(SUBSTITUTE(SUBSTITUTE(SUBSTITUTE(SUBSTITUTE(SUBSTITUTE(SUBSTITUTE(IF(AND(TABLEAU!$AV12=0,TABLEAU!$AW12&lt;&gt;0),CONCATENATE(SUBSTITUTE(TABLEAU!$AW12,"H","")," MIN"),SUBSTITUTE(IF(TABLEAU!$AV12&lt;1,CONCATENATE(SUBSTITUTE(TABLEAU!$AW12,"H0","")," MIN"),SUBSTITUTE(SUBSTITUTE(SUBSTITUTE(SUBSTITUTE(SUBSTITUTE(SUBSTITUTE(SUBSTITUTE(IF(AND(TABLEAU!$AS12&lt;&gt;"",TABLEAU!$AU12&lt;&gt;"",TABLEAU!$AU12=10),CONCATENATE("''",TABLEAU!$AV12,"''"),IF(AND(TABLEAU!$AS12&lt;&gt;"",TABLEAU!$AU12&lt;&gt;"",TABLEAU!$AU12&lt;10),CONCATENATE("''",TABLEAU!$AS12,".00",ROUND(TABLEAU!$AU12,2),"''"),IF(AND(TABLEAU!$AS12="",TABLEAU!$AV12&lt;100),CONCATENATE("''",TABLEAU!$AT12,"''"),IF(AND(TABLEAU!$AS12="",TABLEAU!$AT12=""),"",IF(AND(TABLEAU!$AS12="",TABLEAU!$AT12&lt;&gt;""),CONCATENATE("''",TABLEAU!$AT12,"''"),IF(AND(TABLEAU!$AS12&lt;&gt;"",TABLEAU!$AU12&lt;&gt;"",TABLEAU!$AU12&gt;99.99),CONCATENATE("''",TABLEAU!$AS12,".",ROUND(TABLEAU!$AU12,2),"''"),IF(AND(TABLEAU!$AS12&lt;&gt;"",TABLEAU!$AU12&lt;&gt;"",TABLEAU!$AU12&lt;100),CONCATENATE("''",TABLEAU!$AS12,".0",ROUND(TABLEAU!$AU12,2),"''")))))))),",","H"),"H1''","H10''"),"H2''","H20''"),"H3''","H30''"),"H4''","H40''"),"H5''","H50''"),CONCATENATE("''",TABLEAU!$AV12,"''"),CONCATENATE("''",TABLEAU!$AV12,"H00''"))),",00H00","H00")),"''","H00''"),"H00''1","''1"),"H00''2","''2"),"H00''3","''3"),"H00''4","''4"),"H00''5","''5"),"H00''6","''6"),"H00''7","''7"),"H00''8","''8"),"H00''9","''9"),SUBSTITUTE(CONCATENATE(TABLEAU!$AX12,"H00")," ",""),TABLEAU!$AX12)," ''","''"),CONCATENATE(TABLEAU!$AV12,"''"),CONCATENATE(TABLEAU!$AV12,TABLEAU!$AW12,"''")),CONCATENATE(TRIM(TABLEAU!$AW12),"0",TRIM(TABLEAU!$AX12),"''"),CONCATENATE(TABLEAU!$AW12,"0''")),CONCATENATE(TABLEAU!$AW12," ",TABLEAU!$AW12),TABLEAU!$AW12)))),CONCATENATE(TABLEAU!$AW12,"0H00"),CONCATENATE(TABLEAU!$AW12,"0")))</f>
        <v>''5.312H00''</v>
      </c>
      <c r="AS12" s="1308">
        <f ca="1">IF(DANS.DEP.EURO&lt;&gt;"","#DEPASSE#",IF(DATE.EURO&lt;0,"#DEPASSE#",IF(INT(CONCATENATE(TEXT(TABLEAU!$AO12-NOW()+"0:01","[H],MM"))/1000)=0,"",INT(CONCATENATE(TEXT(TABLEAU!$AO12-NOW()+"0:01","[H],MM"))/1000))))</f>
        <v>5</v>
      </c>
      <c r="AT12" s="1304" t="str">
        <f ca="1">IF(DANS.DEP.EURO&lt;&gt;"","#DEPASSE#",IF(DATE.EURO&lt;0,"#DEPASSE#",IF(TABLEAU!$M$10="00",CONCATENATE(SUBSTITUTE(TEXT(TABLEAU!$AO12+-NOW()+"0:00:01","[H]:MM"),":",",")),IF(AND(JOUR.EURO=A,HOUR(HEURE.EURO)=HOUR(HEURE.MAINTENANT),MINUTE(HEURE.EURO)=MINUTE(HEURE.MAINTENANT)),"0",CONCATENATE(SUBSTITUTE(TEXT(TABLEAU!$AO12+"0:01:00"-NOW(),"[H]:MM"),":",","))))))</f>
        <v>5312,00</v>
      </c>
      <c r="AU12" s="1309">
        <f ca="1">IF(DANS.DEP.EURO&lt;&gt;"","#DEPASSE#",IF(DATE.EURO&lt;0,"#DEPASSE#",IF(TABLEAU!$AS12="","",TABLEAU!$AT12-(TABLEAU!$AS12*1000))))</f>
        <v>312</v>
      </c>
      <c r="AV12" s="1310" t="str">
        <f ca="1">IF(DANS.DEP.EURO&lt;&gt;"","#DEPASSE#",IF(DATE.EURO&lt;0,"#DEPASSE#",IF(AND(TABLEAU!$AS12&lt;&gt;"",TABLEAU!$AU12&lt;100),CONCATENATE(TABLEAU!$AS12,".0",ROUND(TABLEAU!$AU12,0)),IF(AND(TABLEAU!$AS12&lt;&gt;"",TABLEAU!$AU12&lt;1000),CONCATENATE(TABLEAU!$AS12,".",ROUND(TABLEAU!$AU12,0)),ROUND(TABLEAU!$AT12,0)))))</f>
        <v>5.312</v>
      </c>
      <c r="AW12" s="1311" t="str">
        <f ca="1">IF(DANS.DEP.EURO&lt;&gt;"","#DEPASSE#",IF(DATE.EURO&lt;0,"#DEPASSE#",SUBSTITUTE(SUBSTITUTE(SUBSTITUTE(SUBSTITUTE(SUBSTITUTE(SUBSTITUTE(SUBSTITUTE(SUBSTITUTE(SUBSTITUTE(SUBSTITUTE(IF(TABLEAU!$AU12&lt;10,ROUND(TABLEAU!$AU12,2),IF(ROUND(TABLEAU!$AV12-TABLEAU!$AT12,2)=0,"H00",SUBSTITUTE(SUBSTITUTE(SUBSTITUTE(ROUND(TABLEAU!$AV12-TABLEAU!$AT12,2),"-",""),",","H"),"0H","H"))),"0,","H"),"1,","H"),"2,","H"),"3,","H"),"4,","H"),"5,","H"),"6,","H"),"7,","H"),"8,","H"),"9,","H")))</f>
        <v>H00</v>
      </c>
      <c r="AX12" s="1312" t="str">
        <f ca="1">IF(DANS.DEP.EURO&lt;&gt;"","#DEPASSE#",IF(DATE.EURO&lt;0,"#DEPASSE#",IF(TABLEAU!$AU$12="","",IF(TABLEAU!$AU$12="#DEPASSE#",TABLEAU!$AU$12,SUBSTITUTE(SUBSTITUTE(SUBSTITUTE(SUBSTITUTE(SUBSTITUTE(SUBSTITUTE(SUBSTITUTE(SUBSTITUTE(CONCATENATE("H",ROUND(TABLEAU!$AU$12-INT(TABLEAU!$AU$12),2)," "),"HH","H"),"0,",""),"H0 ","H00 "),"H1 ","H10 "),"H2 ","H20 "),"H3 ","H30 "),"H4 ","H40 "),"H5 ","H50 ")))))</f>
        <v xml:space="preserve">H00 </v>
      </c>
      <c r="AY12" s="1251" t="str">
        <f ca="1">IF(TABLEAU!$AQ$12&lt;&gt;"AUJOURD'HUI","",SUM(TABLEAU!$AV$12))</f>
        <v/>
      </c>
      <c r="AZ12" s="1533" t="str">
        <f ca="1">SUBSTITUTE(SUBSTITUTE(SUBSTITUTE(TABLEAU!$AX$12," ","]"),"H",""),"0]","")</f>
        <v>0</v>
      </c>
      <c r="BA12" s="1534" t="str">
        <f ca="1">IF(LEN(TABLEAU!$AZ12)=3,SUBSTITUTE(TABLEAU!$AZ12,"]",""),TABLEAU!$AZ12)</f>
        <v>0</v>
      </c>
    </row>
    <row r="13" spans="1:53" ht="9.9499999999999993" customHeight="1" thickBot="1">
      <c r="A13" s="1233" t="str">
        <f ca="1">UPPER(SUBSTITUTE(SUBSTITUTE(SUBSTITUTE(SUBSTITUTE(SUBSTITUTE(SUBSTITUTE(SUBSTITUTE(SUBSTITUTE(IF(DATE.COLLER.2&lt;&gt;A,ERREUR.DATE,SUBSTITUTE(TABLEAU!$X$1,"# &amp; #DANS"," &amp; DANS")),"#ERREUR","                                         #ERREUR"),"{1 RDV}= ",""),"DEMAIN LUNDI (A 1H05","CETTE NUIT (A 1H05"),"(A 1H05): [PPV DE CATCH SUR AB1]","(A 1H05 SUR AB1): [PPV DE CATCH]"),CONCATENATE(YEAR(A)," "),""),CONCATENATE("DEMAIN (",LOOKUP(WEEKDAY(B),SEMAINE)," (A"),CONCATENATE("DEMAIN ",LOOKUP(WEEKDAY(B),SEMAINE)," A")),CONCATENATE("DEMAIN ",LOOKUP(WEEKDAY(B),SEMAINE)," (A"),CONCATENATE("DEMAIN (",LOOKUP(WEEKDAY(B),SEMAINE)," A")),"[DEPASSE","DEPASSE"))</f>
        <v/>
      </c>
      <c r="B13" s="466" t="s">
        <v>66</v>
      </c>
      <c r="C13" s="29"/>
      <c r="D13" s="628"/>
      <c r="E13" s="627"/>
      <c r="F13" s="21"/>
      <c r="G13" s="2235" t="str">
        <f ca="1">UPPER(IF(TABLEAU!$P$66="#DEPASSE#",CONCATENATE("DEPASSE",TABLEAU!$L$66,TABLEAU!$C$66,"#"),MERCREDI.TV.4))</f>
        <v/>
      </c>
      <c r="H13" s="2236"/>
      <c r="I13" s="816">
        <v>12</v>
      </c>
      <c r="J13" s="817" t="str">
        <f>UPPER("DECEMBRE")</f>
        <v>DECEMBRE</v>
      </c>
      <c r="K13" s="807" t="str">
        <f ca="1">UPPER(CONCATENATE(HOUR(NOW()),"H",TABLEAU!$K$12))</f>
        <v>13H00</v>
      </c>
      <c r="L13" s="803">
        <f ca="1">TODAY()+1</f>
        <v>43772</v>
      </c>
      <c r="M13" s="2258"/>
      <c r="N13" s="2260"/>
      <c r="O13" s="2454"/>
      <c r="P13" s="1680"/>
      <c r="Q13" s="1681"/>
      <c r="R13" s="1681"/>
      <c r="S13" s="1681"/>
      <c r="T13" s="1681"/>
      <c r="U13" s="1681"/>
      <c r="V13" s="1812"/>
      <c r="W13" s="2441"/>
      <c r="X13" s="450"/>
      <c r="Y13" s="2443"/>
      <c r="Z13" s="2447"/>
      <c r="AA13" s="236" t="str">
        <f ca="1">CONCATENATE(HOUR(HEURE.MAINTENANT),":",TABLEAU!$K$12)</f>
        <v>13:00</v>
      </c>
      <c r="AB13" s="2319" t="str">
        <f ca="1">CONCATENATE(" 20",YEAR(A)-2000,"-",YEAR(A)-2000+1)</f>
        <v xml:space="preserve"> 2019-20</v>
      </c>
      <c r="AC13" s="2320" t="str">
        <f ca="1">SUBSTITUTE(CONCATENATE(" ",YEAR(A)-1,"-",YEAR(A),""),"-20","-")</f>
        <v xml:space="preserve"> 2018-19</v>
      </c>
      <c r="AD13" s="2323"/>
      <c r="AE13" s="2118"/>
      <c r="AF13" s="2107"/>
      <c r="AG13" s="2108"/>
      <c r="AH13" s="2108"/>
      <c r="AI13" s="2109"/>
      <c r="AJ13" s="15"/>
      <c r="AK13" s="15"/>
      <c r="AL13" s="2082"/>
      <c r="AM13" s="2095" t="str">
        <f ca="1">SUBSTITUTE(IF(FICHIER.A.MODIFIER="#DEPASSE#",CONCATENATE(TABLEAU!$B$33," &amp; ",TABLEAU!$B$33)),CONCATENATE(" ",YEAR(A)),"")</f>
        <v>FAUX</v>
      </c>
      <c r="AN13" s="1313" t="str">
        <f>UPPER("CONFEDERATIONS")</f>
        <v>CONFEDERATIONS</v>
      </c>
      <c r="AO13" s="1314" t="str">
        <f>CONCATENATE(DAY(JOUR.CONFEDERATIONS),"/",MONTH(JOUR.CONFEDERATIONS),"/",YEAR(JOUR.CONFEDERATIONS)," ",TEXT(HEURE.CONFEDERATIONS,"[H]:MM"))</f>
        <v>3/6/2021 21:00</v>
      </c>
      <c r="AP13" s="1315" t="str">
        <f ca="1">UPPER(IF(DIF.CONFEDERATIONS="#DEPASSE#","OK",IF(INT(TABLEAU!$AT13)=0,"OK",IF(DIF.CONFEDERATIONS="","OK",IF(SUBSTITUTE(SUBSTITUTE(SUBSTITUTE(TABLEAU!$AR13,"''",""),"H",","),".","")&lt;&gt;TABLEAU!$AT13,"FAUX","OK")))))</f>
        <v>OK</v>
      </c>
      <c r="AQ13" s="1316" t="str">
        <f ca="1">IF(DANS.DEP.CONFEDERATIONS&lt;&gt;"","#DEPASSE#",IF(DATE.CONFEDERATIONS&lt;0,"#DEPASSE#",IF(DATE.CONFEDERATIONS=0,"AUJOURD'HUI",IF(DATE.CONFEDERATIONS=1,"DEMAIN",IF(DATE.CONFEDERATIONS&gt;1,CONCATENATE(DATE.CONFEDERATIONS," JOURS"))))))</f>
        <v>579 JOURS</v>
      </c>
      <c r="AR13" s="1317" t="str">
        <f ca="1">IF(DANS.DEP.CONFEDERATIONS&lt;&gt;"","#DEPASSE#",SUBSTITUTE(IF(DATE.CONFEDERATIONS&lt;0,"#DEPASSE#",IF(OR(TABLEAU!$AU13=0,TABLEAU!$AU13&lt;0),CONCATENATE("''",SUBSTITUTE(TABLEAU!$AT13,",","H"),"''"),IF(AND(TABLEAU!$AS13="",TABLEAU!$AU13=""),CONCATENATE("''",SUBSTITUTE(TABLEAU!$AT13,",","H"),"''"),SUBSTITUTE(SUBSTITUTE(SUBSTITUTE(SUBSTITUTE(SUBSTITUTE(SUBSTITUTE(SUBSTITUTE(SUBSTITUTE(SUBSTITUTE(SUBSTITUTE(SUBSTITUTE(SUBSTITUTE(SUBSTITUTE(SUBSTITUTE(SUBSTITUTE(IF(AND(TABLEAU!$AV13=0,TABLEAU!$AW13&lt;&gt;0),CONCATENATE(SUBSTITUTE(TABLEAU!$AW13,"H","")," MIN"),SUBSTITUTE(IF(TABLEAU!$AV13&lt;1,CONCATENATE(SUBSTITUTE(TABLEAU!$AW13,"H0","")," MIN"),SUBSTITUTE(SUBSTITUTE(SUBSTITUTE(SUBSTITUTE(SUBSTITUTE(SUBSTITUTE(SUBSTITUTE(IF(AND(TABLEAU!$AS13&lt;&gt;"",TABLEAU!$AU13&lt;&gt;"",TABLEAU!$AU13=10),CONCATENATE("''",TABLEAU!$AV13,"''"),IF(AND(TABLEAU!$AS13&lt;&gt;"",TABLEAU!$AU13&lt;&gt;"",TABLEAU!$AU13&lt;10),CONCATENATE("''",TABLEAU!$AS13,".00",ROUND(TABLEAU!$AU13,2),"''"),IF(AND(TABLEAU!$AS13="",TABLEAU!$AV13&lt;100),CONCATENATE("''",TABLEAU!$AT13,"''"),IF(AND(TABLEAU!$AS13="",TABLEAU!$AT13=""),"",IF(AND(TABLEAU!$AS13="",TABLEAU!$AT13&lt;&gt;""),CONCATENATE("''",TABLEAU!$AT13,"''"),IF(AND(TABLEAU!$AS13&lt;&gt;"",TABLEAU!$AU13&lt;&gt;"",TABLEAU!$AU13&gt;99.99),CONCATENATE("''",TABLEAU!$AS13,".",ROUND(TABLEAU!$AU13,2),"''"),IF(AND(TABLEAU!$AS13&lt;&gt;"",TABLEAU!$AU13&lt;&gt;"",TABLEAU!$AU13&lt;100),CONCATENATE("''",TABLEAU!$AS13,".0",ROUND(TABLEAU!$AU13,2),"''")))))))),",","H"),"H1''","H10''"),"H2''","H20''"),"H3''","H30''"),"H4''","H40''"),"H5''","H50''"),CONCATENATE("''",TABLEAU!$AV13,"''"),CONCATENATE("''",TABLEAU!$AV13,"H00''"))),",00H00","H00")),"''","H00''"),"H00''1","''1"),"H00''2","''2"),"H00''3","''3"),"H00''4","''4"),"H00''5","''5"),"H00''6","''6"),"H00''7","''7"),"H00''8","''8"),"H00''9","''9"),SUBSTITUTE(CONCATENATE(TABLEAU!$AX13,"H00")," ",""),TABLEAU!$AX13)," ''","''"),CONCATENATE(TABLEAU!$AV13,"''"),CONCATENATE(TABLEAU!$AV13,TABLEAU!$AW13,"''")),CONCATENATE(TRIM(TABLEAU!$AW13),"0",TRIM(TABLEAU!$AX13),"''"),CONCATENATE(TABLEAU!$AW13,"0''")),CONCATENATE(TABLEAU!$AW13," ",TABLEAU!$AW13),TABLEAU!$AW13)))),CONCATENATE(TABLEAU!$AW13,"0H00"),CONCATENATE(TABLEAU!$AW13,"0")))</f>
        <v>''13.904H00''</v>
      </c>
      <c r="AS13" s="1318">
        <f ca="1">IF(DANS.DEP.CONFEDERATIONS&lt;&gt;"","#DEPASSE#",IF(DATE.CONFEDERATIONS&lt;0,"#DEPASSE#",IF(INT(CONCATENATE(TEXT(TABLEAU!$AO13-NOW()+"0:01","[H],MM"))/1000)=0,"",INT(CONCATENATE(TEXT(TABLEAU!$AO13-NOW()+"0:01","[H],MM"))/1000))))</f>
        <v>13</v>
      </c>
      <c r="AT13" s="1319" t="str">
        <f ca="1">IF(DANS.DEP.CONFEDERATIONS&lt;&gt;"","#DEPASSE#",IF(DATE.CONFEDERATIONS&lt;0,"#DEPASSE#",IF(TABLEAU!$M$10="00",CONCATENATE(SUBSTITUTE(TEXT(TABLEAU!$AO13+-NOW()+"0:00:01","[H]:MM"),":",",")),IF(AND(JOUR.CONFEDERATIONS=A,HOUR(HEURE.CONFEDERATIONS)=HOUR(HEURE.MAINTENANT),MINUTE(HEURE.CONFEDERATIONS)=MINUTE(HEURE.MAINTENANT)),"0",CONCATENATE(SUBSTITUTE(TEXT(TABLEAU!$AO13+"0:01:00"-NOW(),"[H]:MM"),":",","))))))</f>
        <v>13904,00</v>
      </c>
      <c r="AU13" s="1320">
        <f ca="1">IF(DANS.DEP.CONFEDERATIONS&lt;&gt;"","#DEPASSE#",IF(DATE.CONFEDERATIONS&lt;0,"#DEPASSE#",IF(TABLEAU!$AS13="","",TABLEAU!$AT13-(TABLEAU!$AS13*1000))))</f>
        <v>904</v>
      </c>
      <c r="AV13" s="1321" t="str">
        <f ca="1">IF(DANS.DEP.CONFEDERATIONS&lt;&gt;"","#DEPASSE#",IF(DATE.CONFEDERATIONS&lt;0,"#DEPASSE#",IF(AND(TABLEAU!$AS13&lt;&gt;"",TABLEAU!$AU13&lt;100),CONCATENATE(TABLEAU!$AS13,".0",ROUND(TABLEAU!$AU13,0)),IF(AND(TABLEAU!$AS13&lt;&gt;"",TABLEAU!$AU13&lt;1000),CONCATENATE(TABLEAU!$AS13,".",ROUND(TABLEAU!$AU13,0)),ROUND(TABLEAU!$AT13,0)))))</f>
        <v>13.904</v>
      </c>
      <c r="AW13" s="1322" t="str">
        <f ca="1">IF(DANS.DEP.CONFEDERATIONS&lt;&gt;"","#DEPASSE#",IF(DATE.CONFEDERATIONS&lt;0,"#DEPASSE#",SUBSTITUTE(SUBSTITUTE(SUBSTITUTE(SUBSTITUTE(SUBSTITUTE(SUBSTITUTE(SUBSTITUTE(SUBSTITUTE(SUBSTITUTE(SUBSTITUTE(IF(TABLEAU!$AU13&lt;10,ROUND(TABLEAU!$AU13,2),IF(ROUND(TABLEAU!$AV13-TABLEAU!$AT13,2)=0,"H00",SUBSTITUTE(SUBSTITUTE(SUBSTITUTE(ROUND(TABLEAU!$AV13-TABLEAU!$AT13,2),"-",""),",","H"),"0H","H"))),"0,","H"),"1,","H"),"2,","H"),"3,","H"),"4,","H"),"5,","H"),"6,","H"),"7,","H"),"8,","H"),"9,","H")))</f>
        <v>H00</v>
      </c>
      <c r="AX13" s="1323" t="str">
        <f ca="1">IF(DANS.DEP.CONFEDERATIONS&lt;&gt;"","#DEPASSE#",IF(DATE.CONFEDERATIONS&lt;0,"#DEPASSE#",IF(TABLEAU!$AU$13="","",IF(TABLEAU!$AU$13="#DEPASSE#",TABLEAU!$AU$13,SUBSTITUTE(SUBSTITUTE(SUBSTITUTE(SUBSTITUTE(SUBSTITUTE(SUBSTITUTE(SUBSTITUTE(SUBSTITUTE(CONCATENATE("H",ROUND(TABLEAU!$AU$13-INT(TABLEAU!$AU$13),2)," "),"HH","H"),"0,",""),"H0 ","H00 "),"H1 ","H10 "),"H2 ","H20 "),"H3 ","H30 "),"H4 ","H40 "),"H5 ","H50 ")))))</f>
        <v xml:space="preserve">H00 </v>
      </c>
      <c r="AY13" s="1077" t="str">
        <f ca="1">IF(TABLEAU!$AQ$13&lt;&gt;"AUJOURD'HUI","",SUM(TABLEAU!$AV$13))</f>
        <v/>
      </c>
      <c r="AZ13" s="1533" t="str">
        <f ca="1">SUBSTITUTE(SUBSTITUTE(SUBSTITUTE(TABLEAU!$AX$13," ","]"),"H",""),"0]","")</f>
        <v>0</v>
      </c>
      <c r="BA13" s="1534" t="str">
        <f ca="1">IF(LEN(TABLEAU!$AZ13)=3,SUBSTITUTE(TABLEAU!$AZ13,"]",""),TABLEAU!$AZ13)</f>
        <v>0</v>
      </c>
    </row>
    <row r="14" spans="1:53" ht="9.9499999999999993" customHeight="1" thickTop="1" thickBot="1">
      <c r="A14" s="1487"/>
      <c r="B14" s="451"/>
      <c r="C14" s="29"/>
      <c r="D14" s="628"/>
      <c r="E14" s="627"/>
      <c r="F14" s="21" t="s">
        <v>1</v>
      </c>
      <c r="G14" s="2235" t="str">
        <f ca="1">UPPER(IF(TABLEAU!$P$67="#DEPASSE#",CONCATENATE("DEPASSE",TABLEAU!$L$67,TABLEAU!$C$67,"#"),JEUDI.TV.1))</f>
        <v>#DANS 5 JOURS (JEUDI 7 NOVEMBRE A 18H50 SUR TFX): [TELE-REALITE]#</v>
      </c>
      <c r="H14" s="2236"/>
      <c r="I14" s="2455" t="str">
        <f ca="1">A.VERIFIER</f>
        <v/>
      </c>
      <c r="J14" s="2456"/>
      <c r="K14" s="2456"/>
      <c r="L14" s="2456"/>
      <c r="M14" s="2456"/>
      <c r="N14" s="2456"/>
      <c r="O14" s="2457"/>
      <c r="P14" s="2470" t="str">
        <f ca="1">A.VERIFIER</f>
        <v/>
      </c>
      <c r="Q14" s="2471"/>
      <c r="R14" s="2471"/>
      <c r="S14" s="2471"/>
      <c r="T14" s="2471"/>
      <c r="U14" s="2471"/>
      <c r="V14" s="2472"/>
      <c r="W14" s="2444"/>
      <c r="X14" s="450"/>
      <c r="Y14" s="2448" t="str">
        <f ca="1">UPPER(TRIM(SUBSTITUTE(SUBSTITUTE(SUBSTITUTE(TABLEAU!$P$176,"=(","= ("),":(","("),"(A ",CONCATENATE("(",DATE.RDV.TV," A "))))</f>
        <v>#DANS 7H45 (SAMEDI A 20H45): [CHAMPIONNAT]#</v>
      </c>
      <c r="Z14" s="2449"/>
      <c r="AA14" s="2072" t="str">
        <f ca="1">A.VERIFIER</f>
        <v/>
      </c>
      <c r="AB14" s="2073"/>
      <c r="AC14" s="2073"/>
      <c r="AD14" s="2073"/>
      <c r="AE14" s="2074"/>
      <c r="AF14" s="2107"/>
      <c r="AG14" s="2108"/>
      <c r="AH14" s="2108"/>
      <c r="AI14" s="2109"/>
      <c r="AJ14" s="15"/>
      <c r="AK14" s="15"/>
      <c r="AL14" s="2083"/>
      <c r="AM14" s="2096"/>
      <c r="AN14" s="1324" t="s">
        <v>151</v>
      </c>
      <c r="AO14" s="1325" t="str">
        <f>IF(SUM([4]!ENVIE)=0,"",CONCATENATE(DAY([4]!DATE.FIN.1),"/",MONTH([4]!DATE.FIN.1),"/",YEAR([4]!DATE.FIN.1)," ",TEXT([4]!HEURE.FIN.1,"[H]:MM")))</f>
        <v>5/11/2019 8:00</v>
      </c>
      <c r="AP14" s="1326" t="str">
        <f ca="1">UPPER(IF(SUM([4]!ENVIE)=0,"",IF(ENVIE.DEP&lt;&gt;"","DEPASSE",IF([4]!DPASC&lt;&gt;"","#DEPASSE#",IF(INT(TABLEAU!$AT$14)=0,"OK",IF(SUBSTITUTE(SUBSTITUTE(SUBSTITUTE(SUBSTITUTE(TABLEAU!$AR$14,"''",""),"H",","),".","")," MIN","")&lt;&gt;TABLEAU!$AT$14,"FAUX","OK"))))))</f>
        <v>OK</v>
      </c>
      <c r="AQ14" s="1327" t="str">
        <f ca="1">IF(SUM([4]!ENVIE)=0,"",IF(ENVIE.DEP&lt;&gt;"","DEPASSE",IF([4]!DPASC&lt;&gt;"","#DEPASSE#",IF([4]!DATE=0,"AUJOURD'HUI",IF(INT([4]!DATE)=1,"DEMAIN",CONCATENATE([4]!DATE," JOURS"))))))</f>
        <v>3 JOURS</v>
      </c>
      <c r="AR14" s="1328" t="str">
        <f ca="1">IF(SUM([4]!ENVIE)=0,"",SUBSTITUTE(SUBSTITUTE(SUBSTITUTE(IF(TODAY()&gt;[4]!DATE.FIN.1,TABLEAU!$AP$14,IF(TABLEAU!$AT$14&gt;0,CONCATENATE("''",SUBSTITUTE(TABLEAU!$AT$14,"0,","0H"),"''"),IF(SUM(TABLEAU!$AT$14)&lt;1,CONCATENATE("''",SUBSTITUTE(TABLEAU!$AT$14,"0,","")," MIN''"),IF(TABLEAU!$AQ$14="#DEPASSE#","",IF(ENVIE.DEP&lt;&gt;"",CONCATENATE("''",ENVIE.DEP,"''"),SUBSTITUTE(IF(AND(TABLEAU!$AS$14="",TABLEAU!$AT$14&lt;&gt;"",TABLEAU!$AY14&lt;1),SUBSTITUTE(CONCATENATE("''",TABLEAU!$AT$14," MIN''"),",","H"),IF(AND(TABLEAU!$AS$14="",TABLEAU!$AT$14&lt;&gt;"",TABLEAU!$AY14&gt;0),SUBSTITUTE(CONCATENATE("''",TABLEAU!$AT$14,"''"),",","H"),IF(TABLEAU!$AU$14&lt;0,CONCATENATE("''",TABLEAU!$AV$14,"H''"),IF(TABLEAU!$AV$14&lt;1,CONCATENATE(SUBSTITUTE(TABLEAU!$AW$14,"H0","")," MIN"),SUBSTITUTE(SUBSTITUTE(SUBSTITUTE(SUBSTITUTE(SUBSTITUTE(SUBSTITUTE(SUBSTITUTE(SUBSTITUTE(IF(AND(TABLEAU!$AS$14&lt;&gt;"",TABLEAU!$AU$14&lt;&gt;"",TABLEAU!$AU$14&lt;10),CONCATENATE("''",TABLEAU!$AS$14,".00",ROUND(TABLEAU!$AU$14,2),"''"),IF(AND(TABLEAU!$AS$14="",TABLEAU!$AV$14&lt;100),CONCATENATE("''",TABLEAU!$AT$14,"''"),IF(AND(TABLEAU!$AS$14="",TABLEAU!$AT$14=""),"",IF(AND(TABLEAU!$AS$14="",TABLEAU!$AT$14&lt;&gt;""),CONCATENATE("''",TABLEAU!$AT$14,"''"),IF(AND(TABLEAU!$AS$14&lt;&gt;"",TABLEAU!$AU$14&lt;&gt;"",TABLEAU!$AU$14&gt;99.99),CONCATENATE("''",TABLEAU!$AS$14,".",ROUND(TABLEAU!$AU$14,2),"''"),IF(AND(TABLEAU!$AS$14&lt;&gt;"",TABLEAU!$AU$14&lt;&gt;"",TABLEAU!$AU$14&lt;100),CONCATENATE("''",TABLEAU!$AS$14,".0",ROUND(TABLEAU!$AU$14,2),"''"))))))),",","H"),"H1''","H10''"),"H2''","H20''"),"H3''","H30''"),"H4''","H40''"),"H5''","H50''"),CONCATENATE("''",TABLEAU!$AV$14,"''"),CONCATENATE("''",TABLEAU!$AV$14,"H00''")),",00H00","H00"))))),"''0H","''")))))),"''0 MIN''",TABLEAU!$AQ$14),",","H"),CONCATENATE(TABLEAU!$AW$14,"0H00"),CONCATENATE(TABLEAU!$AW$14,"0")))</f>
        <v>''67H00''</v>
      </c>
      <c r="AS14" s="1329" t="str">
        <f ca="1">IF(SUM([4]!ENVIE)=0,"",IF(ENVIE.DEP&lt;&gt;"","DEPASSE",IF([4]!DPASC&lt;&gt;"","#DEPASSE#",IF(INT(CONCATENATE(TEXT(TABLEAU!$AO$14-NOW()+"0:01","[H],MM"))/1000)=0,"",INT(CONCATENATE(TEXT(TABLEAU!$AO$14-NOW()+"0:01","[H],MM"))/1000)))))</f>
        <v/>
      </c>
      <c r="AT14" s="1330" t="str">
        <f ca="1">IF(SUM([4]!ENVIE)=0,"",IF(ENVIE.DEP&lt;&gt;"","DEPASSE",IF(TABLEAU!$AQ$14="#DEPASSE#",TABLEAU!$AQ$14,IF(TABLEAU!$M$10="00",CONCATENATE(SUBSTITUTE(TEXT(TABLEAU!$AO$14-NOW()+"0:00:01","[H]:MM"),":",",")),CONCATENATE(SUBSTITUTE(TEXT(TABLEAU!$AO$14+"0:01:00"-NOW(),"[H]:MM"),":",","))))))</f>
        <v>67,00</v>
      </c>
      <c r="AU14" s="1331" t="str">
        <f ca="1">IF(ENVIE.DEP&lt;&gt;"","DEPASSE",IF([4]!DPASC&lt;&gt;"","#DEPASSE#",IF(TABLEAU!$AS$14="","",TABLEAU!$AT$14-(TABLEAU!$AS$14*1000))))</f>
        <v/>
      </c>
      <c r="AV14" s="1332">
        <f ca="1">IF(SUM([4]!ENVIE)=0,"",IF(ENVIE.DEP&lt;&gt;"","DEPASSE",IF([4]!DPASC&lt;&gt;"","#DEPASSE#",IF(AND(TABLEAU!$AS$14&lt;&gt;"",TABLEAU!$AU$14&lt;100),CONCATENATE(TABLEAU!$AS$14,".00",ROUND(TABLEAU!$AU$14,0)),IF(AND(TABLEAU!$AS$14&lt;&gt;"",TABLEAU!$AU$14&lt;1000),CONCATENATE(TABLEAU!$AS$14,".",ROUND(TABLEAU!$AU$14,0)),ROUND(TABLEAU!$AT$14,0))))))</f>
        <v>67</v>
      </c>
      <c r="AW14" s="1333" t="str">
        <f ca="1">IF(SUM([4]!ENVIE)=0,"",IF(ENVIE.DEP&lt;&gt;"","DEPASSE",IF([4]!DPASC&lt;&gt;"","#DEPASSE#",IF(ROUND(TABLEAU!$AV$14-TABLEAU!$AT$14,2)=0,"H00",IF(TABLEAU!$AU$14&lt;10,ROUND(TABLEAU!$AU$14,2),SUBSTITUTE(SUBSTITUTE(SUBSTITUTE(ROUND(TABLEAU!$AV$14-TABLEAU!$AT$14,2),"-",""),",","H"),"0H","H"))))))</f>
        <v>H00</v>
      </c>
      <c r="AX14" s="1334" t="str">
        <f ca="1">IF(ENVIE.DEP&lt;&gt;"","DEPASSE",IF([4]!DPASC&lt;&gt;"","#DEPASSE#",IF(TABLEAU!$AU$14="","",SUBSTITUTE(SUBSTITUTE(SUBSTITUTE(SUBSTITUTE(SUBSTITUTE(SUBSTITUTE(SUBSTITUTE(SUBSTITUTE(CONCATENATE("H",ROUND(TABLEAU!$AU$14-INT(TABLEAU!$AU$14),2)," "),"HH","H"),"0,",""),"H0 ","H00 "),"H1 ","H10 "),"H2 ","H20 "),"H3 ","H30 "),"H4 ","H40 "),"H5 ","H50 "))))</f>
        <v/>
      </c>
      <c r="AY14" s="1078" t="str">
        <f ca="1">IF(TABLEAU!$AQ$14&lt;&gt;"AUJOURD'HUI","",SUM(TABLEAU!$AV$14))</f>
        <v/>
      </c>
      <c r="AZ14" s="1533" t="str">
        <f ca="1">SUBSTITUTE(SUBSTITUTE(SUBSTITUTE(TABLEAU!$AX$14," ","]"),"H",""),"0]","")</f>
        <v/>
      </c>
      <c r="BA14" s="1534" t="str">
        <f ca="1">IF(LEN(TABLEAU!$AZ14)=3,SUBSTITUTE(TABLEAU!$AZ14,"]",""),TABLEAU!$AZ14)</f>
        <v/>
      </c>
    </row>
    <row r="15" spans="1:53" ht="9.9499999999999993" customHeight="1" thickBot="1">
      <c r="A15" s="1487"/>
      <c r="B15" s="28"/>
      <c r="C15" s="29"/>
      <c r="D15" s="30" t="str">
        <f ca="1">IF(TABLEAU!$Z$128="","",IF(AND(HOUR(TABLEAU!$Z$128)&lt;1,MINUTE(TABLEAU!$Z$128)&lt;6),"BIENTOT TV",""))</f>
        <v/>
      </c>
      <c r="E15" s="441"/>
      <c r="F15" s="31"/>
      <c r="G15" s="2235" t="str">
        <f ca="1">UPPER(IF(TABLEAU!$P$68="#DEPASSE#",CONCATENATE("DEPASSE",TABLEAU!$L$68,TABLEAU!$C$68,"#"),JEUDI.TV.2))</f>
        <v>#DANS 5 JOURS (JEUDI 7 NOVEMBRE A 19H50 SUR W9): [LES MARSEILLAIS]#</v>
      </c>
      <c r="H15" s="2236"/>
      <c r="I15" s="2075"/>
      <c r="J15" s="2076"/>
      <c r="K15" s="2076"/>
      <c r="L15" s="2076"/>
      <c r="M15" s="2076"/>
      <c r="N15" s="2076"/>
      <c r="O15" s="2077"/>
      <c r="P15" s="2470"/>
      <c r="Q15" s="2471"/>
      <c r="R15" s="2471"/>
      <c r="S15" s="2471"/>
      <c r="T15" s="2471"/>
      <c r="U15" s="2471"/>
      <c r="V15" s="2472"/>
      <c r="W15" s="2444"/>
      <c r="X15" s="450"/>
      <c r="Y15" s="2448"/>
      <c r="Z15" s="2449"/>
      <c r="AA15" s="2075"/>
      <c r="AB15" s="2076"/>
      <c r="AC15" s="2076"/>
      <c r="AD15" s="2076"/>
      <c r="AE15" s="2077"/>
      <c r="AF15" s="2110" t="str">
        <f ca="1">SUBSTITUTE(SUBSTITUTE(IF(DATE.RDV.TV=TABLEAU!$K$3,TABLEAU!$AI$55,IF(DATE.RDV.TV="MARDI",TABLEAU!$AI$59,IF(DATE.RDV.TV="MERCREDI",TABLEAU!$AI$63,IF(DATE.RDV.TV="JEUDI",TABLEAU!$AI$67,IF(DATE.RDV.TV="VENDREDI",TABLEAU!$AI$71,IF(DATE.RDV.TV="SAMEDI",TABLEAU!$AI$75,IF(DATE.RDV.TV="DIMANCHE",TABLEAU!$AI$79))))))),CONCATENATE(A.VERIFIER," &amp; "),""),"##","# &amp; #")</f>
        <v>#DANS 7H45 (A 20H45): [CHAMPIONNAT]# &amp; #DANS 7H40 (A 20H40 SUR AB1): [SMACKDOWN]#</v>
      </c>
      <c r="AG15" s="2111"/>
      <c r="AH15" s="2111"/>
      <c r="AI15" s="2112"/>
      <c r="AJ15" s="15"/>
      <c r="AK15" s="15"/>
      <c r="AL15" s="2099" t="str">
        <f ca="1">SUBSTITUTE(IF(TABLEAU!$W$19="","",CONCATENATE(MODIF," &amp; #ALLEZ L'OM#"))," &amp; #ALLEZ L'OM#","")</f>
        <v/>
      </c>
      <c r="AM15" s="1665" t="str">
        <f ca="1">IF(DATE.DEPASSE&gt;0,"",SUBSTITUTE(TABLEAU!$B$33,CONCATENATE(DATE.RDV.TV," "),""))</f>
        <v>#DANS 7H45 (A 20H45): [CHAMPIONNAT]#</v>
      </c>
      <c r="AN15" s="1335" t="str">
        <f>UPPER("PREVU")</f>
        <v>PREVU</v>
      </c>
      <c r="AO15" s="1336" t="str">
        <f>IF(SUM([4]!ENVIE)=0,"",CONCATENATE(DAY([4]!PREVU),"/",MONTH([4]!PREVU),"/",YEAR([4]!PREVU)," ",SUBSTITUTE(SUBSTITUTE([4]!HEURE.VERIFIER,"A ",""),"H",":")))</f>
        <v>5/1/2020 8:00</v>
      </c>
      <c r="AP15" s="1337" t="str">
        <f ca="1">UPPER(IF(SUM([4]!ENVIE)=0,"",IF(ENVIE.DEP&lt;&gt;"","DEPASSE",IF([4]!DPASC&lt;&gt;"","#DEPASSE#",IF(INT(TABLEAU!$AT$15)=0,"OK",IF(SUBSTITUTE(SUBSTITUTE(SUBSTITUTE(SUBSTITUTE(TABLEAU!$AR$15,"''",""),"H",","),".","")," MIN","")&lt;&gt;TABLEAU!$AT$15,"FAUX","OK"))))))</f>
        <v>OK</v>
      </c>
      <c r="AQ15" s="1338" t="str">
        <f ca="1">IF(SUM([4]!ENVIE)=0,"",IF([4]!NBR.JOUR.PREVU&gt;1,CONCATENATE([4]!NBR.JOUR.PREVU," JOURS"),CONCATENATE([4]!NBR.JOUR.PREVU," JOURS")))</f>
        <v>64 JOURS</v>
      </c>
      <c r="AR15" s="1339" t="str">
        <f ca="1">IF(SUM([4]!ENVIE)=0,"",SUBSTITUTE(IF(TODAY()&gt;[4]!DATE.FIN.1,TABLEAU!$AP$15,IF(ENVIE.DEP&lt;&gt;"",TABLEAU!$AS$15,SUBSTITUTE(IF(AND(TABLEAU!$AS$15="",TABLEAU!$AT$15&lt;&gt;"",TABLEAU!$AY15&lt;1),SUBSTITUTE(CONCATENATE("''",TABLEAU!$AT$15," MIN''"),",","H"),IF(AND(TABLEAU!$AS$15="",TABLEAU!$AT$15&lt;&gt;"",TABLEAU!$AY15&gt;0),SUBSTITUTE(CONCATENATE("''",TABLEAU!$AT$15,"''"),",","H"),IF(TABLEAU!$AU$15&lt;0,CONCATENATE("''",TABLEAU!$AV$15,"H''"),IF(TABLEAU!$AV$15&lt;1,CONCATENATE(SUBSTITUTE(TABLEAU!$AW$15,"H0","")," MIN"),SUBSTITUTE(SUBSTITUTE(SUBSTITUTE(SUBSTITUTE(SUBSTITUTE(SUBSTITUTE(SUBSTITUTE(SUBSTITUTE(IF(AND(TABLEAU!$AS$15&lt;&gt;"",TABLEAU!$AU$15&lt;&gt;"",TABLEAU!$AU$15&lt;10),CONCATENATE("''",TABLEAU!$AS$15,".00",ROUND(TABLEAU!$AU$15,2),"''"),IF(AND(TABLEAU!$AS$15="",TABLEAU!$AV$15&lt;100),CONCATENATE("''",TABLEAU!$AT$15,"''"),IF(AND(TABLEAU!$AS$15="",TABLEAU!$AT$15=""),"",IF(AND(TABLEAU!$AS$15="",TABLEAU!$AT$15&lt;&gt;""),CONCATENATE("''",TABLEAU!$AT$15,"''"),IF(AND(TABLEAU!$AS$15&lt;&gt;"",TABLEAU!$AU$15&lt;&gt;"",TABLEAU!$AU$15&gt;99.99),CONCATENATE("''",TABLEAU!$AS$15,".",ROUND(TABLEAU!$AU$15,2),"''"),IF(AND(TABLEAU!$AS$15&lt;&gt;"",TABLEAU!$AU$15&lt;&gt;"",TABLEAU!$AU$15&lt;100),CONCATENATE("''",TABLEAU!$AS$15,".0",ROUND(TABLEAU!$AU$15,2),"''"))))))),",","H"),"H1''","H10''"),"H2''","H20''"),"H3''","H30''"),"H4''","H40''"),"H5''","H50''"),CONCATENATE("''",TABLEAU!$AV$15,"''"),CONCATENATE("''",TABLEAU!$AV$15,"H00''")),",00H00","H00"))))),"''0H","''"))),CONCATENATE(TABLEAU!$AW$15,"0H00"),CONCATENATE(TABLEAU!$AW$15,"0")))</f>
        <v>''1.531H00''</v>
      </c>
      <c r="AS15" s="1340">
        <f ca="1">IF(SUM([4]!ENVIE)=0,"",IF(ENVIE.DEP&lt;&gt;"","DEPASSE",IF([4]!DPASC&lt;&gt;"","#DEPASSE#",IF(INT(CONCATENATE(TEXT(TABLEAU!$AO$15-NOW()+"0:01","[H],MM"))/1000)=0,"",INT(CONCATENATE(TEXT(TABLEAU!$AO$15-NOW()+"0:01","[H],MM"))/1000)))))</f>
        <v>1</v>
      </c>
      <c r="AT15" s="1341" t="str">
        <f ca="1">IF(SUM([4]!ENVIE)=0,"",IF(ENVIE.DEP&lt;&gt;"","DEPASSE",IF(TABLEAU!$M$10="00",CONCATENATE(SUBSTITUTE(TEXT(TABLEAU!$AO$15-NOW()+"0:00:01","[H]:MM"),":",",")),CONCATENATE(SUBSTITUTE(TEXT(TABLEAU!$AO$15+"0:01:00"-NOW(),"[H]:MM"),":",",")))))</f>
        <v>1531,00</v>
      </c>
      <c r="AU15" s="1342">
        <f ca="1">IF(ENVIE.DEP&lt;&gt;"","DEPASSE",IF([4]!DPASC&lt;&gt;"","#DEPASSE#",IF(TABLEAU!$AS$15="","",TABLEAU!$AT$15-(TABLEAU!$AS$15*1000))))</f>
        <v>531</v>
      </c>
      <c r="AV15" s="1343" t="str">
        <f ca="1">IF(SUM([4]!ENVIE)=0,"",IF(ENVIE.DEP&lt;&gt;"","DEPASSE",IF([4]!DPASC&lt;&gt;"","#DEPASSE#",IF(AND(TABLEAU!$AS$15&lt;&gt;"",TABLEAU!$AU$15&lt;100),CONCATENATE(TABLEAU!$AS$15,".00",ROUND(TABLEAU!$AU$15,0)),IF(AND(TABLEAU!$AS$15&lt;&gt;"",TABLEAU!$AU$15&lt;1000),CONCATENATE(TABLEAU!$AS$15,".",ROUND(TABLEAU!$AU$15,0)),ROUND(TABLEAU!$AT$15,0))))))</f>
        <v>1.531</v>
      </c>
      <c r="AW15" s="1344" t="str">
        <f ca="1">IF(SUM([4]!ENVIE)=0,"",IF(ENVIE.DEP&lt;&gt;"","DEPASSE",IF([4]!DPASC&lt;&gt;"","#DEPASSE#",IF(ROUND(TABLEAU!$AV$15-TABLEAU!$AT$15,2)=0,"H00",IF(TABLEAU!$AU$15&lt;10,ROUND(TABLEAU!$AU$15,2),SUBSTITUTE(SUBSTITUTE(SUBSTITUTE(ROUND(TABLEAU!$AV$15-TABLEAU!$AT$15,2),"-",""),",","H"),"0H","H"))))))</f>
        <v>H00</v>
      </c>
      <c r="AX15" s="1345" t="str">
        <f ca="1">IF(ENVIE.DEP&lt;&gt;"","DEPASSE",IF([4]!DPASC&lt;&gt;"","#DEPASSE#",IF(TABLEAU!$AU$15="","",SUBSTITUTE(SUBSTITUTE(SUBSTITUTE(SUBSTITUTE(SUBSTITUTE(SUBSTITUTE(SUBSTITUTE(SUBSTITUTE(CONCATENATE("H",ROUND(TABLEAU!$AU$15-INT(TABLEAU!$AU$15),2)," "),"HH","H"),"0,",""),"H0 ","H00 "),"H1 ","H10 "),"H2 ","H20 "),"H3 ","H30 "),"H4 ","H40 "),"H5 ","H50 "))))</f>
        <v xml:space="preserve">H00 </v>
      </c>
      <c r="AY15" s="1226" t="str">
        <f ca="1">IF(TABLEAU!$AQ$15&lt;&gt;"AUJOURD'HUI","",SUM(TABLEAU!$AV$15))</f>
        <v/>
      </c>
      <c r="AZ15" s="1533" t="str">
        <f ca="1">SUBSTITUTE(SUBSTITUTE(SUBSTITUTE(TABLEAU!$AX$15," ","]"),"H",""),"0]","")</f>
        <v>0</v>
      </c>
      <c r="BA15" s="1534" t="str">
        <f ca="1">IF(LEN(TABLEAU!$AZ15)=3,SUBSTITUTE(TABLEAU!$AZ15,"]",""),TABLEAU!$AZ15)</f>
        <v>0</v>
      </c>
    </row>
    <row r="16" spans="1:53" ht="9.9499999999999993" customHeight="1" thickBot="1">
      <c r="A16" s="1034" t="str">
        <f ca="1">UPPER(SUBSTITUTE(SUBSTITUTE(SUBSTITUTE(SUBSTITUTE(SUBSTITUTE(SUBSTITUTE(CHERCHE,"MACRO_",""),"_"," "),"ATTEINDRE A1",""),"-"," "),AN.2,""),"CHAMPIONS LEAGUE","CHAMPION'S LEAGUE"))</f>
        <v>OUVRIR CHAMPIONNAT</v>
      </c>
      <c r="B16" s="32"/>
      <c r="C16" s="29"/>
      <c r="D16" s="628" t="str">
        <f ca="1">IF(TABLEAU!$A$49="","",IF(TABLEAU!$A$49="DEPASSE","DEPASSE",IF(AND(HOUR(TABLEAU!$K$102)=0,MINUTE(TABLEAU!$K$102)&lt;30),"BIENTOT RDV","")))</f>
        <v/>
      </c>
      <c r="E16" s="441"/>
      <c r="F16" s="31" t="s">
        <v>1</v>
      </c>
      <c r="G16" s="2235" t="str">
        <f ca="1">UPPER(IF(TABLEAU!$P$69="#DEPASSE#",CONCATENATE("DEPASSE",TABLEAU!$L$69,TABLEAU!$C$69,"#"),JEUDI.TV.3))</f>
        <v/>
      </c>
      <c r="H16" s="2236"/>
      <c r="I16" s="2075"/>
      <c r="J16" s="2076"/>
      <c r="K16" s="2076"/>
      <c r="L16" s="2076"/>
      <c r="M16" s="2076"/>
      <c r="N16" s="2076"/>
      <c r="O16" s="2077"/>
      <c r="P16" s="2470"/>
      <c r="Q16" s="2471"/>
      <c r="R16" s="2471"/>
      <c r="S16" s="2471"/>
      <c r="T16" s="2471"/>
      <c r="U16" s="2471"/>
      <c r="V16" s="2472"/>
      <c r="W16" s="2444"/>
      <c r="X16" s="450"/>
      <c r="Y16" s="2448"/>
      <c r="Z16" s="2449"/>
      <c r="AA16" s="2075"/>
      <c r="AB16" s="2076"/>
      <c r="AC16" s="2076"/>
      <c r="AD16" s="2076"/>
      <c r="AE16" s="2077"/>
      <c r="AF16" s="2110"/>
      <c r="AG16" s="2111"/>
      <c r="AH16" s="2111"/>
      <c r="AI16" s="2112"/>
      <c r="AJ16" s="15"/>
      <c r="AK16" s="15"/>
      <c r="AL16" s="2099"/>
      <c r="AM16" s="1666"/>
      <c r="AN16" s="1430" t="s">
        <v>152</v>
      </c>
      <c r="AO16" s="1431" t="str">
        <f>IF(SUM([4]!ENVIE)=0,"",IF([4]!NBR.ENVIES&lt;&gt;2,"",CONCATENATE(DAY([4]!PROCHAIN.2),"/",MONTH([4]!PROCHAIN.2),"/",YEAR([4]!PROCHAIN.2)," ",TEXT([4]TABLEAU!$D$15,"[H]:MM"))))</f>
        <v>26/12/2021 9:00</v>
      </c>
      <c r="AP16" s="1432" t="str">
        <f ca="1">UPPER(IF(SUM([4]!ENVIE)=0,"",IF([4]!NBR.ENVIES&lt;&gt;2,"",IF(INT(TABLEAU!$AT$16)=0,"OK",IF(SUBSTITUTE(SUBSTITUTE(SUBSTITUTE(TABLEAU!$AR$16,"''",""),"H",","),".","")&lt;&gt;TABLEAU!$AT$16,"FAUX","OK")))))</f>
        <v>OK</v>
      </c>
      <c r="AQ16" s="1433" t="str">
        <f ca="1">IF(SUM([4]!ENVIE)=0,"",IF([4]!NBR.ENVIES&lt;&gt;2,"",IF([4]!SUIVANT="",9999,CONCATENATE([4]!DATE.2," JOURS"))))</f>
        <v>785 JOURS</v>
      </c>
      <c r="AR16" s="1434" t="str">
        <f ca="1">IF(SUM([4]!ENVIE)=0,"",SUBSTITUTE(SUBSTITUTE(SUBSTITUTE(SUBSTITUTE(SUBSTITUTE(SUBSTITUTE(SUBSTITUTE(SUBSTITUTE(SUBSTITUTE(SUBSTITUTE(SUBSTITUTE(SUBSTITUTE(SUBSTITUTE(SUBSTITUTE(SUBSTITUTE(SUBSTITUTE(SUBSTITUTE(SUBSTITUTE(IF([4]!NBR.ENVIES&lt;&gt;2,"",IF(TABLEAU!$AQ$16="#DEPASSE#","",SUBSTITUTE(IF(AND(TABLEAU!$AS$16="",TABLEAU!$AT$16&lt;&gt;"",TABLEAU!$AY16&lt;1),SUBSTITUTE(CONCATENATE("''",TABLEAU!$AT$16," MIN''"),",","H"),IF(AND(TABLEAU!$AS$16="",TABLEAU!$AT$16&lt;&gt;"",TABLEAU!$AY16&gt;0),SUBSTITUTE(CONCATENATE("''",TABLEAU!$AT$16,"''"),",","H"),IF(TABLEAU!$AU$16&lt;0,CONCATENATE("''",TABLEAU!$AV$16,"H''"),IF(TABLEAU!$AV$16&lt;1,CONCATENATE(SUBSTITUTE(TABLEAU!$AW$16,"H0","")," MIN"),SUBSTITUTE(SUBSTITUTE(SUBSTITUTE(SUBSTITUTE(SUBSTITUTE(SUBSTITUTE(SUBSTITUTE(SUBSTITUTE(IF(AND(TABLEAU!$AS$16&lt;&gt;"",TABLEAU!$AU$16&lt;&gt;"",TABLEAU!$AU$16&lt;10),CONCATENATE("''",TABLEAU!$AS$16,".00",ROUND(TABLEAU!$AU$16,2),"H00OM''"),IF(AND(TABLEAU!$AS$16="",TABLEAU!$AV$16&lt;100),CONCATENATE("''",TABLEAU!$AT$16,"''"),IF(AND(TABLEAU!$AS$16="",TABLEAU!$AT$16=""),"",IF(AND(TABLEAU!$AS$16="",TABLEAU!$AT$16&lt;&gt;""),CONCATENATE("''",TABLEAU!$AT$16,"''"),IF(AND(TABLEAU!$AS$16&lt;&gt;"",TABLEAU!$AU$16&lt;&gt;"",TABLEAU!$AU$16&gt;99.99),CONCATENATE("''",TABLEAU!$AS$16,".",ROUND(TABLEAU!$AU$16,2),"''"),IF(AND(TABLEAU!$AS$16&lt;&gt;"",TABLEAU!$AU$16&lt;&gt;"",TABLEAU!$AU$16&lt;100),CONCATENATE("''",TABLEAU!$AS$16,".0",ROUND(TABLEAU!$AU$16,2),"''"))))))),",","H"),"H1''","H10''"),"H2''","H20''"),"H3''","H30''"),"H4''","H40''"),"H5''","H50''"),CONCATENATE("''",TABLEAU!$AV$16,"H''"),CONCATENATE("''",TABLEAU!$AV$16,"H00''")),",00H00","H00"))))),"''0H","''"))),CONCATENATE(TRIM(TABLEAU!$BA$16),"H00"),TRIM(TABLEAU!$BA$16)),"H0''","H00''"),"H1''","H10''"),"H2''","H20''"),"H3''","H30''"),"H4''","H40''"),"H5''","H50''"),"OM",TRIM(TABLEAU!$AX$16)),CONCATENATE(TABLEAU!$AU$16,"''"),CONCATENATE(TABLEAU!$AU$16,TABLEAU!$AX$16,"''"))," ''","''"),CONCATENATE(TRIM(TABLEAU!$AW$16),TRIM(TABLEAU!$AW$16)),TRIM(TABLEAU!$AW$16)),CONCATENATE("H5",TRIM(TABLEAU!$AX$16)),TRIM(TABLEAU!$AW$16)),CONCATENATE("H4",TRIM(TABLEAU!$AX$16)),TRIM(TABLEAU!$AW$16)),CONCATENATE("H3",TRIM(TABLEAU!$AX$16)),TRIM(TABLEAU!$AW$16)),CONCATENATE("H2",TRIM(TABLEAU!$AX$16)),TRIM(TABLEAU!$AW$16)),CONCATENATE("H1",TRIM(TABLEAU!$AX$16)),TRIM(TABLEAU!$AW$16)),CONCATENATE("H0",TRIM(TABLEAU!$AX$16)),TRIM(TABLEAU!$AW$16)),CONCATENATE(TABLEAU!$AW$16,"0H00"),CONCATENATE(TABLEAU!$AW$16,"0")))</f>
        <v>''18.836H00''</v>
      </c>
      <c r="AS16" s="1435">
        <f ca="1">IF(SUM([4]!ENVIE)=0,"",IF([4]!NBR.ENVIES&lt;&gt;2,"",IF(INT(CONCATENATE(TEXT(TABLEAU!$AO$16-NOW()+"0:01","[H],MM"))/1000)=0,"",INT(CONCATENATE(TEXT(TABLEAU!$AO$16-NOW()+"0:01","[H],MM"))/1000))))</f>
        <v>18</v>
      </c>
      <c r="AT16" s="1431" t="str">
        <f ca="1">IF(SUM([4]!ENVIE)=0,"",IF([4]!NBR.ENVIES&lt;&gt;2,"",IF(TABLEAU!$M$10="00",CONCATENATE(SUBSTITUTE(TEXT(TABLEAU!$AO$16-NOW()+"0:00:01","[H]:MM"),":",",")),CONCATENATE(SUBSTITUTE(TEXT(TABLEAU!$AO$16+"0:01:00"-NOW(),"[H]:MM"),":",",")))))</f>
        <v>18836,00</v>
      </c>
      <c r="AU16" s="1436">
        <f ca="1">IF([4]!NBR.ENVIES&lt;&gt;2,"",IF(TABLEAU!$AS$16="","",TABLEAU!$AT$16-(TABLEAU!$AS$16*1000)))</f>
        <v>836</v>
      </c>
      <c r="AV16" s="1437" t="str">
        <f ca="1">IF(SUM([4]!ENVIE)=0,"",IF([4]!NBR.ENVIES&lt;&gt;2,"",IF(AND(TABLEAU!$AS$16&lt;&gt;"",TABLEAU!$AU$16&lt;100),CONCATENATE(TABLEAU!$AS$16,".0",ROUND(TABLEAU!$AU$16,0)),IF(AND(TABLEAU!$AS$16&lt;&gt;"",TABLEAU!$AU$16&lt;1000),CONCATENATE(TABLEAU!$AS$16,".",ROUND(TABLEAU!$AU$16,0)),ROUND(TABLEAU!$AT$16,0)))))</f>
        <v>18.836</v>
      </c>
      <c r="AW16" s="1438" t="str">
        <f ca="1">IF(SUM([4]!ENVIE)=0,"",IF([4]!NBR.ENVIES&lt;&gt;2,"",IF(AND(TABLEAU!$AS$16&lt;&gt;"",TABLEAU!$AU$16&lt;100),TABLEAU!$AX$16,IF(ROUND(TABLEAU!$AV$16-TABLEAU!$AT$16,2)=0,"H00",IF(TABLEAU!$AU$16&lt;10,ROUND(TABLEAU!$AU$16,2),SUBSTITUTE(SUBSTITUTE(SUBSTITUTE(ROUND(TABLEAU!$AV$16-TABLEAU!$AT$16,2),"-",""),",","H"),"0H","H"))))))</f>
        <v>H00</v>
      </c>
      <c r="AX16" s="1439" t="str">
        <f ca="1">IF([4]!NBR.ENVIES&lt;&gt;2,"",IF(TABLEAU!$AU$16="","",SUBSTITUTE(SUBSTITUTE(SUBSTITUTE(SUBSTITUTE(SUBSTITUTE(SUBSTITUTE(SUBSTITUTE(SUBSTITUTE(CONCATENATE("H",ROUND(TABLEAU!$AU$16-INT(TABLEAU!$AU$16),2)," "),"HH","H"),"0,",""),"H0 ","H00 "),"H1 ","H10 "),"H2 ","H20 "),"H3 ","H30 "),"H4 ","H40 "),"H5 ","H50 ")))</f>
        <v xml:space="preserve">H00 </v>
      </c>
      <c r="AY16" s="1225" t="str">
        <f ca="1">IF(TABLEAU!$AQ$16&lt;&gt;"AUJOURD'HUI","",SUM(TABLEAU!$AV$16))</f>
        <v/>
      </c>
      <c r="AZ16" s="1533" t="str">
        <f ca="1">SUBSTITUTE(SUBSTITUTE(SUBSTITUTE(TABLEAU!$AX$16," ","]"),"H",""),"0]","")</f>
        <v>0</v>
      </c>
      <c r="BA16" s="1534" t="str">
        <f ca="1">IF(LEN(TABLEAU!$AZ16)=3,SUBSTITUTE(TABLEAU!$AZ16,"]",""),TABLEAU!$AZ16)</f>
        <v>0</v>
      </c>
    </row>
    <row r="17" spans="1:53" ht="9.9499999999999993" customHeight="1" thickBot="1">
      <c r="A17" s="1235" t="str">
        <f ca="1">UPPER(LOOKUP(WEEKDAY(TODAY()),SEMAINE))</f>
        <v>SAMEDI</v>
      </c>
      <c r="B17" s="33"/>
      <c r="C17" s="34"/>
      <c r="D17" s="35"/>
      <c r="E17" s="441"/>
      <c r="F17" s="459"/>
      <c r="G17" s="2237" t="str">
        <f ca="1">UPPER(IF(TABLEAU!$P$70="#DEPASSE#",CONCATENATE("DEPASSE",TABLEAU!$L$70,TABLEAU!$C$70,"#"),JEUDI.TV.4))</f>
        <v/>
      </c>
      <c r="H17" s="2238"/>
      <c r="I17" s="2078"/>
      <c r="J17" s="2079"/>
      <c r="K17" s="2079"/>
      <c r="L17" s="2079"/>
      <c r="M17" s="2079"/>
      <c r="N17" s="2079"/>
      <c r="O17" s="2080"/>
      <c r="P17" s="2473"/>
      <c r="Q17" s="2474"/>
      <c r="R17" s="2474"/>
      <c r="S17" s="2474"/>
      <c r="T17" s="2474"/>
      <c r="U17" s="2474"/>
      <c r="V17" s="2475"/>
      <c r="W17" s="2445"/>
      <c r="X17" s="450"/>
      <c r="Y17" s="2450"/>
      <c r="Z17" s="2451"/>
      <c r="AA17" s="2078"/>
      <c r="AB17" s="2079"/>
      <c r="AC17" s="2079"/>
      <c r="AD17" s="2079"/>
      <c r="AE17" s="2080"/>
      <c r="AF17" s="2113"/>
      <c r="AG17" s="2114"/>
      <c r="AH17" s="2114"/>
      <c r="AI17" s="2115"/>
      <c r="AJ17" s="15"/>
      <c r="AK17" s="15"/>
      <c r="AL17" s="2100"/>
      <c r="AM17" s="2091"/>
      <c r="AN17" s="2128" t="str">
        <f ca="1">SUBSTITUTE(SUBSTITUTE(SUBSTITUTE(SUBSTITUTE(SUBSTITUTE(SUBSTITUTE(SUBSTITUTE(TABLEAU!$AN$26,"~~~~~~~","DIMANCHE"),"~~~~~~","SAMEDI"),"~~~~~","VENDREDI"),"~~~~","JEUDI"),"~~~","MERCREDI"),"~~","MARDI"),"~",TABLEAU!$K$3)</f>
        <v/>
      </c>
      <c r="AO17" s="2129"/>
      <c r="AP17" s="2129"/>
      <c r="AQ17" s="2129"/>
      <c r="AR17" s="2129"/>
      <c r="AS17" s="2129"/>
      <c r="AT17" s="2129"/>
      <c r="AU17" s="2129"/>
      <c r="AV17" s="2129"/>
      <c r="AW17" s="2129"/>
      <c r="AX17" s="2130"/>
      <c r="AY17" s="1488"/>
      <c r="AZ17" s="1527"/>
      <c r="BA17" s="1489"/>
    </row>
    <row r="18" spans="1:53" ht="24" customHeight="1" thickTop="1" thickBot="1">
      <c r="A18" s="1236" t="str">
        <f ca="1">UPPER(SUBSTITUTE(SUBSTITUTE(SUBSTITUTE(SUBSTITUTE(SUBSTITUTE(SUBSTITUTE(SUBSTITUTE(SUBSTITUTE(SUBSTITUTE(SUBSTITUTE(SUBSTITUTE(SUBSTITUTE(SUBSTITUTE(SUBSTITUTE(SUBSTITUTE(SUBSTITUTE(SUBSTITUTE(SUBSTITUTE(SUBSTITUTE(IF(TABLEAU!$AL$28="¤¤",SUBSTITUTE(TABLEAU!$A$12,"(A",CONCATENATE("(",LOOKUP(WEEKDAY(B),SEMAINE)," A")),TABLEAU!$A$12),"] [","] &amp; ["),CONCATENATE("(",LOOKUP(WEEKDAY(B),SEMAINE)," "),CONCATENATE("(",LOOKUP(WEEKDAY(B),SEMAINE)," ")),"DEMAIN (A",CONCATENATE("DEMAIN (",LOOKUP(WEEKDAY(B),SEMAINE)," A"))," #","# &amp; #"),"# &amp;# &amp; #","# &amp; #")," H"," 0H")," &amp;#","#"),"DANS 0","DANS "),"1 (","1 ~ ("),"2 (","2 ~ ("),"3 (","3 ~ ("),"4 (","4 ~ ("),"5 (","5 ~ ("),"6 (","6 ~ ("),"7 (","7 ~ ("),"8 (","8 ~ ("),"9 (","9 ~ ("),"0 (","0 ~ ("),"0HIER","HIER"))</f>
        <v/>
      </c>
      <c r="B18" s="2336" t="str">
        <f ca="1">SUBSTITUTE(IF(TABLEAU!$S$33=CONCATENATE("DANS ",DIF.L1),"",IF(TABLEAU!$S$33=CONCATENATE("DANS ",DIF.LDC),"",IF(TABLEAU!$S$33=CONCATENATE("DANS ",DIF.UEFA),"",IF(TABLEAU!$S$33=CONCATENATE("DANS ",DIF.FRANCE),"",IF(TABLEAU!$S$33=CONCATENATE("DANS ",DIF.LIGUE),"",IF(TABLEAU!$S$33=CONCATENATE("DANS ",DIF.GP),"",IF(TABLEAU!$S$33=CONCATENATE("DANS ",DIF.MONDIAL),"",IF(TABLEAU!$S$33=CONCATENATE("DANS ",DIF.EURO),"",IF(TABLEAU!$S$33=CONCATENATE("DANS ",DIF.CONFEDERATIONS),"",SUBSTITUTE(IF(AND(TABLEAU!$AF$18=TABLEAU!$B$33,TABLEAU!$S$33&lt;&gt;"#DEPASSE#"),"",MODIF),CONCATENATE(" ",YEAR(A)),"")))))))))),"] &amp; #","]# &amp; #")</f>
        <v/>
      </c>
      <c r="C18" s="2337"/>
      <c r="D18" s="2337"/>
      <c r="E18" s="2338"/>
      <c r="F18" s="36"/>
      <c r="G18" s="2230" t="str">
        <f ca="1">UPPER(IF(TABLEAU!$P$71="#DEPASSE#",CONCATENATE("DEPASSE",TABLEAU!$L$71,TABLEAU!$C$71,"#"),VENDREDI.TV.1))</f>
        <v>#DANS 6 JOURS (VENDREDI 8 NOVEMBRE A 18H50 SUR TFX): [TELE-REALITE]#</v>
      </c>
      <c r="H18" s="2231"/>
      <c r="I18" s="862" t="str">
        <f>UPPER("TYPES")</f>
        <v>TYPES</v>
      </c>
      <c r="J18" s="2458" t="str">
        <f>UPPER("PHRASES")</f>
        <v>PHRASES</v>
      </c>
      <c r="K18" s="2459" t="str">
        <f t="shared" ref="K18:L18" si="0">UPPER("DATES")</f>
        <v>DATES</v>
      </c>
      <c r="L18" s="2460" t="str">
        <f t="shared" si="0"/>
        <v>DATES</v>
      </c>
      <c r="M18" s="172" t="str">
        <f>UPPER("DATES")</f>
        <v>DATES</v>
      </c>
      <c r="N18" s="172" t="str">
        <f>UPPER("HEURES")</f>
        <v>HEURES</v>
      </c>
      <c r="O18" s="1428" t="str">
        <f>UPPER("DANS")</f>
        <v>DANS</v>
      </c>
      <c r="P18" s="2476" t="str">
        <f ca="1">A.VERIFIER</f>
        <v/>
      </c>
      <c r="Q18" s="2477"/>
      <c r="R18" s="2477"/>
      <c r="S18" s="2477"/>
      <c r="T18" s="2477"/>
      <c r="U18" s="2477"/>
      <c r="V18" s="2478"/>
      <c r="W18" s="713" t="str">
        <f ca="1">JH</f>
        <v>~SAMEDI 2 NOVEMBRE 2019 [13:00:00]~</v>
      </c>
      <c r="X18" s="702"/>
      <c r="Y18" s="2062" t="str">
        <f ca="1">UPPER(SUBSTITUTE(SUBSTITUTE(CONCATENATE("{",4-COUNTBLANK(TABLEAU!$B$128:'TABLEAU'!$B$131)+$AI$54-COUNTIF(DEP,"#DEPASSE#")," PROG}= "),"{0 PROG}= ",""),"{-1 PROG}= ",""))</f>
        <v xml:space="preserve">{2 PROG}= </v>
      </c>
      <c r="Z18" s="2063"/>
      <c r="AA18" s="2324" t="str">
        <f ca="1">TRIM(SUBSTITUTE(SUBSTITUTE(SUBSTITUTE(SUBSTITUTE(SUBSTITUTE(SUBSTITUTE(TABLEAU!$AA$12,"] DEPUIS","]# &amp; #DEPASSE DEPUIS"),"EVENEMENT",CONCATENATE(TABLEAU!$AN$4," SONT")),"1 PROG SONT","1 PROG EST"),CONCATENATE(" ",AN),""),"1 PROG  SONT","1 PROG EST"),"DEPASSE#MATCH","MATCH"))</f>
        <v/>
      </c>
      <c r="AB18" s="2325"/>
      <c r="AC18" s="2325"/>
      <c r="AD18" s="2325"/>
      <c r="AE18" s="2326"/>
      <c r="AF18" s="1444" t="str">
        <f ca="1">SUBSTITUTE(IF(COUNTBLANK(TABLEAU!$R$19:'TABLEAU'!$T$27)=27,"",IF(TABLEAU!$P$132&lt;&gt;"",TABLEAU!$P$132,IF(AND(TABLEAU!$P$132&lt;&gt;"",EVE.DEP&lt;&gt;""),TABLEAU!$P$132,IF(DEPP=SUBSTITUTE(TABLEAU!$B$33,"(",CONCATENATE("(",CVB,YEAR(A)," ")),"",SUBSTITUTE(DEPP," ~ "," "))))),CONCATENATE(" ",YEAR(A)),"")</f>
        <v>#DANS 7H45 (A 20H45): [CHAMPIONNAT]#</v>
      </c>
      <c r="AG18" s="2021" t="str">
        <f ca="1">A.VERIFIER</f>
        <v/>
      </c>
      <c r="AH18" s="2022"/>
      <c r="AI18" s="2023"/>
      <c r="AJ18" s="37"/>
      <c r="AK18" s="37"/>
      <c r="AL18" s="734" t="str">
        <f>SUBSTITUTE(SUBSTITUTE(SUBSTITUTE(LDC.1,"LDC= ",""),"[","("),"]",")")</f>
        <v>(BARCELONE VS PRAGUE {GR F})</v>
      </c>
      <c r="AM18" s="2088" t="str">
        <f ca="1">IF(DATE.DEPASSE&gt;0,"",SUBSTITUTE(SUBSTITUTE(IF(TABLEAU!$D$34=0,CONCATENATE(TABLEAU!$B$33,"ALLEZ L'OM"),IF(TABLEAU!$D$34&lt;0,CONCATENATE(TABLEAU!$B$33," &amp; ",TABLEAU!$B$34,"ALLEZ L'OM"),CONCATENATE(TABLEAU!$B$33,"ALLEZ L'OM"))),"DEPASSE#DEPASSE ","DEPASSE "),"ALLEZ L'OM",""))</f>
        <v>#DANS 7H45 (A 20H45): [CHAMPIONNAT]#</v>
      </c>
      <c r="AN18" s="2131" t="str">
        <f ca="1">IF(A.VERIFIER="","",A.VERIFIER)</f>
        <v/>
      </c>
      <c r="AO18" s="2132"/>
      <c r="AP18" s="2132"/>
      <c r="AQ18" s="2132"/>
      <c r="AR18" s="2132"/>
      <c r="AS18" s="2132"/>
      <c r="AT18" s="2132"/>
      <c r="AU18" s="2132"/>
      <c r="AV18" s="2132"/>
      <c r="AW18" s="2132"/>
      <c r="AX18" s="2133"/>
      <c r="AY18" s="1489"/>
      <c r="AZ18" s="2572" t="str">
        <f ca="1">IF(A.VERIFIER&lt;&gt;"",A.VERIFIER,"")</f>
        <v/>
      </c>
      <c r="BA18" s="2573"/>
    </row>
    <row r="19" spans="1:53" ht="24" customHeight="1" thickBot="1">
      <c r="A19" s="864" t="str">
        <f ca="1">IF(A.VERIFIER="","",SUBSTITUTE(CONCATENATE(A.VERIFIER," &amp; ",A.VERIFIER),"[CHAMPIONNAT]","[CHAMPIONNAT]"))</f>
        <v/>
      </c>
      <c r="B19" s="2336"/>
      <c r="C19" s="2337"/>
      <c r="D19" s="2337"/>
      <c r="E19" s="2338"/>
      <c r="F19" s="452" t="str">
        <f>IF(TABLEAU!$N$19="","",IF(MINUTE(TABLEAU!$N$19)&lt;10,CONCATENATE(HOUR(TABLEAU!$N$19),"H0",MINUTE(TABLEAU!$N$19)),CONCATENATE(HOUR(TABLEAU!$N$19),"H",MINUTE(TABLEAU!$N$19))))</f>
        <v>20H45</v>
      </c>
      <c r="G19" s="2221" t="str">
        <f ca="1">UPPER(IF(TABLEAU!$P$72="#DEPASSE#",CONCATENATE("DEPASSE",TABLEAU!$L$72,TABLEAU!$C$72,"#"),VENDREDI.TV.2))</f>
        <v>#DANS 6 JOURS (VENDREDI 8 NOVEMBRE A 19H50 SUR W9): [LES MARSEILLAIS]#</v>
      </c>
      <c r="H19" s="2222"/>
      <c r="I19" s="1056" t="str">
        <f>UPPER("CHAMPIONNAT")</f>
        <v>CHAMPIONNAT</v>
      </c>
      <c r="J19" s="1057" t="str">
        <f ca="1">IF(TABLEAU!$A$33=TABLEAU!$I$19,TABLEAU!$I$33,IF(TABLEAU!$A$34=TABLEAU!$I$19,TABLEAU!$I$34,IF(TABLEAU!$A$35=TABLEAU!$I$19,TABLEAU!$I$35,IF(TABLEAU!$A$36=TABLEAU!$I$19,TABLEAU!$I$36,IF(TABLEAU!$A$37=TABLEAU!$I$19,TABLEAU!$I$37,IF(TABLEAU!$A$38=TABLEAU!$I$19,TABLEAU!$I$38,IF(TABLEAU!$A$39=TABLEAU!$I$19,TABLEAU!$I$39,IF(TABLEAU!$A$40=TABLEAU!$I$19,TABLEAU!$I$40,IF(TABLEAU!$A$41=TABLEAU!$I$19,TABLEAU!$I$41,"#ERREUR#")))))))))</f>
        <v>#DANS 7H45 (A 20H45): [CHAMPIONNAT]#</v>
      </c>
      <c r="K19" s="1058"/>
      <c r="L19" s="1059"/>
      <c r="M19" s="1060">
        <f ca="1">IF(JOUR.L1="","",JOUR.L1-TODAY())</f>
        <v>0</v>
      </c>
      <c r="N19" s="1061">
        <f>[3]!L1.HEURE</f>
        <v>0.86458333333333337</v>
      </c>
      <c r="O19" s="1062" t="str">
        <f ca="1">IF(AND(DATE.L1=0,HEURE.L1.VERIFIER=HEURE.MAINTENANT.2),"#EN COURS#",IF(AND(TABLEAU!$M$19=0,TABLEAU!$P$19=HEURE.MAINTENANT.2),"#MATCH(S) DE L1 EN COURS#",SUBSTITUTE(TRIM(IF(TABLEAU!$M$19&gt;0,CONCATENATE(TABLEAU!$AB$33,"= ",DIF.L1," ~ "),IF(TABLEAU!$M$19&lt;0,TABLEAU!$AH19,IF(AND(TABLEAU!$M$19=0,HOUR(H.M)&gt;HOUR(TABLEAU!$N$19)),CONCATENATE("#DEPASSE ",DEP.L1.VERIFIER),IF(OR(TABLEAU!$P$19="#DEPASSE#",TABLEAU!$R$19="#DEPASSE#"),CONCATENATE("#",DANS.L1.VERIFIER),IF(HOUR(TABLEAU!$R$19)&gt;0,TABLEAU!$Q$19,TABLEAU!$Q$19)))))),"DANS 0 MIN","MAINTENANT")))</f>
        <v>DANS 7H45</v>
      </c>
      <c r="P19" s="1137" t="str">
        <f ca="1">TRIM(SUBSTITUTE(IF(TABLEAU!$M$19&gt;0,"",IF(DANS.DEP.L1&lt;&gt;"",CONCATENATE("DEPASSE ",TABLEAU!$AZ$33),SUBSTITUTE(SUBSTITUTE(DIF.L1,"H",":"),"''",""))),"DEPASSE DEPUIS 0 MIN","MAINTENANT"))</f>
        <v>7:45</v>
      </c>
      <c r="Q19" s="1138" t="str">
        <f ca="1">SUBSTITUTE(IF(DEP.L1.VERIFIER="DEPUIS 0 MIN","MAINTENANT",IF(DANS.L1.VERIFIER="MAINTENANT",DANS.L1.VERIFIER,IF(AND(DATE.L1=0,HEURE.L1=H.M),"EN COURS",SUBSTITUTE(SUBSTITUTE(SUBSTITUTE(SUBSTITUTE(IF(OR(TABLEAU!$M$19="",TABLEAU!$M$19&lt;&gt;0),"",IF(HOUR(H.M)&gt;HOUR(TABLEAU!$N$19),"#DEPASSE#",IF(AND(HOUR(H.M)=HOUR(TABLEAU!$N$19),MINUTE(H.M)&gt;MINUTE(TABLEAU!$N$19)),"#DEPASSE#",IF(HOUR(TABLEAU!$R$19)&gt;0,CONCATENATE("DANS ",TABLEAU!$P$19),CONCATENATE("DANS ",HOUR(TABLEAU!$R$19),"H",TABLEAU!$P$19," MIN")))))," 0H"," "),"DANS 0","DANS "),":","H"),"DANS H","DANS "))))," 0"," ")</f>
        <v>DANS 7H45</v>
      </c>
      <c r="R19" s="1158" t="str">
        <f ca="1">IF(TABLEAU!$M$19&gt;0,"",SUBSTITUTE(SUBSTITUTE(DIF.L1,"H",":"),"''",""))</f>
        <v>7:45</v>
      </c>
      <c r="S19" s="1154" t="str">
        <f ca="1">IF(DATE.L1&gt;0,"",DANS.DEP.L1)</f>
        <v/>
      </c>
      <c r="T19" s="1145" t="str">
        <f ca="1">IF(AND(DATE.L1=0,HEURE.L1=H.M),"EN COURS",IF(TABLEAU!$Q$19="#DEPASSE#",DEP.L1.VERIFIER,""))</f>
        <v/>
      </c>
      <c r="U19" s="2461" t="str">
        <f ca="1">SUBSTITUTE(TRIM(TABLEAU!$O$2),"]~","]~                                                                                         ")</f>
        <v>~SAMEDI 2 NOVEMBRE 2019 [13:00:00]~                                                                                          #DANS 3J= ''67H00'' ~ (5 NOV A 8H00): [COUPE OEUF]# &amp; #DANS 7H45 (A 20H45): [CHAMPIONNAT]# &amp; #DANS 7H40 (A 20H40 SUR AB1): [SMACKDOWN]#</v>
      </c>
      <c r="V19" s="2462"/>
      <c r="W19" s="763" t="str">
        <f ca="1">IF(AND(DATE.L1=0,HEURE.L1.VERIFIER=HEURE.MAINTENANT.2),"#MATCH DE L1 EN COURS#",SUBSTITUTE(SUBSTITUTE(SUBSTITUTE(IF(OR(TABLEAU!$P$19="#DEPASSE#",TABLEAU!$R$19="#DEPASSE#"),CONCATENATE(DANS.L1," (",LOOKUP(WEEKDAY(JOUR.L1),CALENDRIER)," ",DAY(JOUR.L1)," ",LOOKUP(MONTH(JOUR.L1),MOIS)," ",YEAR(JOUR.L1)," A ",TABLEAU!$X$19,"): [CHAMPIONNAT]#"),IF(TABLEAU!$R$19="","",IF(HOUR(TABLEAU!$R$19)&gt;1,"",IF(TABLEAU!$M$19&lt;&gt;0,"",""))))," ]","]")," ]","]"),"#DEPASSE #DEPASSE","#DEPASSE"))</f>
        <v/>
      </c>
      <c r="X19" s="703" t="str">
        <f>IF(TABLEAU!$N$19="","",IF(MINUTE(TABLEAU!$N$19)&gt;9,CONCATENATE(HOUR(TABLEAU!$N$19),"H",MINUTE(TABLEAU!$N$19)),CONCATENATE(HOUR(TABLEAU!$N$19),"H0",MINUTE(TABLEAU!$N$19))))</f>
        <v>20H45</v>
      </c>
      <c r="Y19" s="2064"/>
      <c r="Z19" s="2065"/>
      <c r="AA19" s="2327"/>
      <c r="AB19" s="2328"/>
      <c r="AC19" s="2328"/>
      <c r="AD19" s="2328"/>
      <c r="AE19" s="2329"/>
      <c r="AF19" s="725" t="str">
        <f ca="1">TRIM(TABLEAU!$T$19)</f>
        <v/>
      </c>
      <c r="AG19" s="1063" t="str">
        <f>UPPER(TABLEAU!$I$19)</f>
        <v>CHAMPIONNAT</v>
      </c>
      <c r="AH19" s="1064" t="str">
        <f ca="1">UPPER(SUBSTITUTE(IF(DATE.L1="",CONCATENATE("#DATE ",TABLEAU!$AG19," A VERIFIER#"),IF(DATE.L1=0,DANS.L1,IF(DATE.L1&lt;0,CONCATENATE("#DEPASSE DEPUIS ",0-DATE.L1," JOURS"),IF(DATE.L1=1,"DEMAIN",IF(DATE.L1=7,"DANS 1 SEMAINE",CONCATENATE("DANS ",DATE.L1," JOURS")))))),"DEPUIS 1 JOURS","DEPUIS HIER"))</f>
        <v>DANS 7H45</v>
      </c>
      <c r="AI19" s="2042" t="str">
        <f ca="1">IF(DATE.DEPASSE&gt;0,"",SUBSTITUTE(SUBSTITUTE(TABLEAU!$B$33,CONCATENATE(" ",YEAR(A)),"")," ~",""))</f>
        <v>#DANS 7H45 (A 20H45): [CHAMPIONNAT]#</v>
      </c>
      <c r="AJ19" s="15"/>
      <c r="AK19" s="15"/>
      <c r="AL19" s="870" t="str">
        <f ca="1">TRIM(SUBSTITUTE(SUBSTITUTE(SUBSTITUTE(SUBSTITUTE(SUBSTITUTE(TABLEAU!$AA$12,"] DEPUIS","]# &amp; #DEPASSE DEPUIS"),"EVENEMENT",CONCATENATE(TABLEAU!$AN$4," SONT")),"1 PROG SONT","1 PROG EST"),CONCATENATE(" ",AN),""),"1 PROG  SONT","1 PROG EST"))</f>
        <v/>
      </c>
      <c r="AM19" s="2089"/>
      <c r="AN19" s="2045" t="str">
        <f ca="1">SUBSTITUTE(SUBSTITUTE(SUBSTITUTE(SUBSTITUTE(TABLEAU!$AN$18,"1 PROG EST ",""),"2 PROG EST ",""),"3 PROG EST ",""),"4 PROG EST ","")</f>
        <v/>
      </c>
      <c r="AO19" s="2046"/>
      <c r="AP19" s="2046"/>
      <c r="AQ19" s="2046"/>
      <c r="AR19" s="2046"/>
      <c r="AS19" s="2046"/>
      <c r="AT19" s="2046"/>
      <c r="AU19" s="2046"/>
      <c r="AV19" s="2046"/>
      <c r="AW19" s="2046"/>
      <c r="AX19" s="2047"/>
      <c r="AY19" s="1489"/>
      <c r="AZ19" s="2574"/>
      <c r="BA19" s="2139"/>
    </row>
    <row r="20" spans="1:53" ht="24" customHeight="1">
      <c r="A20" s="72" t="str">
        <f ca="1">SUBSTITUTE(IF(DATE.COLLER.2=DATE.COPIER.2,"",IF(DATE.COPIER.2-DATE.COLLER.2=1,"D'UNE JOURNEE ",IF(DATE.COLLER.2-DATE.COPIER.2=7,"D'UNE SEMAINE ",CONCATENATE("DE ",DATE.COLLER.2-DATE.COPIER.2," JOURS ")))),"-","")</f>
        <v/>
      </c>
      <c r="B20" s="2341" t="str">
        <f ca="1">UPPER(IF(AND(MAINTENANT&gt;0,MAINTENANT&lt;6),"BONNE NUIT CEDRIK",IF(MAINTENANT=0,"BONNE NUIT CEDRIK",IF(MAINTENANT&gt;17,"BONSOIR CEDRIK",IF(MAINTENANT=17,"BONSOIR CEDRIK","BONJOUR CEDRIK")))))</f>
        <v>BONJOUR CEDRIK</v>
      </c>
      <c r="C20" s="2342"/>
      <c r="D20" s="2342"/>
      <c r="E20" s="2343"/>
      <c r="F20" s="38" t="str">
        <f>IF(TABLEAU!$N$20="","",IF(MINUTE(TABLEAU!$N$20)&lt;10,CONCATENATE(HOUR(TABLEAU!$N$20),"H0",MINUTE(TABLEAU!$N$20)),CONCATENATE(HOUR(TABLEAU!$N$20),"H",MINUTE(TABLEAU!$N$20))))</f>
        <v>21H00</v>
      </c>
      <c r="G20" s="2221" t="str">
        <f ca="1">UPPER(IF(TABLEAU!$P$73="#DEPASSE#",CONCATENATE("DEPASSE",TABLEAU!$L$73,TABLEAU!$C$73,"#"),VENDREDI.TV.3))</f>
        <v/>
      </c>
      <c r="H20" s="2222"/>
      <c r="I20" s="144" t="str">
        <f>UPPER("CONFEDERATIONS")</f>
        <v>CONFEDERATIONS</v>
      </c>
      <c r="J20" s="506" t="str">
        <f ca="1">IF(TABLEAU!$A$33=TABLEAU!$I$20,TABLEAU!$I$33,IF(TABLEAU!$A$34=TABLEAU!$I$20,TABLEAU!$I$34,IF(TABLEAU!$A$35=TABLEAU!$I$20,TABLEAU!$I$35,IF(TABLEAU!$A$36=TABLEAU!$I$20,TABLEAU!$I$36,IF(TABLEAU!$A$37=TABLEAU!$I$20,TABLEAU!$I$37,IF(TABLEAU!$A$38=TABLEAU!$I$20,TABLEAU!$I$38,IF(TABLEAU!$A$39=TABLEAU!$I$20,TABLEAU!$I$39,IF(TABLEAU!$A$40=TABLEAU!$I$20,TABLEAU!$I$40,IF(TABLEAU!$A$41=TABLEAU!$I$20,TABLEAU!$I$41,"#ERREUR#")))))))))</f>
        <v>#DANS 579 JOURS= ''13.904H00'' ~ (JEUDI 3 JUIN 2021 A 21H00): [CONFEDERATIONS 2021= (MANQUE 8 PAYS)]#</v>
      </c>
      <c r="K20" s="507"/>
      <c r="L20" s="508"/>
      <c r="M20" s="145">
        <f ca="1">IF(JOUR.CONFEDERATIONS="","",JOUR.CONFEDERATIONS-TODAY())</f>
        <v>579</v>
      </c>
      <c r="N20" s="146">
        <f>[10]!CONFEDERATIONS.HEURE</f>
        <v>0.875</v>
      </c>
      <c r="O20" s="147" t="str">
        <f ca="1">SUBSTITUTE(SUBSTITUTE(TRIM(IF(TABLEAU!$M$20&gt;0,CONCATENATE(TABLEAU!$AB$34,"= ",DIF.CONFEDERATIONS," ~ "),IF(TABLEAU!$M$20&lt;0,TABLEAU!$AH$20,IF(AND(TABLEAU!$M$20=0,HOUR(H.M)&gt;HOUR(TABLEAU!$N$20)),CONCATENATE("#DEPASSE ",DEP.CONFEDERATIONS.VERIFIER),IF(OR(TABLEAU!$P$20="#DEPASSE#",TABLEAU!$R$20="#DEPASSE#"),CONCATENATE("#DEPASSE ",TABLEAU!$T$20),IF(HOUR(TABLEAU!$R$20)&gt;0,TABLEAU!$Q$20,TABLEAU!$Q$20)))))),"DANS 0 MIN","MAINTENANT"),"DANS DEMAIN","DEMAIN")</f>
        <v>DANS 579 JOURS= ''13.904H00'' ~</v>
      </c>
      <c r="P20" s="1139" t="str">
        <f ca="1">TRIM(SUBSTITUTE(IF(TABLEAU!$M$20&gt;0,"",IF(DANS.DEP.CONFEDERATIONS&lt;&gt;"",CONCATENATE("DEPASSE ",TABLEAU!$AZ$34),SUBSTITUTE(SUBSTITUTE(DIF.CONFEDERATIONS,"H",":"),"''",""))),"DEPASSE DEPUIS 0 MIN","MAINTENANT"))</f>
        <v/>
      </c>
      <c r="Q20" s="1140" t="str">
        <f ca="1">SUBSTITUTE(IF(DEP.CONFEDERATIONS.VERIFIER="DEPUIS 0 MIN","MAINTENANT",IF(DANS.CONFEDERATIONS.VERIFIER="MAINTENANT",DANS.CONFEDERATIONS.VERIFIER,IF(AND(DATE.CONFEDERATIONS=0,HEURE.CONFEDERATIONS=H.M),"EN COURS",SUBSTITUTE(SUBSTITUTE(SUBSTITUTE(SUBSTITUTE(IF(OR(TABLEAU!$M$20="",TABLEAU!$M$20&lt;&gt;0),"",IF(HOUR(H.M)&gt;HOUR(TABLEAU!$N$20),"#DEPASSE#",IF(AND(HOUR(H.M)=HOUR(TABLEAU!$N$20),MINUTE(H.M)&gt;MINUTE(TABLEAU!$N$20)),"#DEPASSE#",IF(HOUR(TABLEAU!$R$20)&gt;0,CONCATENATE("DANS ",TABLEAU!$P$20),CONCATENATE("DANS ",HOUR(TABLEAU!$R$20),"H",TABLEAU!$P$20," MIN")))))," 0H"," "),"DANS 0","DANS "),":","H"),"DANS H","DANS "))))," 0"," ")</f>
        <v/>
      </c>
      <c r="R20" s="1159" t="str">
        <f ca="1">IF(TABLEAU!$M$20&gt;0,"",SUBSTITUTE(SUBSTITUTE(DIF.CONFEDERATIONS,"H",":"),"''",""))</f>
        <v/>
      </c>
      <c r="S20" s="1155" t="str">
        <f ca="1">IF(DATE.CONFEDERATIONS&gt;0,"",DANS.DEP.CONFEDERATIONS)</f>
        <v/>
      </c>
      <c r="T20" s="1151" t="str">
        <f ca="1">IF(AND(DATE.CONFEDERATIONS=0,HEURE.CONFEDERATIONS=H.M),"EN COURS",IF(TABLEAU!$Q$20="#DEPASSE#",DEP.CONFEDERATIONS.VERIFIER,""))</f>
        <v/>
      </c>
      <c r="U20" s="2463"/>
      <c r="V20" s="2464"/>
      <c r="W20" s="764" t="str">
        <f ca="1">IF(AND(DATE.CONFEDERATIONS=0,HEURE.CONFEDERATIONS.VERIFIER=HEURE.MAINTENANT.2),"#MATCH DE LA COUPE DES CONFEDERATIONS EN COURS#",SUBSTITUTE(SUBSTITUTE(SUBSTITUTE(IF(OR(TABLEAU!$P$20="#DEPASSE#",TABLEAU!$R$20="#DEPASSE#"),CONCATENATE(DANS.CONFEDERATIONS," (",LOOKUP(WEEKDAY(JOUR.CONFEDERATIONS),CALENDRIER)," ",DAY(JOUR.CONFEDERATIONS)," ",LOOKUP(MONTH(JOUR.CONFEDERATIONS),MOIS)," ",YEAR(JOUR.CONFEDERATIONS)," A ",TABLEAU!$X20,"): [CONFEDERATIONS]#"),IF(TABLEAU!$R$20="","",IF(HOUR(TABLEAU!$R$20)&gt;1,"",IF(TABLEAU!$M$20&lt;&gt;0,"",""))))," ]","]")," ]","]"),"#DEPASSE #DEPASSE","#DEPASSE"))</f>
        <v/>
      </c>
      <c r="X20" s="704" t="str">
        <f>IF(TABLEAU!$N$20="","",IF(MINUTE(TABLEAU!$N$20)&gt;9,CONCATENATE(HOUR(TABLEAU!$N$20),"H",MINUTE(TABLEAU!$N$20)),CONCATENATE(HOUR(TABLEAU!$N$20),"H0",MINUTE(TABLEAU!$N$20))))</f>
        <v>21H00</v>
      </c>
      <c r="Y20" s="2064"/>
      <c r="Z20" s="2065"/>
      <c r="AA20" s="2327"/>
      <c r="AB20" s="2328"/>
      <c r="AC20" s="2328"/>
      <c r="AD20" s="2328"/>
      <c r="AE20" s="2329"/>
      <c r="AF20" s="1146" t="str">
        <f ca="1">TRIM(TABLEAU!$T$20)</f>
        <v/>
      </c>
      <c r="AG20" s="39" t="str">
        <f>UPPER(TABLEAU!$I$20)</f>
        <v>CONFEDERATIONS</v>
      </c>
      <c r="AH20" s="670" t="str">
        <f ca="1">UPPER(SUBSTITUTE(IF(DATE.CONFEDERATIONS="",CONCATENATE("#DATE ",TABLEAU!$AG$20," A VERIFIER#"),IF(DATE.CONFEDERATIONS=0,DANS.CONFEDERATIONS,IF(DATE.CONFEDERATIONS&lt;0,CONCATENATE("#DEPASSE DEPUIS ",0-DATE.CONFEDERATIONS," JOURS"),IF(DATE.CONFEDERATIONS=1,"DEMAIN",IF(DATE.CONFEDERATIONS=7,"DANS 1 SEMAINE",CONCATENATE("DANS ",DATE.CONFEDERATIONS," JOURS")))))),"DEPUIS 1 JOURS","DEPUIS HIER"))</f>
        <v>DANS 579 JOURS</v>
      </c>
      <c r="AI20" s="2043"/>
      <c r="AJ20" s="15"/>
      <c r="AK20" s="15"/>
      <c r="AL20" s="1468" t="str">
        <f ca="1">SUBSTITUTE(IF(TABLEAU!$W$20="","",CONCATENATE(TABLEAU!$W$20," &amp; #ALLEZ L'OM#"))," &amp; #ALLEZ L'OM#","")</f>
        <v/>
      </c>
      <c r="AM20" s="2089"/>
      <c r="AN20" s="2048" t="str">
        <f ca="1">IF(AND(TABLEAU!$AM$1&lt;&gt;TABLEAU!$K$3,TABLEAU!$AM$1&lt;&gt;"MARDI",TABLEAU!$AM$1&lt;&gt;"MERCREDI",TABLEAU!$AM$1&lt;&gt;"JEUDI",TABLEAU!$AM$1&lt;&gt;"VENDREDI",TABLEAU!$AM$1&lt;&gt;"SAMEDI",TABLEAU!$AM$1&lt;&gt;"DIMANCHE"),TABLEAU!$AM$1,"")</f>
        <v xml:space="preserve">#DANS 7H45 (A 20H45): [CHAMPIONNAT]# &amp; </v>
      </c>
      <c r="AO20" s="2049"/>
      <c r="AP20" s="2049"/>
      <c r="AQ20" s="2049"/>
      <c r="AR20" s="2049"/>
      <c r="AS20" s="2049"/>
      <c r="AT20" s="2049"/>
      <c r="AU20" s="2049"/>
      <c r="AV20" s="2049"/>
      <c r="AW20" s="2049"/>
      <c r="AX20" s="2050"/>
      <c r="AY20" s="1489"/>
      <c r="AZ20" s="2574"/>
      <c r="BA20" s="2139"/>
    </row>
    <row r="21" spans="1:53" ht="24" customHeight="1">
      <c r="A21" s="474">
        <v>6.5595699999999999</v>
      </c>
      <c r="B21" s="2339" t="str">
        <f ca="1">UPPER(CONCATENATE("NOUS SOMMES LE ",TABLEAU!$AB$5))</f>
        <v>NOUS SOMMES LE SAMEDI 2 NOVEMBRE 2019</v>
      </c>
      <c r="C21" s="2339"/>
      <c r="D21" s="2339"/>
      <c r="E21" s="2340"/>
      <c r="F21" s="40" t="str">
        <f>IF(TABLEAU!$N$21="","",IF(MINUTE(TABLEAU!$N$21)&lt;10,CONCATENATE(HOUR(TABLEAU!$N$21),"H0",MINUTE(TABLEAU!$N$21)),CONCATENATE(HOUR(TABLEAU!$N$21),"H",MINUTE(TABLEAU!$N$21))))</f>
        <v>20H00</v>
      </c>
      <c r="G21" s="2221" t="str">
        <f ca="1">UPPER(IF(TABLEAU!$P$74="#DEPASSE#",CONCATENATE("DEPASSE",TABLEAU!$L$74,TABLEAU!$C$74,"#"),VENDREDI.TV.4))</f>
        <v/>
      </c>
      <c r="H21" s="2222"/>
      <c r="I21" s="173" t="str">
        <f>UPPER("COUPE DE FRANCE")</f>
        <v>COUPE DE FRANCE</v>
      </c>
      <c r="J21" s="509" t="str">
        <f ca="1">IF(TABLEAU!$A$33=TABLEAU!$I$21,TABLEAU!$I$33,IF(TABLEAU!$A$34=TABLEAU!$I$21,TABLEAU!$I$34,IF(TABLEAU!$A$35=TABLEAU!$I$21,TABLEAU!$I$35,IF(TABLEAU!$A$36=TABLEAU!$I$21,TABLEAU!$I$36,IF(TABLEAU!$A$37=TABLEAU!$I$21,TABLEAU!$I$37,IF(TABLEAU!$A$38=TABLEAU!$I$21,TABLEAU!$I$38,IF(TABLEAU!$A$39=TABLEAU!$I$21,TABLEAU!$I$39,IF(TABLEAU!$A$40=TABLEAU!$I$21,TABLEAU!$I$40,IF(TABLEAU!$A$41=TABLEAU!$I$21,TABLEAU!$I$41,"#ERREUR#")))))))))</f>
        <v>#DANS 94 JOURS= ''2.263H00'' ~ (MARDI 4 FEVRIER 2020 A 20H00): [COUPE DE FRANCE 19-20= (MANQUE 16 EQUIPES)]#</v>
      </c>
      <c r="K21" s="510"/>
      <c r="L21" s="511"/>
      <c r="M21" s="174">
        <f ca="1">IF(JOUR.COUPE.FRANCE="","",JOUR.COUPE.FRANCE-TODAY())</f>
        <v>94</v>
      </c>
      <c r="N21" s="175">
        <f>[6]!FRANCE.HEURE</f>
        <v>0.83333333333333337</v>
      </c>
      <c r="O21" s="176" t="str">
        <f ca="1">SUBSTITUTE(SUBSTITUTE(TRIM(IF(TABLEAU!$M$21&gt;0,CONCATENATE(TABLEAU!$AB$35,"= ",DIF.FRANCE," ~ "),IF(TABLEAU!$M$21&lt;0,TABLEAU!$AH$21,IF(AND(TABLEAU!$M$21=0,HOUR(H.M)&gt;HOUR(TABLEAU!$N$21)),CONCATENATE("#DEPASSE ",DEP.FRANCE.VERIFIER),IF(OR(TABLEAU!$P$21="#DEPASSE#",TABLEAU!$R$21="#DEPASSE#"),CONCATENATE("#DEPASSE ",TABLEAU!$T$21),IF(HOUR(TABLEAU!$R$21)&gt;0,TABLEAU!$Q$21,TABLEAU!$Q$21)))))),"DANS 0 MIN","MAINTENANT"),"DANS DEMAIN","DEMAIN")</f>
        <v>DANS 94 JOURS= ''2.263H00'' ~</v>
      </c>
      <c r="P21" s="1137" t="str">
        <f ca="1">TRIM(SUBSTITUTE(IF(TABLEAU!$M$21&gt;0,"",IF(DANS.DEP.FRANCE&lt;&gt;"",CONCATENATE("DEPASSE ",TABLEAU!$AZ$35),SUBSTITUTE(SUBSTITUTE(DIF.FRANCE,"H",":"),"''",""))),"DEPASSE DEPUIS 0 MIN","MAINTENANT"))</f>
        <v/>
      </c>
      <c r="Q21" s="1138" t="str">
        <f ca="1">SUBSTITUTE(IF(DEP.FRANCE.VERIFIER="DEPUIS 0 MIN","MAINTENANT",IF(DANS.FRANCE.VERIFIER="MAINTENANT",DANS.FRANCE.VERIFIER,IF(AND(DATE.FRANCE=0,HEURE.FRANCE=H.M),"EN COURS",SUBSTITUTE(SUBSTITUTE(SUBSTITUTE(SUBSTITUTE(IF(OR(TABLEAU!$M$21="",TABLEAU!$M$21&lt;&gt;0),"",IF(HOUR(H.M)&gt;HOUR(TABLEAU!$N$21),"#DEPASSE#",IF(AND(HOUR(H.M)=HOUR(TABLEAU!$N$21),MINUTE(H.M)&gt;MINUTE(TABLEAU!$N$21)),"#DEPASSE#",IF(HOUR(TABLEAU!$R$21)&gt;0,CONCATENATE("DANS ",TABLEAU!$P$21),CONCATENATE("DANS ",HOUR(TABLEAU!$R$21),"H",TABLEAU!$P$21," MIN")))))," 0H"," "),"DANS 0","DANS "),":","H"),"DANS H","DANS "))))," 0"," ")</f>
        <v/>
      </c>
      <c r="R21" s="1160" t="str">
        <f ca="1">IF(TABLEAU!$M$21&gt;0,"",SUBSTITUTE(SUBSTITUTE(DIF.FRANCE,"H",":"),"''",""))</f>
        <v/>
      </c>
      <c r="S21" s="1156" t="str">
        <f ca="1">IF(DATE.FRANCE&gt;0,"",DANS.DEP.FRANCE)</f>
        <v/>
      </c>
      <c r="T21" s="1152" t="str">
        <f ca="1">IF(AND(DATE.FRANCE=0,HEURE.FRANCE=H.M),"EN COURS",IF(TABLEAU!$Q$21="#DEPASSE#",DEP.FRANCE.VERIFIER,""))</f>
        <v/>
      </c>
      <c r="U21" s="2463"/>
      <c r="V21" s="2464"/>
      <c r="W21" s="765" t="str">
        <f ca="1">IF(AND(DATE.FRANCE=0,HEURE.FRANCE.VERIFIER=HEURE.MAINTENANT.2),"#MATCH DE LA COUPE DE FRANCE EN COURS#",SUBSTITUTE(SUBSTITUTE(SUBSTITUTE(IF(OR(TABLEAU!$P$21="#DEPASSE#",TABLEAU!$R$21="#DEPASSE#"),CONCATENATE(DANS.COUPE.FRANCE," (",LOOKUP(WEEKDAY(JOUR.COUPE.FRANCE),CALENDRIER)," ",DAY(JOUR.COUPE.FRANCE)," ",LOOKUP(MONTH(JOUR.COUPE.FRANCE),MOIS)," ",YEAR(JOUR.COUPE.FRANCE)," A ",TABLEAU!$X21,"): [COUPE DE FRANCE]#"),IF(TABLEAU!$R$21="","",IF(HOUR(TABLEAU!$R$21)&gt;1,"",IF(TABLEAU!$M$21&lt;&gt;0,"",""))))," ]","]")," ]","]"),"#DEPASSE #DEPASSE","#DEPASSE"))</f>
        <v/>
      </c>
      <c r="X21" s="726" t="str">
        <f>IF(TABLEAU!$N$21="","",IF(MINUTE(TABLEAU!$N$21)&gt;9,CONCATENATE(HOUR(TABLEAU!$N$21),"H",MINUTE(TABLEAU!$N$21)),CONCATENATE(HOUR(TABLEAU!$N$21),"H0",MINUTE(TABLEAU!$N$21))))</f>
        <v>20H00</v>
      </c>
      <c r="Y21" s="2064"/>
      <c r="Z21" s="2065"/>
      <c r="AA21" s="2327"/>
      <c r="AB21" s="2328"/>
      <c r="AC21" s="2328"/>
      <c r="AD21" s="2328"/>
      <c r="AE21" s="2329"/>
      <c r="AF21" s="1147" t="str">
        <f ca="1">TRIM(TABLEAU!$T$21)</f>
        <v/>
      </c>
      <c r="AG21" s="141" t="str">
        <f>UPPER(TABLEAU!$I$21)</f>
        <v>COUPE DE FRANCE</v>
      </c>
      <c r="AH21" s="671" t="str">
        <f ca="1">UPPER(SUBSTITUTE(IF(DATE.FRANCE="",CONCATENATE("#DATE ",TABLEAU!$AG$21," A VERIFIER#"),IF(DATE.FRANCE=0,DANS.COUPE.FRANCE,IF(DATE.FRANCE&lt;0,CONCATENATE("#DEPASSE DEPUIS ",0-DATE.FRANCE," JOURS"),IF(DATE.FRANCE=1,"DEMAIN",IF(DATE.FRANCE=7,"DANS 1 SEMAINE",CONCATENATE("DANS ",DATE.FRANCE," JOURS")))))),"DEPUIS 1 JOURS","DEPUIS HIER"))</f>
        <v>DANS 94 JOURS</v>
      </c>
      <c r="AI21" s="2043"/>
      <c r="AJ21" s="15"/>
      <c r="AK21" s="15"/>
      <c r="AL21" s="1445" t="str">
        <f ca="1">SUBSTITUTE(IF(TABLEAU!$W$21="","",CONCATENATE(TABLEAU!$W$21," &amp; #ALLEZ L'OM#"))," &amp; #ALLEZ L'OM#","")</f>
        <v/>
      </c>
      <c r="AM21" s="2089"/>
      <c r="AN21" s="2045" t="str">
        <f ca="1">SUBSTITUTE(SUBSTITUTE(IF(TV.SUITE&lt;&gt;"",SUBSTITUTE(TV.SUITE,CONCATENATE(" ",YEAR(A)),""),"")," 0"," "),CONCATENATE("A ",SUBSTITUTE(TABLEAU!$M$33,":","H"),"): ~ (A ",SUBSTITUTE(TABLEAU!$M$33,":","H")),CONCATENATE("A ",SUBSTITUTE(TABLEAU!$M$33,":","H")))</f>
        <v>#DANS 7H45 (A 20H45): [CHAMPIONNAT]# &amp; #DANS 7H40 (A 20H40 SUR AB1): [SMACKDOWN]#</v>
      </c>
      <c r="AO21" s="2046"/>
      <c r="AP21" s="2046"/>
      <c r="AQ21" s="2046"/>
      <c r="AR21" s="2046"/>
      <c r="AS21" s="2046"/>
      <c r="AT21" s="2046"/>
      <c r="AU21" s="2046"/>
      <c r="AV21" s="2046"/>
      <c r="AW21" s="2046"/>
      <c r="AX21" s="2047"/>
      <c r="AY21" s="1489"/>
      <c r="AZ21" s="2574"/>
      <c r="BA21" s="2139"/>
    </row>
    <row r="22" spans="1:53" ht="24" customHeight="1" thickBot="1">
      <c r="A22" s="72" t="str">
        <f ca="1">UPPER(TRIM(SUBSTITUTE(SUBSTITUTE(SUBSTITUTE(SUBSTITUTE(SUBSTITUTE(SUBSTITUTE(SUBSTITUTE(SUBSTITUTE(SUBSTITUTE(SUBSTITUTE(SUBSTITUTE(SUBSTITUTE(SUBSTITUTE(SUBSTITUTE(SUBSTITUTE(SUBSTITUTE(SUBSTITUTE(CONCATENATE(TABLEAU!$A$26," ",TABLEAU!$A$176," ",TABLEAU!$A$27," ",TABLEAU!$A$201),"&amp; DEPASSE","&amp; #DEPASSE"),"&amp; #DEPASSE ","&amp; #"),"] &amp; D","]&lt; &amp; &gt;D"),"# &amp; #DEPUIS"," &amp; DEPUIS")," A "," (A "),CONCATENATE(LOOKUP(MONTH(A),MOIS)," (A"),CONCATENATE(LOOKUP(MONTH(A),MOIS)," A")),"#1 PROG EST DEPASSE#1 PROG","#1 PROG"),"#2 PROG SONT DEPASSE#2 PROG","#2 PROG"),"#3 PROG SONT DEPASSE#3 PROG","#3 PROG"),"#4 PROG SONT DEPASSE#4 PROG","#4 PROG")," &amp; D","# &amp; #D"),"#  #","#"),"]#D","]# &amp; #D"),CONCATENATE(YEAR(A)," (A"),CONCATENATE(YEAR(A)," A")),CONCATENATE(TABLEAU!$A$26," &amp; ",TABLEAU!$B$33),TABLEAU!$A$26)," H"," 0H"),"0HIER","HIER")))</f>
        <v/>
      </c>
      <c r="B22" s="2350" t="str">
        <f ca="1">UPPER(TRIM(SUBSTITUTE(SUBSTITUTE(SUBSTITUTE(SUBSTITUTE(SUBSTITUTE(IF(FERIE.3&lt;&gt;"",CONCATENATE("ET IL EST ",MAINTENANT,"H",TABLEAU!$K$12," #",FERIE.3,"# ",DEMAIN),CONCATENATE("ET IL EST ",HOUR(HEURE.MAINTENANT),"H",TABLEAU!$K$12," ",DEMAIN)),CONCATENATE(YEAR(A),""),""),DEM,LOOKUP(WEEKDAY(B),SEMAINE)),"DIA ","DI A "),"CHEA ","CHE A "),"# #","# &amp; #")))</f>
        <v>ET IL EST 13H00</v>
      </c>
      <c r="C22" s="2351" t="str">
        <f ca="1">UPPER(TRIM(IF(FERIE.3&lt;&gt;"",CONCATENATE("ET IL EST ",MAINTENANT,"H",$K$12," #",FERIE.3,"#"),CONCATENATE("ET IL EST ",MAINTENANT,"H",$K$12))))</f>
        <v>ET IL EST 13H00</v>
      </c>
      <c r="D22" s="2351" t="str">
        <f ca="1">UPPER(TRIM(IF(FERIE.3&lt;&gt;"",CONCATENATE("ET IL EST ",MAINTENANT,"H",$K$12," #",FERIE.3,"#"),CONCATENATE("ET IL EST ",MAINTENANT,"H",$K$12))))</f>
        <v>ET IL EST 13H00</v>
      </c>
      <c r="E22" s="2352" t="str">
        <f ca="1">UPPER(TRIM(IF(FERIE.3&lt;&gt;"",CONCATENATE("ET IL EST ",MAINTENANT,"H",$K$12," #",FERIE.3,"#"),CONCATENATE("ET IL EST ",MAINTENANT,"H",$K$12))))</f>
        <v>ET IL EST 13H00</v>
      </c>
      <c r="F22" s="41" t="str">
        <f>IF(TABLEAU!$N$22="","",IF(MINUTE(TABLEAU!$N$22)&lt;10,CONCATENATE(HOUR(TABLEAU!$N$22),"H0",MINUTE(TABLEAU!$N$22)),CONCATENATE(HOUR(TABLEAU!$N$22),"H",MINUTE(TABLEAU!$N$22))))</f>
        <v>21H00</v>
      </c>
      <c r="G22" s="2221" t="str">
        <f ca="1">UPPER(SUBSTITUTE(IF(TABLEAU!$P$75="#DEPASSE#",CONCATENATE("DEPASSE",TABLEAU!$L$75,TABLEAU!$C$75,"#"),SAMEDI.TV.1),"DEPASSE#DEPASSE","DEPASSE"))</f>
        <v>#DANS 7H45 (A 20H45): [CHAMPIONNAT]#</v>
      </c>
      <c r="H22" s="2222"/>
      <c r="I22" s="148" t="str">
        <f>UPPER("COUPE DE LA LIGUE")</f>
        <v>COUPE DE LA LIGUE</v>
      </c>
      <c r="J22" s="512" t="str">
        <f ca="1">IF(TABLEAU!$A$33=TABLEAU!$I$22,TABLEAU!$I$33,IF(TABLEAU!$A$34=TABLEAU!$I$22,TABLEAU!$I$34,IF(TABLEAU!$A$35=TABLEAU!$I$22,TABLEAU!$I$35,IF(TABLEAU!$A$36=TABLEAU!$I$22,TABLEAU!$I$36,IF(TABLEAU!$A$37=TABLEAU!$I$22,TABLEAU!$I$37,IF(TABLEAU!$A$38=TABLEAU!$I$22,TABLEAU!$I$38,IF(TABLEAU!$A$39=TABLEAU!$I$22,TABLEAU!$I$39,IF(TABLEAU!$A$40=TABLEAU!$I$22,TABLEAU!$I$40,IF(TABLEAU!$A$41=TABLEAU!$I$22,TABLEAU!$I$41,"#ERREUR#")))))))))</f>
        <v>#DANS 45 JOURS= ''1.088H00'' ~ (MARDI 17 DECEMBRE 2019 A 21H00): [COUPE DE LA LIGUE 19-20= (MANQUE 16 EQUIPES)]#</v>
      </c>
      <c r="K22" s="513"/>
      <c r="L22" s="514"/>
      <c r="M22" s="149">
        <f ca="1">IF(JOUR.COUPE.LIGUE="","",JOUR.COUPE.LIGUE-TODAY())</f>
        <v>45</v>
      </c>
      <c r="N22" s="150" t="str">
        <f>[7]!LIGUE.HEURE</f>
        <v>21:00</v>
      </c>
      <c r="O22" s="151" t="str">
        <f ca="1">SUBSTITUTE(SUBSTITUTE(TRIM(IF(TABLEAU!$M$22&gt;0,CONCATENATE(TABLEAU!$AB$36,"= ",DIF.LIGUE," ~ "),IF(TABLEAU!$M$22&lt;0,TABLEAU!$AH$22,IF(AND(TABLEAU!$M$22=0,HOUR(H.M)&gt;HOUR(TABLEAU!$N$22)),CONCATENATE("#DEPASSE ",DEP.LIGUE.VERIFIER),IF(OR(TABLEAU!$P$22="#DEPASSE#",TABLEAU!$R$22="#DEPASSE#"),CONCATENATE("#DEPASSE ",TABLEAU!$T$22),IF(HOUR(TABLEAU!$R$22)&gt;0,TABLEAU!$Q$22,TABLEAU!$Q$22)))))),"DANS 0 MIN","MAINTENANT"),"DANS DEMAIN","DEMAIN")</f>
        <v>DANS 45 JOURS= ''1.088H00'' ~</v>
      </c>
      <c r="P22" s="1139" t="str">
        <f ca="1">TRIM(SUBSTITUTE(IF(TABLEAU!$M$22&gt;0,"",IF(DANS.DEP.LIGUE&lt;&gt;"",CONCATENATE("DEPASSE ",TABLEAU!$AZ$36),SUBSTITUTE(SUBSTITUTE(DIF.LIGUE,"H",":"),"''",""))),"DEPASSE DEPUIS 0 MIN","MAINTENANT"))</f>
        <v/>
      </c>
      <c r="Q22" s="1140" t="str">
        <f ca="1">SUBSTITUTE(IF(DEP.LIGUE.VERIFIER="DEPUIS 0 MIN","MAINTENANT",IF(DANS.LIGUE.VERIFIER="MAINTENANT",DANS.LIGUE.VERIFIER,IF(AND(DATE.LIGUE=0,HEURE.LIGUE=H.M),"EN COURS",SUBSTITUTE(SUBSTITUTE(SUBSTITUTE(SUBSTITUTE(IF(OR(TABLEAU!$M$22="",TABLEAU!$M$22&lt;&gt;0),"",IF(HOUR(H.M)&gt;HOUR(TABLEAU!$N$22),"#DEPASSE#",IF(AND(HOUR(H.M)=HOUR(TABLEAU!$N$22),MINUTE(H.M)&gt;MINUTE(TABLEAU!$N$22)),"#DEPASSE#",IF(HOUR(TABLEAU!$R$22)&gt;0,CONCATENATE("DANS ",TABLEAU!$P$22),CONCATENATE("DANS ",HOUR(TABLEAU!$R$22),"H",TABLEAU!$P$22," MIN")))))," 0H"," "),"DANS 0","DANS "),":","H"),"DANS H","DANS "))))," 0"," ")</f>
        <v/>
      </c>
      <c r="R22" s="1159" t="str">
        <f ca="1">IF(TABLEAU!$M$22&gt;0,"",SUBSTITUTE(SUBSTITUTE(DIF.LIGUE,"H",":"),"''",""))</f>
        <v/>
      </c>
      <c r="S22" s="1155" t="str">
        <f ca="1">IF(DATE.LIGUE&gt;0,"",DANS.DEP.LIGUE)</f>
        <v/>
      </c>
      <c r="T22" s="1210" t="str">
        <f ca="1">IF(AND(DATE.LIGUE=0,HEURE.LIGUE=H.M),"EN COURS",IF(TABLEAU!$Q$22="#DEPASSE#",DEP.LIGUE.VERIFIER,""))</f>
        <v/>
      </c>
      <c r="U22" s="2463"/>
      <c r="V22" s="2464"/>
      <c r="W22" s="764" t="str">
        <f ca="1">IF(AND(DATE.LIGUE=0,HEURE.LIGUE.VERIFIER=HEURE.MAINTENANT.2),"#MATCH DE LA COUPE DE LA LIGUE EN COURS#",SUBSTITUTE(SUBSTITUTE(SUBSTITUTE(IF(OR(TABLEAU!$P$22="#DEPASSE#",TABLEAU!$R$22="#DEPASSE#"),CONCATENATE(DANS.COUPE.LIGUE," (",LOOKUP(WEEKDAY(JOUR.COUPE.LIGUE),CALENDRIER)," ",DAY(JOUR.COUPE.LIGUE)," ",LOOKUP(MONTH(JOUR.COUPE.LIGUE),MOIS)," ",YEAR(JOUR.COUPE.LIGUE)," A ",TABLEAU!$X22,"): [COUPE DE LA LIGUE]#"),IF(TABLEAU!$R$22="","",IF(HOUR(TABLEAU!$R$22)&gt;1,"",IF(TABLEAU!$M$22&lt;&gt;0,"",""))))," ]","]")," ]","]"),"#DEPASSE #DEPASSE","#DEPASSE"))</f>
        <v/>
      </c>
      <c r="X22" s="705" t="str">
        <f>IF(TABLEAU!$N$22="","",IF(MINUTE(TABLEAU!$N$22)&gt;9,CONCATENATE(HOUR(TABLEAU!$N$22),"H",MINUTE(TABLEAU!$N$22)),CONCATENATE(HOUR(TABLEAU!$N$22),"H0",MINUTE(TABLEAU!$N$22))))</f>
        <v>21H00</v>
      </c>
      <c r="Y22" s="2064"/>
      <c r="Z22" s="2065"/>
      <c r="AA22" s="2327"/>
      <c r="AB22" s="2328"/>
      <c r="AC22" s="2328"/>
      <c r="AD22" s="2328"/>
      <c r="AE22" s="2329"/>
      <c r="AF22" s="1148" t="str">
        <f ca="1">TRIM(TABLEAU!$T$22)</f>
        <v/>
      </c>
      <c r="AG22" s="42" t="str">
        <f>UPPER(TABLEAU!$I$22)</f>
        <v>COUPE DE LA LIGUE</v>
      </c>
      <c r="AH22" s="672" t="str">
        <f ca="1">UPPER(SUBSTITUTE(IF(DATE.LIGUE="",CONCATENATE("#DATE ",TABLEAU!$AG$22," A VERIFIER#"),IF(DATE.LIGUE=0,DANS.COUPE.LIGUE,IF(DATE.LIGUE&lt;0,CONCATENATE("#DEPASSE DEPUIS ",0-DATE.LIGUE," JOURS"),IF(DATE.LIGUE=1,"DEMAIN",IF(DATE.LIGUE=7,"DANS 1 SEMAINE",CONCATENATE("DANS ",DATE.LIGUE," JOURS")))))),"DEPUIS 1 JOURS","DEPUIS HIER"))</f>
        <v>DANS 45 JOURS</v>
      </c>
      <c r="AI22" s="2043"/>
      <c r="AJ22" s="15"/>
      <c r="AK22" s="15"/>
      <c r="AL22" s="1446" t="str">
        <f ca="1">SUBSTITUTE(IF(TABLEAU!$W$22="","",CONCATENATE(TABLEAU!$W$22," &amp; #ALLEZ L'OM#"))," &amp; #ALLEZ L'OM#","")</f>
        <v/>
      </c>
      <c r="AM22" s="2089"/>
      <c r="AN22" s="2143" t="str">
        <f ca="1">IF(TABLEAU!$AN$20&lt;&gt;"",TABLEAU!$AN$20,SUBSTITUTE(SUBSTITUTE(SUBSTITUTE(SUBSTITUTE(IF(AND(TABLEAU!$AN$51=TABLEAU!$B$49,RDV.1.DATE&gt;A),"",CONCATENATE(TABLEAU!$Y$45,RESULT)),CONCATENATE(RESULT," &amp; "),""),"##","# &amp; #"),CONCATENATE("(",TABLEAU!$AB$6," "),"("),CONCATENATE("A ",SUBSTITUTE(TABLEAU!$M$33,":","H"),"): ~ (A ",SUBSTITUTE(TABLEAU!$M$33,":","H")),CONCATENATE("A ",SUBSTITUTE(TABLEAU!$M$33,":","H"))))</f>
        <v xml:space="preserve">#DANS 7H45 (A 20H45): [CHAMPIONNAT]# &amp; </v>
      </c>
      <c r="AO22" s="2144"/>
      <c r="AP22" s="2144"/>
      <c r="AQ22" s="2144"/>
      <c r="AR22" s="2144"/>
      <c r="AS22" s="2144"/>
      <c r="AT22" s="2144"/>
      <c r="AU22" s="2144"/>
      <c r="AV22" s="2144"/>
      <c r="AW22" s="2144"/>
      <c r="AX22" s="2145"/>
      <c r="AY22" s="1489"/>
      <c r="AZ22" s="2574"/>
      <c r="BA22" s="2139"/>
    </row>
    <row r="23" spans="1:53" ht="24" customHeight="1">
      <c r="A23" s="72" t="str">
        <f ca="1">UPPER(TRIM(SUBSTITUTE(SUBSTITUTE(SUBSTITUTE(SUBSTITUTE(SUBSTITUTE(SUBSTITUTE(TABLEAU!$G$102,"##","#"),"#DEPUIS","#DEPASSE DEPUIS"),"]# #","]#"),"]#DANS","]# #DANS"),"]# #","]# &amp; #"),"1ER ERREUR","1 ERREUR")))</f>
        <v>#DANS 7H45 (A 20H45): [CHAMPIONNAT]# &amp; #DANS 7H40 (A 20H40 SUR AB1): [SMACKDOWN]#</v>
      </c>
      <c r="B23" s="2344" t="str">
        <f ca="1">SUBSTITUTE(IF(AND(RDV.5.DATE&lt;&gt;"",RDV.5.DATE&lt;A),CONCATENATE(TABLEAU!$B$53," &amp; ",TABLEAU!$B$52," &amp; ",TABLEAU!$B$51," &amp; ",TABLEAU!$B$50," &amp; ",TABLEAU!$B$49),IF(AND(RDV.4.DATE&lt;&gt;"",RDV.4.DATE&lt;A),CONCATENATE(TABLEAU!$B$52," &amp; ",TABLEAU!$B$51," &amp; ",TABLEAU!$B$50," &amp; ",TABLEAU!$B$49),IF(AND(RDV.3.DATE&lt;&gt;"",RDV.3.DATE&lt;A),CONCATENATE(TABLEAU!$B$51," &amp; ",TABLEAU!$B$50," &amp; ",TABLEAU!$B$49),IF(AND(RDV.2.DATE&lt;&gt;"",RDV.2.DATE&lt;A),CONCATENATE(TABLEAU!$B$50," &amp; ",TABLEAU!$B$49),IF(AND(RDV.1.DATE&lt;&gt;"",RDV.1.DATE&lt;A),TABLEAU!$B$49,SUBSTITUTE(SUBSTITUTE(SUBSTITUTE(SUBSTITUTE(IF(TABLEAU!$A$194&lt;&gt;"",CONCATENATE(NBR.RDV,TABLEAU!$A$194),IF(RDV2.5="DEPASSE",CONCATENATE(TABLEAU!$B$49," &amp; ",TABLEAU!$B$50," &amp; ",TABLEAU!$B$51," &amp; ",TABLEAU!$B$52," &amp; ",TABLEAU!$B$53),IF(RDV2.4="DEPASSE",CONCATENATE(TABLEAU!$B$49," &amp; ",TABLEAU!$B$50," &amp; ",TABLEAU!$B$51," &amp; ",TABLEAU!$B$52),IF(RDV2.3="DEPASSE",CONCATENATE(TABLEAU!$B$49," &amp; ",TABLEAU!$B$50," &amp; ",TABLEAU!$B$51),IF(RDV2.2="DEPASSE",CONCATENATE(TABLEAU!$B$49," &amp; ",TABLEAU!$B$50),IF(RDV2.1="DEPASSE",TABLEAU!$B$49,"")))))),"{1 RDV}= ",""),"{","#{"),"##","#"),"= #","= ")))))),CONCATENATE("{1 ",UPPER("RDV}= ")),"")</f>
        <v/>
      </c>
      <c r="C23" s="2345"/>
      <c r="D23" s="2345"/>
      <c r="E23" s="2346"/>
      <c r="F23" s="43" t="str">
        <f>IF(TABLEAU!$N$23="","",IF(MINUTE(TABLEAU!$N$23)&lt;10,CONCATENATE(HOUR(TABLEAU!$N$23),"H0",MINUTE(TABLEAU!$N$23)),CONCATENATE(HOUR(TABLEAU!$N$23),"H",MINUTE(TABLEAU!$N$23))))</f>
        <v>21H00</v>
      </c>
      <c r="G23" s="2221" t="str">
        <f ca="1">UPPER(IF(TABLEAU!$P$76="#DEPASSE#",CONCATENATE("DEPASSE",TABLEAU!$L$76,TABLEAU!$C$76,"#"),SAMEDI.TV.2))</f>
        <v/>
      </c>
      <c r="H23" s="2222"/>
      <c r="I23" s="160" t="str">
        <f>UPPER("EURO")</f>
        <v>EURO</v>
      </c>
      <c r="J23" s="515" t="str">
        <f ca="1">IF(TABLEAU!$A$33=TABLEAU!$I$23,TABLEAU!$I$33,IF(TABLEAU!$A$34=TABLEAU!$I$23,TABLEAU!$I$34,IF(TABLEAU!$A$35=TABLEAU!$I$23,TABLEAU!$I$35,IF(TABLEAU!$A$36=TABLEAU!$I$23,TABLEAU!$I$36,IF(TABLEAU!$A$37=TABLEAU!$I$23,TABLEAU!$I$37,IF(TABLEAU!$A$38=TABLEAU!$I$23,TABLEAU!$I$38,IF(TABLEAU!$A$39=TABLEAU!$I$23,TABLEAU!$I$39,IF(TABLEAU!$A$40=TABLEAU!$I$23,TABLEAU!$I$40,IF(TABLEAU!$A$41=TABLEAU!$I$23,TABLEAU!$I$41,"#ERREUR#")))))))))</f>
        <v>#DANS 221 JOURS= ''5.312H00'' ~ (MERCREDI 10 JUIN 2020 A 21H00): [EURO 2020= (MANQUE 24 PAYS)]#</v>
      </c>
      <c r="K23" s="516"/>
      <c r="L23" s="517"/>
      <c r="M23" s="161">
        <f ca="1">IF(JOUR.EURO="","",JOUR.EURO-TODAY())</f>
        <v>221</v>
      </c>
      <c r="N23" s="162" t="str">
        <f>[9]!EURO.HEURE</f>
        <v>21:00</v>
      </c>
      <c r="O23" s="163" t="str">
        <f ca="1">SUBSTITUTE(SUBSTITUTE(TRIM(IF(TABLEAU!$M$23&gt;0,CONCATENATE(TABLEAU!$AB$37,"= ",DIF.EURO," ~ "),IF(TABLEAU!$M$23&lt;0,TABLEAU!$AH$23,IF(AND(TABLEAU!$M$23=0,HOUR(H.M)&gt;HOUR(TABLEAU!$N$23)),CONCATENATE("#DEPASSE ",DEP.EURO.VERIFIER),IF(OR(TABLEAU!$P$23="#DEPASSE#",TABLEAU!$R$23="#DEPASSE#"),CONCATENATE("#DEPASSE ",TABLEAU!$T$23),IF(HOUR(TABLEAU!$R$23)&gt;0,TABLEAU!$Q$23,TABLEAU!$Q$23)))))),"DANS 0 MIN","MAINTENANT"),"DANS DEMAIN","DEMAIN")</f>
        <v>DANS 221 JOURS= ''5.312H00'' ~</v>
      </c>
      <c r="P23" s="1137" t="str">
        <f ca="1">TRIM(SUBSTITUTE(IF(TABLEAU!$M$23&gt;0,"",IF(DANS.DEP.EURO&lt;&gt;"",CONCATENATE("DEPASSE ",TABLEAU!$AZ$37),SUBSTITUTE(SUBSTITUTE(DIF.EURO,"H",":"),"''",""))),"DEPASSE DEPUIS 0 MIN","MAINTENANT"))</f>
        <v/>
      </c>
      <c r="Q23" s="1138" t="str">
        <f ca="1">SUBSTITUTE(IF(DEP.EURO.VERIFIER="DEPUIS 0 MIN","MAINTENANT",IF(DANS.EURO.VERIFIER="MAINTENANT",DANS.EURO.VERIFIER,IF(AND(DATE.EURO=0,HEURE.EURO=H.M),"EN COURS",SUBSTITUTE(SUBSTITUTE(SUBSTITUTE(SUBSTITUTE(IF(OR(TABLEAU!$M$23="",TABLEAU!$M$23&lt;&gt;0),"",IF(HOUR(H.M)&gt;HOUR(TABLEAU!$N$23),"#DEPASSE#",IF(AND(HOUR(H.M)=HOUR(TABLEAU!$N$23),MINUTE(H.M)&gt;MINUTE(TABLEAU!$N$23)),"#DEPASSE#",IF(HOUR(TABLEAU!$R$23)&gt;0,CONCATENATE("DANS ",TABLEAU!$P$23),CONCATENATE("DANS ",HOUR(TABLEAU!$R$23),"H",TABLEAU!$P$23," MIN")))))," 0H"," "),"DANS 0","DANS "),":","H"),"DANS H","DANS "))))," 0"," ")</f>
        <v/>
      </c>
      <c r="R23" s="1160" t="str">
        <f ca="1">IF(TABLEAU!$M$23&gt;0,"",SUBSTITUTE(SUBSTITUTE(DIF.EURO,"H",":"),"''",""))</f>
        <v/>
      </c>
      <c r="S23" s="1156" t="str">
        <f ca="1">IF(DATE.EURO&gt;0,"",DANS.DEP.EURO)</f>
        <v/>
      </c>
      <c r="T23" s="1152" t="str">
        <f ca="1">IF(AND(DATE.EURO=0,HEURE.EURO=H.M),"EN COURS",IF(TABLEAU!$Q$23="#DEPASSE#",DEP.EURO.VERIFIER,""))</f>
        <v/>
      </c>
      <c r="U23" s="2463"/>
      <c r="V23" s="2464"/>
      <c r="W23" s="765" t="str">
        <f ca="1">IF(AND(DATE.EURO=0,HEURE.EURO.VERIFIER=HEURE.MAINTENANT.2),"#MATCH DE L'EURO EN COURS#",SUBSTITUTE(SUBSTITUTE(SUBSTITUTE(IF(OR(TABLEAU!$P$23="#DEPASSE#",TABLEAU!$R$23="#DEPASSE#"),CONCATENATE(DANS.EURO," (",LOOKUP(WEEKDAY(JOUR.EURO),CALENDRIER)," ",DAY(JOUR.EURO)," ",LOOKUP(MONTH(JOUR.EURO),MOIS)," ",YEAR(JOUR.EURO)," A ",TABLEAU!$X23,"): [EURO]#"),IF(TABLEAU!$R$23="","",IF(HOUR(TABLEAU!$R$23)&gt;1,"",IF(TABLEAU!$M$23&lt;&gt;0,"",""))))," ]","]")," ]","]"),"#DEPASSE #DEPASSE","#DEPASSE"))</f>
        <v/>
      </c>
      <c r="X23" s="706" t="str">
        <f>IF(TABLEAU!$N$23="","",IF(MINUTE(TABLEAU!$N$23)&gt;9,CONCATENATE(HOUR(TABLEAU!$N$23),"H",MINUTE(TABLEAU!$N$23)),CONCATENATE(HOUR(TABLEAU!$N$23),"H0",MINUTE(TABLEAU!$N$23))))</f>
        <v>21H00</v>
      </c>
      <c r="Y23" s="2064"/>
      <c r="Z23" s="2065"/>
      <c r="AA23" s="2327"/>
      <c r="AB23" s="2328"/>
      <c r="AC23" s="2328"/>
      <c r="AD23" s="2328"/>
      <c r="AE23" s="2329"/>
      <c r="AF23" s="1149" t="str">
        <f ca="1">TRIM(TABLEAU!$T$23)</f>
        <v/>
      </c>
      <c r="AG23" s="142" t="str">
        <f>UPPER(TABLEAU!$I$23)</f>
        <v>EURO</v>
      </c>
      <c r="AH23" s="673" t="str">
        <f ca="1">UPPER(SUBSTITUTE(IF(DATE.EURO="",CONCATENATE("#DATE ",TABLEAU!$AG$23," A VERIFIER#"),IF(DATE.EURO=0,DANS.EURO,IF(DATE.EURO&lt;0,CONCATENATE("#DEPASSE DEPUIS ",0-DATE.EURO," JOURS"),IF(DATE.EURO=1,"DEMAIN",IF(DATE.EURO=7,"DANS 1 SEMAINE",CONCATENATE("DANS ",DATE.EURO," JOURS")))))),"DEPUIS 1 JOURS","DEPUIS HIER"))</f>
        <v>DANS 221 JOURS</v>
      </c>
      <c r="AI23" s="2043"/>
      <c r="AJ23" s="453"/>
      <c r="AK23" s="453"/>
      <c r="AL23" s="1445" t="str">
        <f ca="1">SUBSTITUTE(IF(TABLEAU!$W$23="","",CONCATENATE(TABLEAU!$W$23," &amp; #ALLEZ L'OM#"))," &amp; #ALLEZ L'OM#","")</f>
        <v/>
      </c>
      <c r="AM23" s="2089"/>
      <c r="AN23" s="2045" t="str">
        <f ca="1">IF(A.OUVRIR="CHAMPIONNAT",CONCATENATE(DIF.L1," ~ "),IF(A.OUVRIR="CHAMPION'S LEAGUE",CONCATENATE(DIF.LDC," ~ "),IF(A.OUVRIR="UEFA",CONCATENATE(DIF.UEFA," ~ "),IF(A.OUVRIR="COUPE DE FRANCE",CONCATENATE(DIF.FRANCE," ~ "),IF(A.OUVRIR="COUPE DE LA LIGUE",CONCATENATE(DIF.LIGUE," ~ "),IF(A.OUVRIR="FORMULE 1",CONCATENATE(DIF.GP," ~ "),IF(A.OUVRIR="MONDIAL",CONCATENATE(DIF.MONDIAL," ~ "),IF(A.OUVRIR="EURO",CONCATENATE(DIF.EURO," ~ "),IF(A.OUVRIR="CONFEDERATIONS",CONCATENATE(DIF.CONFEDERATIONS," ~ "))))))))))</f>
        <v xml:space="preserve">''7H45'' ~ </v>
      </c>
      <c r="AO23" s="2046"/>
      <c r="AP23" s="2046"/>
      <c r="AQ23" s="2046"/>
      <c r="AR23" s="2046"/>
      <c r="AS23" s="2046"/>
      <c r="AT23" s="2046"/>
      <c r="AU23" s="2046"/>
      <c r="AV23" s="2046"/>
      <c r="AW23" s="2046"/>
      <c r="AX23" s="2047"/>
      <c r="AY23" s="1489"/>
      <c r="AZ23" s="2574"/>
      <c r="BA23" s="2139"/>
    </row>
    <row r="24" spans="1:53" ht="24" customHeight="1">
      <c r="A24" s="474" t="str">
        <f ca="1">SUBSTITUTE(SUBSTITUTE(SUBSTITUTE(SUBSTITUTE(SUBSTITUTE(SUBSTITUTE(IF(TABLEAU!$AN$22="#","",CONCATENATE("ZZZ",TABLEAU!$AN$22)),"DANS MIN","MAINTENANT"),"ZZZ &amp; ",""),"ZZZ",""),"#~ ",CONCATENATE("#",FICHIER.A.MODIFIER," ~ ")),CONCATENATE("A ",SUBSTITUTE(TABLEAU!$M$33,":","H"),"): ~ (A ",SUBSTITUTE(TABLEAU!$M$33,":","H")),CONCATENATE("A ",SUBSTITUTE(TABLEAU!$M$33,":","H"))),"~): ","")</f>
        <v xml:space="preserve">#DANS 7H45 (A 20H45): [CHAMPIONNAT]# &amp; </v>
      </c>
      <c r="B24" s="2347"/>
      <c r="C24" s="2348"/>
      <c r="D24" s="2348"/>
      <c r="E24" s="2349"/>
      <c r="F24" s="44" t="str">
        <f>IF(TABLEAU!$N$24="","",IF(MINUTE(TABLEAU!$N$24)&lt;10,CONCATENATE(HOUR(TABLEAU!$N$24),"H0",MINUTE(TABLEAU!$N$24)),CONCATENATE(HOUR(TABLEAU!$N$24),"H",MINUTE(TABLEAU!$N$24))))</f>
        <v>17H00</v>
      </c>
      <c r="G24" s="2221" t="str">
        <f ca="1">UPPER(IF(TABLEAU!$P$77="#DEPASSE#",CONCATENATE("DEPASSE",TABLEAU!$L$77,TABLEAU!$C$77,"#"),SAMEDI.TV.3))</f>
        <v/>
      </c>
      <c r="H24" s="2222"/>
      <c r="I24" s="152" t="str">
        <f>UPPER("FORMULE 1")</f>
        <v>FORMULE 1</v>
      </c>
      <c r="J24" s="518" t="str">
        <f ca="1">IF(TABLEAU!$A$33=TABLEAU!$I$24,TABLEAU!$I$33,IF(TABLEAU!$A$34=TABLEAU!$I$24,TABLEAU!$I$34,IF(TABLEAU!$A$35=TABLEAU!$I$24,TABLEAU!$I$35,IF(TABLEAU!$A$36=TABLEAU!$I$24,TABLEAU!$I$36,IF(TABLEAU!$A$37=TABLEAU!$I$24,TABLEAU!$I$37,IF(TABLEAU!$A$38=TABLEAU!$I$24,TABLEAU!$I$38,IF(TABLEAU!$A$39=TABLEAU!$I$24,TABLEAU!$I$39,IF(TABLEAU!$A$40=TABLEAU!$I$24,TABLEAU!$I$40,IF(TABLEAU!$A$41=TABLEAU!$I$24,TABLEAU!$I$41,"#ERREUR#")))))))))</f>
        <v>#DEMAIN= ''28H00'' ~ (DIMANCHE 3 NOVEMBRE A 17H00): [GP DES USA]#</v>
      </c>
      <c r="K24" s="519"/>
      <c r="L24" s="520"/>
      <c r="M24" s="153">
        <f ca="1">IF(JOUR.GP="","",JOUR.GP-TODAY())</f>
        <v>1</v>
      </c>
      <c r="N24" s="154" t="str">
        <f>IF([2]!F1.HEURE="","13:01",[2]!F1.HEURE)</f>
        <v>17:00</v>
      </c>
      <c r="O24" s="155" t="str">
        <f ca="1">SUBSTITUTE(SUBSTITUTE(TRIM(IF(TABLEAU!$M$24&gt;0,CONCATENATE(TABLEAU!$AB$38,"= ",DIF.GP," ~ "),IF(TABLEAU!$M$24&lt;0,TABLEAU!$AH$24,IF(AND(TABLEAU!$M$24=0,HOUR(H.M)&gt;HOUR(TABLEAU!$N$24)),CONCATENATE("#DEPASSE ",DEP.GP.VERIFIER),IF(OR(TABLEAU!$P$24="#DEPASSE#",TABLEAU!$R$24="#DEPASSE#"),CONCATENATE("#DEPASSE ",TABLEAU!$T$24),IF(HOUR(TABLEAU!$R$24)&gt;0,TABLEAU!$Q$24,TABLEAU!$Q$24)))))),"DANS 0 MIN","MAINTENANT"),"DANS DEMAIN","DEMAIN")</f>
        <v>DEMAIN= ''28H00'' ~</v>
      </c>
      <c r="P24" s="1139" t="str">
        <f ca="1">TRIM(SUBSTITUTE(IF(TABLEAU!$M$24&gt;0,"",IF(DANS.DEP.GP&lt;&gt;"",CONCATENATE("DEPASSE ",TABLEAU!$AZ$38),SUBSTITUTE(SUBSTITUTE(DIF.GP,"H",":"),"''",""))),"DEPASSE DEPUIS 0 MIN","MAINTENANT"))</f>
        <v/>
      </c>
      <c r="Q24" s="1140" t="str">
        <f ca="1">SUBSTITUTE(IF(DEP.GP.VERIFIER="DEPUIS 0 MIN","MAINTENANT",IF(DANS.GP.VERIFIER="MAINTENANT",DANS.GP.VERIFIER,IF(AND(DATE.GP=0,HEURE.GP=H.M),"EN COURS",SUBSTITUTE(SUBSTITUTE(SUBSTITUTE(SUBSTITUTE(IF(OR(TABLEAU!$M$24="",TABLEAU!$M$24&lt;&gt;0),"",IF(HOUR(H.M)&gt;HOUR(TABLEAU!$N$24),"#DEPASSE#",IF(AND(HOUR(H.M)=HOUR(TABLEAU!$N$24),MINUTE(H.M)&gt;MINUTE(TABLEAU!$N$24)),"#DEPASSE#",IF(HOUR(TABLEAU!$R$24)&gt;0,CONCATENATE("DANS ",TABLEAU!$P$24),CONCATENATE("DANS ",HOUR(TABLEAU!$R$24),"H",TABLEAU!$P$24," MIN")))))," 0H"," "),"DANS 0","DANS "),":","H"),"DANS H","DANS "))))," 0"," ")</f>
        <v/>
      </c>
      <c r="R24" s="1159" t="str">
        <f ca="1">IF(TABLEAU!$M$24&gt;0,"",SUBSTITUTE(SUBSTITUTE(DIF.GP,"H",":"),"''",""))</f>
        <v/>
      </c>
      <c r="S24" s="1155" t="str">
        <f ca="1">IF(DATE.GP&gt;0,"",DANS.DEP.GP)</f>
        <v/>
      </c>
      <c r="T24" s="1151" t="str">
        <f ca="1">IF(AND(DATE.GP=0,HEURE.GP=H.M),"EN COURS",IF(TABLEAU!$Q$24="#DEPASSE#",DEP.GP.VERIFIER,""))</f>
        <v/>
      </c>
      <c r="U24" s="2463"/>
      <c r="V24" s="2464"/>
      <c r="W24" s="766" t="str">
        <f ca="1">IF(AND(DATE.GP=0,HEURE.GP.VERIFIER=HEURE.MAINTENANT.2),"#COURSE DE FORMULE 1 EN COURS#",SUBSTITUTE(SUBSTITUTE(SUBSTITUTE(IF(OR(TABLEAU!$P$24="#DEPASSE#",TABLEAU!$R$24="#DEPASSE#"),CONCATENATE(DANS.GP," (",LOOKUP(WEEKDAY(JOUR.GP),CALENDRIER)," ",DAY(JOUR.GP)," ",LOOKUP(MONTH(JOUR.GP),MOIS)," ",YEAR(JOUR.GP)," A ",TABLEAU!$X24,"): [FORMULE 1]#"),IF(TABLEAU!$R$24="","",IF(HOUR(TABLEAU!$R$24)&gt;1,"",IF(TABLEAU!$M$24&lt;&gt;0,"",""))))," ]","]")," ]","]"),"#DEPASSE #DEPASSE","#DEPASSE"))</f>
        <v/>
      </c>
      <c r="X24" s="707" t="str">
        <f>IF(TABLEAU!$N$24="","",IF(MINUTE(TABLEAU!$N$24)&gt;9,CONCATENATE(HOUR(TABLEAU!$N$24),"H",MINUTE(TABLEAU!$N$24)),CONCATENATE(HOUR(TABLEAU!$N$24),"H0",MINUTE(TABLEAU!$N$24))))</f>
        <v>17H00</v>
      </c>
      <c r="Y24" s="2064"/>
      <c r="Z24" s="2065"/>
      <c r="AA24" s="2327"/>
      <c r="AB24" s="2328"/>
      <c r="AC24" s="2328"/>
      <c r="AD24" s="2328"/>
      <c r="AE24" s="2329"/>
      <c r="AF24" s="1148" t="str">
        <f ca="1">TRIM(TABLEAU!$T$24)</f>
        <v/>
      </c>
      <c r="AG24" s="45" t="str">
        <f>UPPER(TABLEAU!$I$24)</f>
        <v>FORMULE 1</v>
      </c>
      <c r="AH24" s="674" t="str">
        <f ca="1">UPPER(SUBSTITUTE(IF(DATE.GP="",CONCATENATE("#DATE ",TABLEAU!$AG$24," A VERIFIER#"),IF(DATE.GP=0,DANS.GP,IF(DATE.GP&lt;0,CONCATENATE("#DEPASSE DEPUIS ",0-DATE.GP," JOURS"),IF(DATE.GP=1,"DEMAIN",IF(DATE.GP=7,"DANS 1 SEMAINE",CONCATENATE("DANS ",DATE.GP," JOURS")))))),"DEPUIS 1 JOURS","DEPUIS HIER"))</f>
        <v>DEMAIN</v>
      </c>
      <c r="AI24" s="2043"/>
      <c r="AJ24" s="453"/>
      <c r="AK24" s="453"/>
      <c r="AL24" s="1446" t="str">
        <f ca="1">SUBSTITUTE(IF(TABLEAU!$W$24="","",CONCATENATE(TABLEAU!$W$24," &amp; #ALLEZ L'OM#"))," &amp; #ALLEZ L'OM#","")</f>
        <v/>
      </c>
      <c r="AM24" s="2089"/>
      <c r="AN24" s="2048" t="str">
        <f ca="1">IF(AND(TABLEAU!$AM$1&lt;&gt;TABLEAU!$K$3,TABLEAU!$AM$1&lt;&gt;"MARDI",TABLEAU!$AM$1&lt;&gt;"MERCREDI",TABLEAU!$AM$1&lt;&gt;"JEUDI",TABLEAU!$AM$1&lt;&gt;"VENDREDI",TABLEAU!$AM$1&lt;&gt;"SAMEDI",TABLEAU!$AM$1&lt;&gt;"DIMANCHE"),TABLEAU!$AM$2,"")</f>
        <v/>
      </c>
      <c r="AO24" s="2049"/>
      <c r="AP24" s="2049"/>
      <c r="AQ24" s="2049"/>
      <c r="AR24" s="2049"/>
      <c r="AS24" s="2049"/>
      <c r="AT24" s="2049"/>
      <c r="AU24" s="2049"/>
      <c r="AV24" s="2049"/>
      <c r="AW24" s="2049"/>
      <c r="AX24" s="2050"/>
      <c r="AY24" s="1489"/>
      <c r="AZ24" s="2574"/>
      <c r="BA24" s="2139"/>
    </row>
    <row r="25" spans="1:53" ht="24" customHeight="1" thickBot="1">
      <c r="A25" s="475" t="str">
        <f ca="1">UPPER(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AV$1,"JOURS ","JOURS ("),"(&amp;","&amp;"),"JOURS (          (","JOURS                ("),CONCATENATE(TABLEAU!$I$14," &amp; "),""),"((","("),"JOURS"," JOURS"),"  JOURS"," JOURS"),"(LUNDI","(LUNDI "),"(MARDI","(MARDI "),"(MERCREDI","(MERCREDI "),"(JEUDI","(JEUDI "),"(VENDREDI","(VENDREDI "),"(SAMEDI","(SAMEDI "),"(DIMANCHE","(DIMANCHE "),"##","# &amp; #"),"( "," ("),"   #","       #")," (                     (NOUS","                       (NOUS"),CONCATENATE(A.VERIFIER," &amp; #",NBR.TV),""),"DI  ","DI "),"CHE  ","CHE "),IF(A.VERIFIER="","ZZ",CONCATENATE(A.VERIFIER," &amp; ",A.VERIFIER)),A.VERIFIER),CONCATENATE(AN-1," ("),CONCATENATE(AN-1," ")),CONCATENATE(A.VERIFIER," &amp; #",NBR.TV),CONCATENATE("#",NBR.TV)),"##","# &amp; #"),"#8 ERREUR DANS LES DATES#",""),"ZZZ"," &amp; "),CONCATENATE(TABLEAU!$AR$1," &amp; ",A.VERIFIER),A.VERIFIER),TRIM(SUBSTITUTE(CONCATENATE(" &amp; #",NBR.TV,CONCATENATE(SUBSTITUTE(TABLEAU!$AL$15,"#DEPASSE","DEPASSE")," &amp; #DANS","")),CONCATENATE(" ",YEAR(A)),"")),"&amp; #DANS"),SUBSTITUTE(SUBSTITUTE(CONCATENATE("  #",NBR.TV,CONCATENATE(SUBSTITUTE(6,"#DEPASSE","DEPASSE"))),CONCATENATE(" ",YEAR(A)," &amp; #DANS"),"EEEEEE"),CONCATENATE(" ",YEAR(A)),""),""),SUBSTITUTE(CONCATENATE(A.VERIFIER,TV.SUITE,A.VERIFIER),"##","# &amp; #"),CONCATENATE(A.VERIFIER,TV.SUITE)),"##","# &amp; #"),CONCATENATE("  &amp; ",SUBSTITUTE(TABLEAU!$B$34,"~ ","")),CONCATENATE(TABLEAU!$AR$1," &amp; ",SUBSTITUTE(TABLEAU!$B$34,"~ ",""))),CONCATENATE(TABLEAU!$AN$1," &amp; #DANS"),"#DANS"),"DEPASSE","#DEPASSE"),"DANS","#DANS"),"##D","#D"),"#~ ",CONCATENATE("#",FICHIER.A.MODIFIER," ~ ")),"]##D","]# &amp; #D"),CONCATENATE("A ",SUBSTITUTE(TABLEAU!$M$33,":","H"),"): ~ (A ",SUBSTITUTE(TABLEAU!$M$33,":","H")),CONCATENATE("A ",SUBSTITUTE(TABLEAU!$M$33,":","H"))),TV,CONCATENATE(TV," &amp; ",RESULT)),"MOIS #D","MOIS &amp; D"),"= #","= "),CONCATENATE(SUBSTITUTE(SUBSTITUTE(CONCATENATE("#",NBR.TV,"= #","= "),"= #","= "),"= = ","")," &amp; #DANS",""),"#DANS"),CONCATENATE(RESULT," &amp; ",TV," &amp; ",RESULT),CONCATENATE(RESULT," &amp; ",TV)),"(1",CONCATENATE("(",CONCATENATE(LOOKUP(WEEKDAY(A-DATE.DEPASSE),CALENDRIER)," "),1)),"(2",CONCATENATE("(",CONCATENATE(LOOKUP(WEEKDAY(A-DATE.DEPASSE),CALENDRIER)," "),2)),"(3",CONCATENATE("(",CONCATENATE(LOOKUP(WEEKDAY(A-DATE.DEPASSE),CALENDRIER)," "),3)),"(4",CONCATENATE("(",CONCATENATE(LOOKUP(WEEKDAY(A-DATE.DEPASSE),CALENDRIER)," "),4)),"(5",CONCATENATE("(",CONCATENATE(LOOKUP(WEEKDAY(A-DATE.DEPASSE),CALENDRIER)," "),5)),"(6",CONCATENATE("(",CONCATENATE(LOOKUP(WEEKDAY(A-DATE.DEPASSE),CALENDRIER)," "),6)),"(7",CONCATENATE("(",CONCATENATE(LOOKUP(WEEKDAY(A-DATE.DEPASSE),CALENDRIER)," "),7)),"(8",CONCATENATE("(",CONCATENATE(LOOKUP(WEEKDAY(A-DATE.DEPASSE),CALENDRIER)," "),8)),"(9",CONCATENATE("(",CONCATENATE(LOOKUP(WEEKDAY(A-DATE.DEPASSE),CALENDRIER)," "),9)),CONCATENATE(TABLEAU!$AM$2," &amp; #DANS"),"#DANS"),CONCATENATE(DATE.RDV.TV," 1 AN"),"1 AN")," &amp;  &amp; "," &amp; "),"PTS)","PTS]"),"##","# &amp; #"),"  #",CONCATENATE(" ",TABLEAU!$B$33," &amp; ","#")),"EEE",TABLEAU!$B$33))</f>
        <v>~SAMEDI 2 NOVEMBRE 2019 [13:00:00]~                                          #DANS 7H45 (A 20H45): [CHAMPIONNAT]# &amp; #DANS 7H40 (A 20H40 SUR AB1): [SMACKDOWN]#</v>
      </c>
      <c r="B25" s="2239" t="str">
        <f ca="1">TV.SUITE</f>
        <v>#DANS 7H45 (A 20H45): [CHAMPIONNAT]# &amp; #DANS 7H40 (A 20H40 SUR AB1): [SMACKDOWN]#</v>
      </c>
      <c r="C25" s="2240"/>
      <c r="D25" s="2240"/>
      <c r="E25" s="2241"/>
      <c r="F25" s="46" t="str">
        <f>IF(TABLEAU!$N$25="","",IF(MINUTE(TABLEAU!$N$25)&lt;10,CONCATENATE(HOUR(TABLEAU!$N$25),"H0",MINUTE(TABLEAU!$N$25)),CONCATENATE(HOUR(TABLEAU!$N$25),"H",MINUTE(TABLEAU!$N$25))))</f>
        <v>18H55</v>
      </c>
      <c r="G25" s="2221" t="str">
        <f ca="1">UPPER(IF(TABLEAU!$P$78="#DEPASSE#",CONCATENATE("DEPASSE",TABLEAU!$L$78,TABLEAU!$C$78,"#"),SAMEDI.TV.4))</f>
        <v>#DANS 7H40 (A 20H40 SUR AB1): [SMACKDOWN]#</v>
      </c>
      <c r="H25" s="2222"/>
      <c r="I25" s="164" t="str">
        <f>UPPER("CHAMPION'S LEAGUE")</f>
        <v>CHAMPION'S LEAGUE</v>
      </c>
      <c r="J25" s="521" t="str">
        <f ca="1">IF(TABLEAU!$A$33=TABLEAU!$I$25,TABLEAU!$I$33,IF(TABLEAU!$A$34=TABLEAU!$I$25,TABLEAU!$I$34,IF(TABLEAU!$A$35=TABLEAU!$I$25,TABLEAU!$I$35,IF(TABLEAU!$A$36=TABLEAU!$I$25,TABLEAU!$I$36,IF(TABLEAU!$A$37=TABLEAU!$I$25,TABLEAU!$I$37,IF(TABLEAU!$A$38=TABLEAU!$I$25,TABLEAU!$I$38,IF(TABLEAU!$A$39=TABLEAU!$I$25,TABLEAU!$I$39,IF(TABLEAU!$A$40=TABLEAU!$I$25,TABLEAU!$I$40,IF(TABLEAU!$A$41=TABLEAU!$I$25,TABLEAU!$I$41,"#ERREUR#")))))))))</f>
        <v>#DANS 3 JOURS= ''77H55'' ~ (MARDI 5 NOVEMBRE 2019 A 18H55): [LDC= (4°J): BARCELONE VS PRAGUE {F}]#</v>
      </c>
      <c r="K25" s="818"/>
      <c r="L25" s="522"/>
      <c r="M25" s="165">
        <f ca="1">IF(JOUR.LDC="","",JOUR.LDC-TODAY())</f>
        <v>3</v>
      </c>
      <c r="N25" s="166" t="str">
        <f>SUBSTITUTE([1]!HEURE.PROCHAIN,"H",":")</f>
        <v>18:55</v>
      </c>
      <c r="O25" s="167" t="str">
        <f ca="1">SUBSTITUTE(SUBSTITUTE(TRIM(IF(TABLEAU!$M$25&gt;0,CONCATENATE(TABLEAU!$AB$39,"= ",DIF.LDC," ~ "),IF(TABLEAU!$M$25&lt;0,TABLEAU!$AH$25,IF(AND(TABLEAU!$M$25=0,HOUR(H.M)&gt;HOUR(TABLEAU!$N$25)),CONCATENATE("#DEPASSE ",DEP.LDC.VERIFIER),IF(OR(TABLEAU!$P$25="#DEPASSE#",TABLEAU!$R$25="#DEPASSE#"),CONCATENATE("#DEPASSE ",TABLEAU!$T$25),IF(HOUR(TABLEAU!$R$25)&gt;0,TABLEAU!$Q$25,TABLEAU!$Q$25)))))),"DANS 0 MIN","MAINTENANT"),"DANS DEMAIN","DEMAIN")</f>
        <v>DANS 3 JOURS= ''77H55'' ~</v>
      </c>
      <c r="P25" s="1137" t="str">
        <f ca="1">TRIM(SUBSTITUTE(IF(TABLEAU!$M$25&gt;0,"",IF(DANS.DEP.LDC&lt;&gt;"",CONCATENATE("DEPASSE ",TABLEAU!$AZ$39),SUBSTITUTE(SUBSTITUTE(DIF.LDC,"H",":"),"''",""))),"DEPASSE DEPUIS 0 MIN","MAINTENANT"))</f>
        <v/>
      </c>
      <c r="Q25" s="1138" t="str">
        <f ca="1">SUBSTITUTE(IF(DEP.LDC.VERIFIER="DEPUIS 0 MIN","MAINTENANT",IF(DANS.LDC.VERIFIER="MAINTENANT",DANS.LDC.VERIFIER,IF(AND(DATE.LDC=0,HEURE.LDC=H.M),"EN COURS",SUBSTITUTE(SUBSTITUTE(SUBSTITUTE(SUBSTITUTE(IF(OR(TABLEAU!$M$25="",TABLEAU!$M$25&lt;&gt;0),"",IF(HOUR(H.M)&gt;HOUR(TABLEAU!$N$25),"#DEPASSE#",IF(AND(HOUR(H.M)=HOUR(TABLEAU!$N$25),MINUTE(H.M)&gt;MINUTE(TABLEAU!$N$25)),"#DEPASSE#",IF(HOUR(TABLEAU!$R$25)&gt;0,CONCATENATE("DANS ",TABLEAU!$P$25),CONCATENATE("DANS ",HOUR(TABLEAU!$R$25),"H",TABLEAU!$P$25," MIN")))))," 0H"," "),"DANS 0","DANS "),":","H"),"DANS H","DANS "))))," 0"," ")</f>
        <v/>
      </c>
      <c r="R25" s="1160" t="str">
        <f ca="1">IF(TABLEAU!$M$25&gt;0,"",SUBSTITUTE(SUBSTITUTE(DIF.LDC,"H",":"),"''",""))</f>
        <v/>
      </c>
      <c r="S25" s="1156" t="str">
        <f ca="1">IF(DATE.LDC&gt;0,"",DANS.DEP.LDC)</f>
        <v/>
      </c>
      <c r="T25" s="1152" t="str">
        <f ca="1">IF(AND(DATE.LDC=0,HEURE.LDC=H.M),"EN COURS",IF(TABLEAU!$Q$25="#DEPASSE#",DEP.LDC.VERIFIER,""))</f>
        <v/>
      </c>
      <c r="U25" s="2463"/>
      <c r="V25" s="2464"/>
      <c r="W25" s="765" t="str">
        <f ca="1">IF(AND(DATE.CHAMPIONS.LEAGUE=0,HEURE.LDC.VERIFIER=HEURE.MAINTENANT.2),"#MATCH DE LDC EN COURS#",SUBSTITUTE(SUBSTITUTE(SUBSTITUTE(IF(OR(TABLEAU!$P$25="#DEPASSE#",TABLEAU!$R$25="#DEPASSE#"),CONCATENATE(DANS.CHAMPIONS.LEAGUE," (",LOOKUP(WEEKDAY(JOUR.LDC),CALENDRIER)," ",DAY(JOUR.LDC)," ",LOOKUP(MONTH(JOUR.LDC),MOIS)," ",YEAR(JOUR.LDC)," A ",TABLEAU!$X25,"): [CHAMPION'S LEAGUE]#"),IF(TABLEAU!$R$25="","",IF(HOUR(TABLEAU!$R$25)&gt;1,"",IF(TABLEAU!$M$25&lt;&gt;0,"",""))))," ]","]")," ]","]"),"#DEPASSE #DEPASSE","#DEPASSE"))</f>
        <v/>
      </c>
      <c r="X25" s="708" t="str">
        <f>IF(TABLEAU!$N$25="","",IF(MINUTE(TABLEAU!$N$25)&gt;9,CONCATENATE(HOUR(TABLEAU!$N$25),"H",MINUTE(TABLEAU!$N$25)),CONCATENATE(HOUR(TABLEAU!$N$25),"H0",MINUTE(TABLEAU!$N$25))))</f>
        <v>18H55</v>
      </c>
      <c r="Y25" s="2064"/>
      <c r="Z25" s="2065"/>
      <c r="AA25" s="2327"/>
      <c r="AB25" s="2328"/>
      <c r="AC25" s="2328"/>
      <c r="AD25" s="2328"/>
      <c r="AE25" s="2329"/>
      <c r="AF25" s="1149" t="str">
        <f ca="1">TRIM(TABLEAU!$T$25)</f>
        <v/>
      </c>
      <c r="AG25" s="143" t="str">
        <f>UPPER(TABLEAU!$I$25)</f>
        <v>CHAMPION'S LEAGUE</v>
      </c>
      <c r="AH25" s="1443" t="str">
        <f ca="1">UPPER(SUBSTITUTE(IF(DATE.CHAMPIONS.LEAGUE="",CONCATENATE("#DATE ",TABLEAU!$AG$25," A VERIFIER#"),IF(DATE.CHAMPIONS.LEAGUE=0,DANS.CHAMPIONS.LEAGUE,IF(DATE.CHAMPIONS.LEAGUE&lt;0,CONCATENATE("#DEPASSE DEPUIS ",0-DATE.CHAMPIONS.LEAGUE," JOURS"),IF(DATE.CHAMPIONS.LEAGUE=1,"DEMAIN",IF(DATE.CHAMPIONS.LEAGUE=7,"DANS 1 SEMAINE",CONCATENATE("DANS ",DATE.CHAMPIONS.LEAGUE," JOURS")))))),"DEPUIS 1 JOURS","DEPUIS HIER"))</f>
        <v>DANS 3 JOURS</v>
      </c>
      <c r="AI25" s="2043"/>
      <c r="AJ25" s="47"/>
      <c r="AK25" s="47"/>
      <c r="AL25" s="1445" t="str">
        <f ca="1">SUBSTITUTE(IF(TABLEAU!$W$25="","",CONCATENATE(TABLEAU!$W$25," &amp; #ALLEZ L'OM#"))," &amp; #ALLEZ L'OM#","")</f>
        <v/>
      </c>
      <c r="AM25" s="2089"/>
      <c r="AN25" s="2045" t="str">
        <f ca="1">UPPER(TRIM(IF(SUM([4]!ENVIE)=0,"",SUBSTITUTE(IF(TABLEAU!$AQ$14="DEPASSE","",SUBSTITUTE(SUBSTITUTE(SUBSTITUTE(IF(TABLEAU!$AQ$14="AUJOURD'HUI","",SUBSTITUTE(SUBSTITUTE(SUBSTITUTE(SUBSTITUTE(CONCATENATE("#DANS ",TABLEAU!$AQ$14,"= ",IF(TABLEAU!$AL$161=TYPE.1,TABLEAU!$O$102,IF(TABLEAU!$AL$161=TYPE.2=[4]!PROCHAIN,TABLEAU!$O$103,IF(TABLEAU!$AL$161=TYPE.3=[4]!PROCHAIN,TABLEAU!$O$104,IF(TABLEAU!$AL$161=TYPE.4=[4]!PROCHAIN,TABLEAU!$O$105,IF(TABLEAU!$AL$161=TYPE.5=[4]!PROCHAIN,TABLEAU!$O$106)))))," (",DAY(TABLEAU!$AO$14)," ",LOOKUP(MONTH(TABLEAU!$AO$14),[4]!MOIS.REDUIT)," A ",TEXT([4]!HEURE.FIN.1,"[H]:MM"),"): [",[4]!PROCHAIN,"]#"),"DANS AUJOURD'HUI","DANS"),":","H"),")H","):"),SUBSTITUTE(CVB," 1ER "," 1 "),"")),"=  (",CONCATENATE("= ",HEURE.ENVIE.1," ~ (")),"DANS DEMAIN","DEMAIN"),"DANS DEPASSE","DEPASSE DEPUIS"))," JOURS=","J="))))</f>
        <v>#DANS 3J= ''67H00'' ~ (5 NOV A 8H00): [COUPE OEUF]#</v>
      </c>
      <c r="AO25" s="2046"/>
      <c r="AP25" s="2046"/>
      <c r="AQ25" s="2046"/>
      <c r="AR25" s="2046"/>
      <c r="AS25" s="2046"/>
      <c r="AT25" s="2046"/>
      <c r="AU25" s="2046"/>
      <c r="AV25" s="2046"/>
      <c r="AW25" s="2046"/>
      <c r="AX25" s="2047"/>
      <c r="AY25" s="1489"/>
      <c r="AZ25" s="2574"/>
      <c r="BA25" s="2139"/>
    </row>
    <row r="26" spans="1:53" ht="24" customHeight="1" thickBot="1">
      <c r="A26" s="467" t="str">
        <f ca="1">SUBSTITUTE(IF(FICHIER.A.MODIFIER="#DEPASSE#",TABLEAU!$O$33,""),"##","#")</f>
        <v/>
      </c>
      <c r="B26" s="2242"/>
      <c r="C26" s="2243"/>
      <c r="D26" s="2243"/>
      <c r="E26" s="2244"/>
      <c r="F26" s="48" t="str">
        <f>IF(TABLEAU!$N$26="","",IF(MINUTE(TABLEAU!$N$26)&lt;10,CONCATENATE(HOUR(TABLEAU!$N$26),"H0",MINUTE(TABLEAU!$N$26)),CONCATENATE(HOUR(TABLEAU!$N$26),"H",MINUTE(TABLEAU!$N$26))))</f>
        <v>17H00</v>
      </c>
      <c r="G26" s="2221" t="str">
        <f ca="1">UPPER(SUBSTITUTE(SUBSTITUTE(SUBSTITUTE(SUBSTITUTE(IF(TABLEAU!$P$79="#DEPASSE#",CONCATENATE("DEPASSE",TABLEAU!$L$79,TABLEAU!$C$79,"#"),DIMANCHE.TV.1)," H"," 0H"),"0HAMILTON","HAMILTON"),"0HIER","HIER"),"##","#"))</f>
        <v/>
      </c>
      <c r="H26" s="2222"/>
      <c r="I26" s="156" t="str">
        <f>UPPER("MONDIAL")</f>
        <v>MONDIAL</v>
      </c>
      <c r="J26" s="503" t="str">
        <f ca="1">IF(TABLEAU!$A$33=TABLEAU!$I$26,TABLEAU!$I$33,IF(TABLEAU!$A$34=TABLEAU!$I$26,TABLEAU!$I$34,IF(TABLEAU!$A$35=TABLEAU!$I$26,TABLEAU!$I$35,IF(TABLEAU!$A$36=TABLEAU!$I$26,TABLEAU!$I$36,IF(TABLEAU!$A$37=TABLEAU!$I$26,TABLEAU!$I$37,IF(TABLEAU!$A$38=TABLEAU!$I$26,TABLEAU!$I$38,IF(TABLEAU!$A$39=TABLEAU!$I$26,TABLEAU!$I$39,IF(TABLEAU!$A$40=TABLEAU!$I$26,TABLEAU!$I$40,IF(TABLEAU!$A$41=TABLEAU!$I$26,TABLEAU!$I$41,"#ERREUR#")))))))))</f>
        <v>#DANS 1115 JOURS= ''26.764H00'' ~ (LUNDI 21 NOVEMBRE 2022 A 17H00): [MONDIAL 2022= (MANQUE 32 PAYS)]#</v>
      </c>
      <c r="K26" s="504"/>
      <c r="L26" s="505"/>
      <c r="M26" s="157">
        <f ca="1">IF(JOUR.MONDIAL="","",JOUR.MONDIAL-TODAY())</f>
        <v>1115</v>
      </c>
      <c r="N26" s="158">
        <f>[8]!MONDIAL.HEURE</f>
        <v>0.70833333333333337</v>
      </c>
      <c r="O26" s="159" t="str">
        <f ca="1">SUBSTITUTE(SUBSTITUTE(TRIM(IF(TABLEAU!$M$26&gt;0,CONCATENATE(TABLEAU!$AB$40,"= ",DIF.MONDIAL," ~ "),IF(TABLEAU!$M$26&lt;0,TABLEAU!$AH$26,IF(AND(TABLEAU!$M$26=0,HOUR(H.M)&gt;HOUR(TABLEAU!$N$26)),CONCATENATE("#DEPASSE ",DEP.MONDIAL.VERIFIER),IF(OR(TABLEAU!$P$26="#DEPASSE#",TABLEAU!$R$26="#DEPASSE#"),CONCATENATE("#DEPASSE ",TABLEAU!$T$26),IF(HOUR(TABLEAU!$R$26)&gt;0,TABLEAU!$Q$26,TABLEAU!$Q$26)))))),"DANS 0 MIN","MAINTENANT"),"DANS DEMAIN","DEMAIN")</f>
        <v>DANS 1115 JOURS= ''26.764H00'' ~</v>
      </c>
      <c r="P26" s="1139" t="str">
        <f ca="1">TRIM(SUBSTITUTE(IF(TABLEAU!$M$26&gt;0,"",IF(DANS.DEP.MONDIAL&lt;&gt;"",CONCATENATE("DEPASSE ",TABLEAU!$AZ40),SUBSTITUTE(SUBSTITUTE(DIF.MONDIAL,"H",":"),"''",""))),"DEPASSE DEPUIS 0 MIN","MAINTENANT"))</f>
        <v/>
      </c>
      <c r="Q26" s="1140" t="str">
        <f ca="1">SUBSTITUTE(IF(DEP.MONDIAL.VERIFIER="DEPUIS 0 MIN","MAINTENANT",IF(DANS.MONDIAL.VERIFIER="MAINTENANT",DANS.MONDIAL.VERIFIER,IF(AND(DATE.MONDIAL=0,HEURE.MONDIAL=H.M),"EN COURS",SUBSTITUTE(SUBSTITUTE(SUBSTITUTE(SUBSTITUTE(IF(OR(TABLEAU!$M$26="",TABLEAU!$M$26&lt;&gt;0),"",IF(HOUR(H.M)&gt;HOUR(TABLEAU!$N$26),"#DEPASSE#",IF(AND(HOUR(H.M)=HOUR(TABLEAU!$N$26),MINUTE(H.M)&gt;MINUTE(TABLEAU!$N$26)),"#DEPASSE#",IF(HOUR(TABLEAU!$R$26)&gt;0,CONCATENATE("DANS ",TABLEAU!$P$26),CONCATENATE("DANS ",HOUR(TABLEAU!$R$26),"H",TABLEAU!$P$26," MIN")))))," 0H"," "),"DANS 0","DANS "),":","H"),"DANS H","DANS "))))," 0"," ")</f>
        <v/>
      </c>
      <c r="R26" s="1159" t="str">
        <f ca="1">IF(TABLEAU!$M$26&gt;0,"",SUBSTITUTE(SUBSTITUTE(DIF.MONDIAL,"H",":"),"''",""))</f>
        <v/>
      </c>
      <c r="S26" s="1155" t="str">
        <f ca="1">IF(DATE.MONDIAL&gt;0,"",DANS.DEP.MONDIAL)</f>
        <v/>
      </c>
      <c r="T26" s="1151" t="str">
        <f ca="1">IF(AND(DATE.MONDIAL=0,HEURE.MONDIAL=H.M),"EN COURS",IF(TABLEAU!$Q$26="#DEPASSE#",DEP.MONDIAL.VERIFIER,""))</f>
        <v/>
      </c>
      <c r="U26" s="2463"/>
      <c r="V26" s="2464"/>
      <c r="W26" s="981" t="str">
        <f ca="1">SUBSTITUTE(IF(AND(DATE.MONDIAL=0,HEURE.MONDIAL.VERIFIER=HEURE.MAINTENANT.2),"#MATCH DU MONDIAL EN COURS#",SUBSTITUTE(SUBSTITUTE(SUBSTITUTE(IF(OR(TABLEAU!$P$26="#DEPASSE#",TABLEAU!$R$26="#DEPASSE#"),CONCATENATE(DANS.MONDIAL," (",LOOKUP(WEEKDAY(JOUR.MONDIAL),CALENDRIER)," ",DAY(JOUR.MONDIAL)," ",LOOKUP(MONTH(JOUR.MONDIAL),MOIS)," ",YEAR(JOUR.MONDIAL)," A ",TABLEAU!$X26,[8]!CHAINE,"): [MONDIAL 2022= (",[8]!MATCH.SUIVANT,"]#"),IF(TABLEAU!$R$26="","",IF(HOUR(TABLEAU!$R$26)&gt;1,"",IF(TABLEAU!$M$26&lt;&gt;0,"",""))))," ]","]")," ]","]"),"#DEPASSE #DEPASSE","#DEPASSE")),"]",")]")</f>
        <v/>
      </c>
      <c r="X26" s="709" t="str">
        <f>IF(TABLEAU!$N$26="","",IF(MINUTE(TABLEAU!$N$26)&gt;9,CONCATENATE(HOUR(TABLEAU!$N$26),"H",MINUTE(TABLEAU!$N$26)),CONCATENATE(HOUR(TABLEAU!$N$26),"H0",MINUTE(TABLEAU!$N$26))))</f>
        <v>17H00</v>
      </c>
      <c r="Y26" s="2064"/>
      <c r="Z26" s="2065"/>
      <c r="AA26" s="2327"/>
      <c r="AB26" s="2328"/>
      <c r="AC26" s="2328"/>
      <c r="AD26" s="2328"/>
      <c r="AE26" s="2329"/>
      <c r="AF26" s="1148" t="str">
        <f ca="1">TRIM(TABLEAU!$T$26)</f>
        <v/>
      </c>
      <c r="AG26" s="49" t="str">
        <f>UPPER(TABLEAU!$I$26)</f>
        <v>MONDIAL</v>
      </c>
      <c r="AH26" s="675" t="str">
        <f ca="1">UPPER(SUBSTITUTE(IF(DATE.MONDIAL="",CONCATENATE("#DATE ",TABLEAU!$AG$26," A VERIFIER#"),IF(DATE.MONDIAL=0,DANS.MONDIAL,IF(DATE.MONDIAL&lt;0,CONCATENATE("#DEPASSE DEPUIS ",0-DATE.MONDIAL," JOURS"),IF(DATE.MONDIAL=1,"DEMAIN",IF(DATE.MONDIAL=7,"DANS 1 SEMAINE",CONCATENATE("DANS ",DATE.MONDIAL," JOURS")))))),"DEPUIS 1 JOURS","DEPUIS HIER"))</f>
        <v>DANS 1115 JOURS</v>
      </c>
      <c r="AI26" s="2043"/>
      <c r="AJ26" s="47"/>
      <c r="AK26" s="47"/>
      <c r="AL26" s="1446" t="str">
        <f ca="1">SUBSTITUTE(IF(TABLEAU!$W$26="","",CONCATENATE(TABLEAU!$W$26," &amp; #ALLEZ L'OM#"))," &amp; #ALLEZ L'OM#","")</f>
        <v/>
      </c>
      <c r="AM26" s="2089"/>
      <c r="AN26" s="2125" t="str">
        <f ca="1">UPPER(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AD$33," ~ "," "),"DIMANCHE","~~~~~~~"),"SAMEDI","~~~~~~"),"VENDREDI","~~~~~"),"JEUDI","~~~~"),"MERCREDI","~~~"),"MARDI","~~"),TABLEAU!$K$3,"~"),"0",""),"1",""),"2",""),"3",""),"4",""),"5",""),"6",""),"7",""),"8",""),"9","")," ",""),"A",""),"B",""),"C",""),"D",""),"E",""),"F",""),"G",""),"H",""),"I",""),"J",""),"K",""),"L",""),"M",""),"N",""),"O",""),"P",""),"Q",""),"R",""),"S",""),"T",""),"U",""),"V",""),"W",""),"X",""),"Y",""),"Z",""),"#",""),"(",""),")",""),"[",""),"]",""),":",""),"=",""),"/",""),"'",""),"{°}",""),"&amp;",""),"{",""),"}",""),"+",""),"°","")," ~ ",""),"-",""),".",""))</f>
        <v/>
      </c>
      <c r="AO26" s="2126"/>
      <c r="AP26" s="2126"/>
      <c r="AQ26" s="2126"/>
      <c r="AR26" s="2126"/>
      <c r="AS26" s="2126"/>
      <c r="AT26" s="2126"/>
      <c r="AU26" s="2126"/>
      <c r="AV26" s="2126"/>
      <c r="AW26" s="2126"/>
      <c r="AX26" s="2127"/>
      <c r="AY26" s="1489"/>
      <c r="AZ26" s="2574"/>
      <c r="BA26" s="2139"/>
    </row>
    <row r="27" spans="1:53" ht="24" customHeight="1" thickTop="1" thickBot="1">
      <c r="A27" s="72" t="str">
        <f ca="1">UPPER(SUBSTITUTE(SUBSTITUTE(SUBSTITUTE(SUBSTITUTE(SUBSTITUTE(SUBSTITUTE(SUBSTITUTE(IF(AND(RDV.DEPAS&lt;&gt;"",TV.DEP&lt;&gt;""),TABLEAU!$A$28,IF(AND(RDV.DEPAS&lt;&gt;"",TV.DEP=""),RDV.DEPAS,IF(AND(RDV.DEPAS="",TV.DEP&lt;&gt;""),TV.DEP,IF(AND(RDV.DEPAS="",TV.DEP=""),"")))),"# DEPUIS","#DEPASSE DEPUIS"),"] &amp; DEPUIS","]# &amp; #DEPUIS"),"#DEPASSE","#DEPASSE"),"(A 1H05): [PPW DE CATCH]","(A 1H05): [PPW DE CATCH]"),"1 PROG EST ","")," H"," 0H"),"0HIER","HIER"))</f>
        <v/>
      </c>
      <c r="B27" s="2025" t="str">
        <f ca="1">SUBSTITUTE(SUBSTITUTE(SUBSTITUTE(SUBSTITUTE(SUBSTITUTE(SUBSTITUTE(SUBSTITUTE(SUBSTITUTE(SUBSTITUTE(SUBSTITUTE(IF(DATE.FINALE=JH,CONCATENATE(DATE.FINALE," ",TABAC),CONCATENATE(DATE.FINALE,"]")),"~ &amp; #","~ #"),CONCATENATE(" &amp; ",ENVIE.DATE)," &amp; ")," &amp;]",""),"#]]","#"),"#]","#"),"##","# &amp; #")," &amp; &amp; "," &amp; "),"&amp;  &amp;","&amp;")," &amp; ]]",""),"~  &amp;","~")</f>
        <v>~SAMEDI 2 NOVEMBRE 2019 [13:00:00]~ #DANS 3J= ''67H00'' ~ (5 NOV A 8H00): [COUPE OEUF]# &amp; #ARRET DU TABAC= ''29.742H00'' OU 1257 JOURS (3 ANS &amp; 5 MOIS &amp; 9 JOURS &amp; 6H00)# &amp; #DANS 7H45 (A 20H45): [CHAMPIONNAT]# &amp; #DANS 7H40 (A 20H40 SUR AB1): [SMACKDOWN]#</v>
      </c>
      <c r="C27" s="2025"/>
      <c r="D27" s="2025"/>
      <c r="E27" s="2026"/>
      <c r="F27" s="50" t="str">
        <f>IF(TABLEAU!$N$27="","",IF(MINUTE(TABLEAU!$N$27)&lt;10,CONCATENATE(HOUR(TABLEAU!$N$27),"H0",MINUTE(TABLEAU!$N$27)),CONCATENATE(HOUR(TABLEAU!$N$27),"H",MINUTE(TABLEAU!$N$27))))</f>
        <v>18H55</v>
      </c>
      <c r="G27" s="2221" t="str">
        <f ca="1">UPPER(IF(TABLEAU!$P$80="#DEPASSE#",CONCATENATE("DEPASSE",TABLEAU!$L$80,TABLEAU!$C$80,"#"),DIMANCHE.TV.2))</f>
        <v/>
      </c>
      <c r="H27" s="2222"/>
      <c r="I27" s="168" t="str">
        <f>UPPER("UEFA")</f>
        <v>UEFA</v>
      </c>
      <c r="J27" s="478" t="str">
        <f ca="1">IF(TABLEAU!$A$33=TABLEAU!$I$27,TABLEAU!$I$33,IF(TABLEAU!$A$34=TABLEAU!$I$27,TABLEAU!$I$34,IF(TABLEAU!$A$35=TABLEAU!$I$27,TABLEAU!$I$35,IF(TABLEAU!$A$36=TABLEAU!$I$27,TABLEAU!$I$36,IF(TABLEAU!$A$37=TABLEAU!$I$27,TABLEAU!$I$37,IF(TABLEAU!$A$38=TABLEAU!$I$27,TABLEAU!$I$38,IF(TABLEAU!$A$39=TABLEAU!$I$27,TABLEAU!$I$39,IF(TABLEAU!$A$40=TABLEAU!$I$27,TABLEAU!$I$40,IF(TABLEAU!$A$41=TABLEAU!$I$27,TABLEAU!$I$41,"#ERREUR#")))))))))</f>
        <v>#DANS 124 JOURS= ''2.981H55'' ~ (JEUDI 5 MARS 2020 A 18H55): [UEFA= (MANQUE 16 EQUIPES)]#</v>
      </c>
      <c r="K27" s="479"/>
      <c r="L27" s="480"/>
      <c r="M27" s="169">
        <f ca="1">IF(JOUR.UEFA="","",JOUR.UEFA-TODAY())</f>
        <v>124</v>
      </c>
      <c r="N27" s="170">
        <f>[5]!UEFA.HEURE</f>
        <v>0.78819444444444453</v>
      </c>
      <c r="O27" s="171" t="str">
        <f ca="1">SUBSTITUTE(SUBSTITUTE(TRIM(IF(TABLEAU!$M$27&gt;0,CONCATENATE(TABLEAU!$AB$41,"= ",DIF.UEFA," ~ "),IF(TABLEAU!$M$27&lt;0,TABLEAU!$AH$27,IF(AND(TABLEAU!$M$27=0,HOUR(H.M)&gt;HOUR(TABLEAU!$N$27)),CONCATENATE("#DEPASSE ",DEP.UEFA.VERIFIER),IF(OR(TABLEAU!$P$27="#DEPASSE#",TABLEAU!$R$27="#DEPASSE#"),CONCATENATE("#DEPASSE ",TABLEAU!$T$27),IF(HOUR(TABLEAU!$R$27)&gt;0,TABLEAU!$Q$27,TABLEAU!$Q$27)))))),"DANS 0 MIN","MAINTENANT"),"DANS DEMAIN","DEMAIN")</f>
        <v>DANS 124 JOURS= ''2.981H55'' ~</v>
      </c>
      <c r="P27" s="1141" t="str">
        <f ca="1">SUBSTITUTE(IF(TABLEAU!$M$27&gt;0,"",IF(DANS.DEP.UEFA&lt;&gt;"",CONCATENATE("DEPASSE ",TABLEAU!$AZ41),SUBSTITUTE(SUBSTITUTE(DIF.UEFA,"H",":"),"''",""))),"DEPASSE DEPUIS 0 MIN","MAINTENANT")</f>
        <v/>
      </c>
      <c r="Q27" s="1142" t="str">
        <f ca="1">SUBSTITUTE(IF(DEP.UEFA.VERIFIER="DEPUIS 0 MIN","MAINTENANT",IF(DANS.UEFA.VERIFIER="MAINTENANT",DANS.UEFA.VERIFIER,IF(AND(DATE.UEFA=0,HEURE.UEFA=H.M),"EN COURS",SUBSTITUTE(SUBSTITUTE(SUBSTITUTE(SUBSTITUTE(IF(OR(TABLEAU!$M$27="",TABLEAU!$M$27&lt;&gt;0),"",IF(HOUR(H.M)&gt;HOUR(TABLEAU!$N$27),"#DEPASSE#",IF(AND(HOUR(H.M)=HOUR(TABLEAU!$N$27),MINUTE(H.M)&gt;MINUTE(TABLEAU!$N$27)),"#DEPASSE#",IF(HOUR(TABLEAU!$R$27)&gt;0,CONCATENATE("DANS ",TABLEAU!$P$27),CONCATENATE("DANS ",HOUR(TABLEAU!$R$27),"H",TABLEAU!$P$27," MIN")))))," 0H"," "),"DANS 0","DANS "),":","H"),"DANS H","DANS "))))," 0"," ")</f>
        <v/>
      </c>
      <c r="R27" s="1161" t="str">
        <f ca="1">IF(TABLEAU!$M$27&gt;0,"",SUBSTITUTE(SUBSTITUTE(DIF.UEFA,"H",":"),"''",""))</f>
        <v/>
      </c>
      <c r="S27" s="1157" t="str">
        <f ca="1">IF(DATE.UEFA&gt;0,"",DANS.DEP.UEFA)</f>
        <v/>
      </c>
      <c r="T27" s="1153" t="str">
        <f ca="1">IF(AND(DATE.UEFA=0,HEURE.UEFA=H.M),"EN COURS",IF(TABLEAU!$Q$27="#DEPASSE#",DEP.UEFA.VERIFIER,""))</f>
        <v/>
      </c>
      <c r="U27" s="2465"/>
      <c r="V27" s="2466"/>
      <c r="W27" s="767" t="str">
        <f ca="1">IF(AND(DATE.UEFA=0,HEURE.UEFA.VERIFIER=HEURE.MAINTENANT.2),"#MATCH DE L1 EN COURS#",SUBSTITUTE(SUBSTITUTE(SUBSTITUTE(IF(OR(TABLEAU!$P$27="#DEPASSE#",TABLEAU!$R$27="#DEPASSE#"),CONCATENATE(DANS.UEFA," (",LOOKUP(WEEKDAY(JOUR.UEFA),CALENDRIER)," ",DAY(JOUR.UEFA)," ",LOOKUP(MONTH(JOUR.UEFA),MOIS)," ",YEAR(JOUR.UEFA)," A ",TABLEAU!$X27,"): [UEFA]#"),IF(TABLEAU!$R$27="","",IF(HOUR(TABLEAU!$R$27)&gt;1,"",IF(TABLEAU!$M$27&lt;&gt;0,"",""))))," ]","]")," ]","]"),"#DEPASSE #DEPASSE","#DEPASSE"))</f>
        <v/>
      </c>
      <c r="X27" s="710" t="str">
        <f>IF(TABLEAU!$N$27="","",IF(MINUTE(TABLEAU!$N$27)&gt;9,CONCATENATE(HOUR(TABLEAU!$N$27),"H",MINUTE(TABLEAU!$N$27)),CONCATENATE(HOUR(TABLEAU!$N$27),"H0",MINUTE(TABLEAU!$N$27))))</f>
        <v>18H55</v>
      </c>
      <c r="Y27" s="2064"/>
      <c r="Z27" s="2065"/>
      <c r="AA27" s="2327"/>
      <c r="AB27" s="2328"/>
      <c r="AC27" s="2328"/>
      <c r="AD27" s="2328"/>
      <c r="AE27" s="2329"/>
      <c r="AF27" s="1150" t="str">
        <f ca="1">TRIM(TABLEAU!$T$27)</f>
        <v/>
      </c>
      <c r="AG27" s="669" t="str">
        <f>UPPER(TABLEAU!$I$27)</f>
        <v>UEFA</v>
      </c>
      <c r="AH27" s="676" t="str">
        <f ca="1">UPPER(SUBSTITUTE(IF(DATE.UEFA="",CONCATENATE("#DATE ",TABLEAU!$AG$27," A VERIFIER#"),IF(DATE.UEFA=0,DANS.UEFA,IF(DATE.UEFA&lt;0,CONCATENATE("#DEPASSE DEPUIS ",0-DATE.UEFA," JOURS"),IF(DATE.UEFA=1,"DEMAIN",IF(DATE.UEFA=7,"DANS 1 SEMAINE",CONCATENATE("DANS ",DATE.UEFA," JOURS")))))),"DEPUIS 1 JOURS","DEPUIS HIER"))</f>
        <v>DANS 124 JOURS</v>
      </c>
      <c r="AI27" s="2044"/>
      <c r="AJ27" s="15"/>
      <c r="AK27" s="15"/>
      <c r="AL27" s="1445" t="str">
        <f ca="1">SUBSTITUTE(IF(TABLEAU!$W$27="","",CONCATENATE(TABLEAU!$W$27," &amp; #ALLEZ L'OM#"))," &amp; #ALLEZ L'OM#","")</f>
        <v/>
      </c>
      <c r="AM27" s="2089"/>
      <c r="AN27" s="2140" t="str">
        <f ca="1">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A$31,"MAINTENANT","@"),"A",""),"B",""),"C",""),"D",""),"E",""),"F",""),"G",""),"H",""),"I",""),"J",""),"K",""),"L",""),"M",""),"N",""),"O",""),"P",""),"Q",""),"R",""),"S",""),"T",""),"U",""),"V",""),"W",""),"X",""),"Y",""),"Z",""),0,""),1,""),2,""),3,""),4,""),5,""),6,""),7,""),8,""),9,""),"#",""),"(",""),")",""),":",""),"[",""),"]",""),"{",""),"}",""),"=",""),"&amp;",""),"°",""),"'",""),"@","#DEPASSE#"))</f>
        <v/>
      </c>
      <c r="AO27" s="2141"/>
      <c r="AP27" s="2141"/>
      <c r="AQ27" s="2141"/>
      <c r="AR27" s="2141"/>
      <c r="AS27" s="2141"/>
      <c r="AT27" s="2141"/>
      <c r="AU27" s="2141"/>
      <c r="AV27" s="2141"/>
      <c r="AW27" s="2141"/>
      <c r="AX27" s="2142"/>
      <c r="AY27" s="1489"/>
      <c r="AZ27" s="2574"/>
      <c r="BA27" s="2139"/>
    </row>
    <row r="28" spans="1:53" ht="21.95" customHeight="1" thickTop="1" thickBot="1">
      <c r="A28" s="72" t="str">
        <f ca="1">UPPER(SUBSTITUTE(SUBSTITUTE(SUBSTITUTE(SUBSTITUTE(SUBSTITUTE(SUBSTITUTE(SUBSTITUTE(SUBSTITUTE(CONCATENATE(RDV.DEPAS," &amp; ",TV.DEP),CONCATENATE(DATE.RDV.TV," ",DAY(TODAY())," ",MOIS.MAINTENANT.2," "),""),"= DEPASSE","="),"#DEPUIS","#DEPASSE DEPUIS"),"] &amp; DEPUIS","]# &amp; #DEPUIS"),"(A 1H00): [PPW DE CATCH]","(A 1H05): [PPW DE CATCH]"),"1 PROG EST ","")," H"," 0H"),"0HIER","HIER"))</f>
        <v xml:space="preserve"> &amp; </v>
      </c>
      <c r="B28" s="2025"/>
      <c r="C28" s="2025"/>
      <c r="D28" s="2025"/>
      <c r="E28" s="2026"/>
      <c r="F28" s="51"/>
      <c r="G28" s="2221" t="str">
        <f ca="1">UPPER(IF(TABLEAU!$P$81="#DEPASSE#",CONCATENATE("DEPASSE",TABLEAU!$L$81,TABLEAU!$C$81,"#"),DIMANCHE.TV.3))</f>
        <v/>
      </c>
      <c r="H28" s="2222"/>
      <c r="I28" s="2431" t="str">
        <f ca="1">SUBSTITUTE(SUBSTITUTE(SUBSTITUTE(SUBSTITUTE(SUBSTITUTE(SUBSTITUTE(SUBSTITUTE(SUBSTITUTE(SUBSTITUTE(SUBSTITUTE(SUBSTITUTE(SUBSTITUTE(SUBSTITUTE(SUBSTITUTE(CONCATENATE(TABLEAU!$P$28,"]"),"]~ #",CONCATENATE("]~ ",ENVIE.DATE," &amp; ",TABAC," &amp; #")),TABLEAU!$AL$132,""),"# #","# &amp; #"),") #",")# &amp; #")," &amp;  &amp; "," &amp; "),"~ &amp; #","~ #"),CONCATENATE(" &amp; ",ENVIE.DATE)," &amp; ")," &amp;]",""),"#]","#"),"##","# &amp; #")," &amp;  &amp;"," &amp;"),"# &amp; ]","#"),"~  &amp; ","~ "),"~]","~")</f>
        <v>~SAMEDI 2 NOVEMBRE 2019 [13:00:00]~ #DANS 3J= ''67H00'' ~ (5 NOV A 8H00): [COUPE OEUF]# &amp; #ARRET DU TABAC= ''29.742H00'' OU 1257 JOURS (3 ANS &amp; 5 MOIS &amp; 9 JOURS &amp; 6H00)# &amp; #DANS 7H45 (A 20H45): [CHAMPIONNAT]# &amp; #DANS 7H40 (A 20H40 SUR AB1): [SMACKDOWN]#</v>
      </c>
      <c r="J28" s="2432"/>
      <c r="K28" s="2432"/>
      <c r="L28" s="2432"/>
      <c r="M28" s="2432"/>
      <c r="N28" s="2432"/>
      <c r="O28" s="2433"/>
      <c r="P28" s="2396" t="str">
        <f ca="1">TRIM(SUBSTITUTE(SUBSTITUTE(SUBSTITUTE(SUBSTITUTE(SUBSTITUTE(SUBSTITUTE(SUBSTITUTE(SUBSTITUTE(SUBSTITUTE(SUBSTITUTE(TABLEAU!$O$2,"# #","# &amp; #"),") #",")# &amp; #")," ARRET"," #ARRET"),"&amp; # ","&amp; #"),"#                                            #","# &amp; #"),") #",")# &amp; #"),")                                                                   ",")# &amp;"),"]~                                                               #","]~ #"),"JOURS                        (","JOURS (")," &amp;   #"," &amp; #"))</f>
        <v>~SAMEDI 2 NOVEMBRE 2019 [13:00:00]~ #DANS 3J= ''67H00'' ~ (5 NOV A 8H00): [COUPE OEUF]# &amp; #DANS 7H45 (A 20H45): [CHAMPIONNAT]# &amp; #DANS 7H40 (A 20H40 SUR AB1): [SMACKDOWN]#</v>
      </c>
      <c r="Q28" s="2397"/>
      <c r="R28" s="2397"/>
      <c r="S28" s="2397"/>
      <c r="T28" s="2397"/>
      <c r="U28" s="2397"/>
      <c r="V28" s="2398"/>
      <c r="W28" s="714" t="str">
        <f ca="1">UPPER(TRIM(IF(9-COUNTBLANK(TABLEAU!$W$19:'TABLEAU'!$W$27)=0,"",IF(9-COUNTBLANK(TABLEAU!$W$19:'TABLEAU'!$W$27)=1,"#1 EVENEMENT EST DEPASSE#",IF(9-COUNTBLANK(TABLEAU!$W$19:'TABLEAU'!$W$27)&gt;1,CONCATENATE("#",9-COUNTBLANK(TABLEAU!$W$19:'TABLEAU'!$W$27)," EVENEMENTS SONT DEPASSE#"))))))</f>
        <v/>
      </c>
      <c r="X28" s="711"/>
      <c r="Y28" s="2066"/>
      <c r="Z28" s="2067"/>
      <c r="AA28" s="2327"/>
      <c r="AB28" s="2328"/>
      <c r="AC28" s="2328"/>
      <c r="AD28" s="2328"/>
      <c r="AE28" s="2329"/>
      <c r="AF28" s="2024" t="str">
        <f ca="1">DATE.FINALE</f>
        <v>~SAMEDI 2 NOVEMBRE 2019 [13:00:00]~ #DANS 3J= ''67H00'' ~ (5 NOV A 8H00): [COUPE OEUF]# &amp; #ARRET DU TABAC= ''29.742H00'' OU 1257 JOURS (3 ANS &amp; 5 MOIS &amp; 9 JOURS &amp; 6H00)# &amp; #DANS 7H45 (A 20H45): [CHAMPIONNAT]# &amp; #DANS 7H40 (A 20H40 SUR AB1): [SMACKDOWN]#</v>
      </c>
      <c r="AG28" s="2025"/>
      <c r="AH28" s="2025"/>
      <c r="AI28" s="2026"/>
      <c r="AJ28" s="15"/>
      <c r="AK28" s="15"/>
      <c r="AL28" s="2057" t="str">
        <f ca="1">UPPER(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A$12,"DEMAIN","¤¤"),"A",""),"B",""),"C",""),"D",""),"E",""),"F",""),"G",""),"H",""),"I",""),"J",""),"K",""),"L",""),"M",""),"N",""),"O",""),"P",""),"Q",""),"R",""),"S",""),"T",""),"U",""),"V",""),"W",""),"X",""),"Y",""),"Z",""),"1",""),"2",""),"3",""),"4",""),"5",""),"6",""),"7",""),"8",""),"9",""),"0",""),"-",""),"(",""),")",""),"{",""),"}",""),"=",""),"[",""),"]",""),"#",""),"+",""),":",""),"&amp;",""),"/",""),"€",""),",",""),".","")))</f>
        <v/>
      </c>
      <c r="AM28" s="2089"/>
      <c r="AN28" s="2048" t="str">
        <f ca="1">IF(FERIE.3&lt;&gt;"",CONCATENATE(SUBSTITUTE(H.M,":","H")," #",FERIE.3,"#"),SUBSTITUTE(H.M,":","H"))</f>
        <v>13H00</v>
      </c>
      <c r="AO28" s="2049"/>
      <c r="AP28" s="2049"/>
      <c r="AQ28" s="2049"/>
      <c r="AR28" s="2049"/>
      <c r="AS28" s="2049"/>
      <c r="AT28" s="2049"/>
      <c r="AU28" s="2049"/>
      <c r="AV28" s="2049"/>
      <c r="AW28" s="2049"/>
      <c r="AX28" s="2050"/>
      <c r="AY28" s="1489"/>
      <c r="AZ28" s="2574"/>
      <c r="BA28" s="2139"/>
    </row>
    <row r="29" spans="1:53" ht="21.95" customHeight="1">
      <c r="A29" s="72" t="str">
        <f ca="1">UPPER(SUBSTITUTE(IF(FERIE.2&lt;&gt;"",CONCATENATE("#",TRIM(FERIE.2),"#"),""),"##","#"))</f>
        <v/>
      </c>
      <c r="B29" s="2025"/>
      <c r="C29" s="2025"/>
      <c r="D29" s="2025"/>
      <c r="E29" s="2026"/>
      <c r="F29" s="51"/>
      <c r="G29" s="2221" t="str">
        <f ca="1">UPPER(IF(TABLEAU!$P$82="#DEPASSE#",CONCATENATE("DEPASSE",TABLEAU!$L$82,TABLEAU!$C$82,"#"),DIMANCHE.TV.4))</f>
        <v/>
      </c>
      <c r="H29" s="2222"/>
      <c r="I29" s="2434"/>
      <c r="J29" s="2435"/>
      <c r="K29" s="2435"/>
      <c r="L29" s="2435"/>
      <c r="M29" s="2435"/>
      <c r="N29" s="2435"/>
      <c r="O29" s="2436"/>
      <c r="P29" s="2399"/>
      <c r="Q29" s="2400"/>
      <c r="R29" s="2400"/>
      <c r="S29" s="2400"/>
      <c r="T29" s="2400"/>
      <c r="U29" s="2400"/>
      <c r="V29" s="2401"/>
      <c r="W29" s="2197" t="str">
        <f ca="1">UPPER(CONCATENATE(LOOKUP(WEEKDAY(A),SEMAINE)," ",DAY(A)," ",LOOKUP(MONTH(TODAY()),MOIS)," "))</f>
        <v xml:space="preserve">SAMEDI 2 NOVEMBRE </v>
      </c>
      <c r="X29" s="712"/>
      <c r="Y29" s="2084" t="str">
        <f ca="1">UPPER(IF(TRIM(DEP.RDV.5)&lt;&gt;"","{5 RDV}= ",IF(DEP.RDV.4&lt;&gt;"","{4 RDV}= ",IF(DEP.RDV.3&lt;&gt;"","{3 RDV}= ",IF(DEP.RDV.2&lt;&gt;"","{2 RDV}= ",IF(DEP.RDV.1&lt;&gt;"","{1 RDV}= ",""))))))</f>
        <v/>
      </c>
      <c r="Z29" s="2085"/>
      <c r="AA29" s="2327"/>
      <c r="AB29" s="2328"/>
      <c r="AC29" s="2328"/>
      <c r="AD29" s="2328"/>
      <c r="AE29" s="2329"/>
      <c r="AF29" s="2024"/>
      <c r="AG29" s="2025"/>
      <c r="AH29" s="2025"/>
      <c r="AI29" s="2026"/>
      <c r="AJ29" s="15"/>
      <c r="AK29" s="15"/>
      <c r="AL29" s="2057"/>
      <c r="AM29" s="2089"/>
      <c r="AN29" s="2045" t="str">
        <f ca="1">SUBSTITUTE(SUBSTITUTE(IF(PLUS&lt;&gt;"",CONCATENATE(SUBSTITUTE(H.M,":","H"),")# &amp; #",PLUS,"#"),H.M),"##","#"),"&amp;#","&amp; #")</f>
        <v>13:00</v>
      </c>
      <c r="AO29" s="2046"/>
      <c r="AP29" s="2046"/>
      <c r="AQ29" s="2046"/>
      <c r="AR29" s="2046"/>
      <c r="AS29" s="2046"/>
      <c r="AT29" s="2046"/>
      <c r="AU29" s="2046"/>
      <c r="AV29" s="2046"/>
      <c r="AW29" s="2046"/>
      <c r="AX29" s="2047"/>
      <c r="AY29" s="1489"/>
      <c r="AZ29" s="2574"/>
      <c r="BA29" s="2139"/>
    </row>
    <row r="30" spans="1:53" ht="21.95" customHeight="1">
      <c r="A30" s="72" t="str">
        <f ca="1">UPPER(TRIM(SUBSTITUTE(SUBSTITUTE(SUBSTITUTE(SUBSTITUTE(SUBSTITUTE(SUBSTITUTE(SUBSTITUTE(SUBSTITUTE(SUBSTITUTE(SUBSTITUTE(SUBSTITUTE(TABLEAU!$G$110,"##","#"),"#[ &amp; D","#D"),"&lt;#","#"),"&gt;[","#"),"]]","]"),"[ ","")," H"," 0H")," EUROS &amp; D"," EUROS# &amp; #D"),"DANS 0","DANS "),"0HIER","HIER"),"[DEPASSE","DEPASSE")))</f>
        <v/>
      </c>
      <c r="B30" s="2025"/>
      <c r="C30" s="2025"/>
      <c r="D30" s="2025"/>
      <c r="E30" s="2026"/>
      <c r="F30" s="51"/>
      <c r="G30" s="2362"/>
      <c r="H30" s="2363"/>
      <c r="I30" s="2434"/>
      <c r="J30" s="2435"/>
      <c r="K30" s="2435"/>
      <c r="L30" s="2435"/>
      <c r="M30" s="2435"/>
      <c r="N30" s="2435"/>
      <c r="O30" s="2436"/>
      <c r="P30" s="2399"/>
      <c r="Q30" s="2400"/>
      <c r="R30" s="2400"/>
      <c r="S30" s="2400"/>
      <c r="T30" s="2400"/>
      <c r="U30" s="2400"/>
      <c r="V30" s="2401"/>
      <c r="W30" s="2198"/>
      <c r="X30" s="450"/>
      <c r="Y30" s="2084"/>
      <c r="Z30" s="2085"/>
      <c r="AA30" s="2327"/>
      <c r="AB30" s="2328"/>
      <c r="AC30" s="2328"/>
      <c r="AD30" s="2328"/>
      <c r="AE30" s="2329"/>
      <c r="AF30" s="2024"/>
      <c r="AG30" s="2025"/>
      <c r="AH30" s="2025"/>
      <c r="AI30" s="2026"/>
      <c r="AJ30" s="15"/>
      <c r="AK30" s="15"/>
      <c r="AL30" s="2057"/>
      <c r="AM30" s="2089"/>
      <c r="AN30" s="2048" t="str">
        <f ca="1">TV.SUITE</f>
        <v>#DANS 7H45 (A 20H45): [CHAMPIONNAT]# &amp; #DANS 7H40 (A 20H40 SUR AB1): [SMACKDOWN]#</v>
      </c>
      <c r="AO30" s="2049"/>
      <c r="AP30" s="2049"/>
      <c r="AQ30" s="2049"/>
      <c r="AR30" s="2049"/>
      <c r="AS30" s="2049"/>
      <c r="AT30" s="2049"/>
      <c r="AU30" s="2049"/>
      <c r="AV30" s="2049"/>
      <c r="AW30" s="2049"/>
      <c r="AX30" s="2050"/>
      <c r="AY30" s="1489"/>
      <c r="AZ30" s="2574"/>
      <c r="BA30" s="2139"/>
    </row>
    <row r="31" spans="1:53" ht="21.95" customHeight="1">
      <c r="A31" s="72" t="str">
        <f ca="1">SUBSTITUTE(SUBSTITUTE(SUBSTITUTE(SUBSTITUTE(SUBSTITUTE(SUBSTITUTE(SUBSTITUTE(IF(DATE.COL&lt;&gt;DATE.COP,"",SUBSTITUTE(SUBSTITUTE(SUBSTITUTE(SUBSTITUTE(SUBSTITUTE(SUBSTITUTE(SUBSTITUTE(SUBSTITUTE(SUBSTITUTE(SUBSTITUTE(SUBSTITUTE(SUBSTITUTE(SUBSTITUTE(SUBSTITUTE(TABLEAU!$A$24,CONCATENATE(SUBSTITUTE(SUBSTITUTE(CONCATENATE("#",NBR.TV,A.VERIFIER,"= #","= "),"= #","= "),"= = ","")," &amp; #DANS",""),"#DANS"),CONCATENATE(DATE.RDV.TV," A"),"A")," ~ ("," ("),CONCATENATE("MIN ",DATE.RDV.TV," "),"MIN ("),CONCATENATE("(",DAY(A)," ",LOOKUP(MONTH(A),MOIS)," "),"("),"##","# &amp; #"),CONCATENATE(" &amp; ",TABLEAU!$AL$1),""),IF(MINUTE(TABLEAU!$M$33)&gt;9,CONCATENATE(" &amp; #[(A ",SUBSTITUTE(HOUR(TABLEAU!$M$33),":","H"),"H",MINUTE(M$33),"): [",TABLEAU!$A$33,"]#"),CONCATENATE(" &amp; #[(A ",SUBSTITUTE(HOUR(TABLEAU!$M$33),":","H"),"H0",MINUTE(TABLEAU!$M$33),"): [",TABLEAU!$A$33,"]#")),""),CONCATENATE(DEPP," &amp; ",DEPP),DEPP),"]#D","]# &amp; #D"),"+#","+ #"),CONCATENATE("#DEPASSE",TABLEAU!$T$33,"): ",TABLEAU!$U$33,"#"),""),SUBSTITUTE(CONCATENATE("#DEPASSE",TABLEAU!$T$33,"): ",TABLEAU!$U$33,"#"),CONCATENATE(" ",YEAR(A)),""),TABLEAU!$B$33),CVB,"")),CONCATENATE("#",FICHIER.A.MODIFIER,"): [",A.OUVRIR,"]#"),TABLEAU!$O$33),"( ","("),"#A","#(A"),CONCATENATE(" &amp; ",RESULT),""),"##","# &amp; #"),"COURS#DANS","COURS# &amp; #DANS"),"]#COURSE","]# &amp; #COURSE")</f>
        <v>#DANS 7H45 (A 20H45): [CHAMPIONNAT]#</v>
      </c>
      <c r="B31" s="2025"/>
      <c r="C31" s="2025"/>
      <c r="D31" s="2025"/>
      <c r="E31" s="2026"/>
      <c r="F31" s="52" t="str">
        <f ca="1">SUBSTITUTE(SUBSTITUTE(TABLEAU!$J$33,"#D"," &amp; D"),"#","")</f>
        <v xml:space="preserve"> &amp; DANS 7H45 ~ (A 20H45): [CHAMPIONNAT]</v>
      </c>
      <c r="G31" s="2362"/>
      <c r="H31" s="2363"/>
      <c r="I31" s="2434"/>
      <c r="J31" s="2435"/>
      <c r="K31" s="2435"/>
      <c r="L31" s="2435"/>
      <c r="M31" s="2435"/>
      <c r="N31" s="2435"/>
      <c r="O31" s="2436"/>
      <c r="P31" s="2399"/>
      <c r="Q31" s="2400"/>
      <c r="R31" s="2400"/>
      <c r="S31" s="2400"/>
      <c r="T31" s="2400"/>
      <c r="U31" s="2400"/>
      <c r="V31" s="2401"/>
      <c r="W31" s="2198"/>
      <c r="X31" s="450"/>
      <c r="Y31" s="2084"/>
      <c r="Z31" s="2085"/>
      <c r="AA31" s="2327"/>
      <c r="AB31" s="2328"/>
      <c r="AC31" s="2328"/>
      <c r="AD31" s="2328"/>
      <c r="AE31" s="2329"/>
      <c r="AF31" s="2024"/>
      <c r="AG31" s="2025"/>
      <c r="AH31" s="2025"/>
      <c r="AI31" s="2026"/>
      <c r="AJ31" s="15"/>
      <c r="AK31" s="15"/>
      <c r="AL31" s="2057"/>
      <c r="AM31" s="2089"/>
      <c r="AN31" s="2045"/>
      <c r="AO31" s="2046"/>
      <c r="AP31" s="2046"/>
      <c r="AQ31" s="2046"/>
      <c r="AR31" s="2046"/>
      <c r="AS31" s="2046"/>
      <c r="AT31" s="2046"/>
      <c r="AU31" s="2046"/>
      <c r="AV31" s="2046"/>
      <c r="AW31" s="2046"/>
      <c r="AX31" s="2047"/>
      <c r="AY31" s="1489"/>
      <c r="AZ31" s="2574"/>
      <c r="BA31" s="2139"/>
    </row>
    <row r="32" spans="1:53" ht="39.950000000000003" customHeight="1" thickBot="1">
      <c r="A32" s="94" t="str">
        <f ca="1">UPPER(IF(FERIE.3&lt;&gt;"",FERIE.3,""))</f>
        <v/>
      </c>
      <c r="B32" s="2421" t="str">
        <f ca="1">UPPER(IF(FICHIER.A.MODIFIER="#DEPASSE#",CONCATENATE("OUVRIR ",TABLEAU!$A$33),""))</f>
        <v/>
      </c>
      <c r="C32" s="2422"/>
      <c r="D32" s="2422"/>
      <c r="E32" s="2423"/>
      <c r="F32" s="612"/>
      <c r="G32" s="2358"/>
      <c r="H32" s="2359"/>
      <c r="I32" s="2437" t="str">
        <f ca="1">TABLEAU!$B$32</f>
        <v/>
      </c>
      <c r="J32" s="2438"/>
      <c r="K32" s="2438"/>
      <c r="L32" s="2438"/>
      <c r="M32" s="2438"/>
      <c r="N32" s="2438"/>
      <c r="O32" s="2439"/>
      <c r="P32" s="2402"/>
      <c r="Q32" s="2403"/>
      <c r="R32" s="2403"/>
      <c r="S32" s="2403"/>
      <c r="T32" s="2403"/>
      <c r="U32" s="2403"/>
      <c r="V32" s="2404"/>
      <c r="W32" s="2199"/>
      <c r="X32" s="450"/>
      <c r="Y32" s="2086"/>
      <c r="Z32" s="2087"/>
      <c r="AA32" s="2330"/>
      <c r="AB32" s="2331"/>
      <c r="AC32" s="2331"/>
      <c r="AD32" s="2331"/>
      <c r="AE32" s="2332"/>
      <c r="AF32" s="2027"/>
      <c r="AG32" s="2028"/>
      <c r="AH32" s="2028"/>
      <c r="AI32" s="2029"/>
      <c r="AJ32" s="53"/>
      <c r="AK32" s="53"/>
      <c r="AL32" s="2058"/>
      <c r="AM32" s="2090"/>
      <c r="AN32" s="2051" t="str">
        <f ca="1">IF(A.VERIFIER="","",CONCATENATE(A.VERIFIER," &amp; ",A.VERIFIER))</f>
        <v/>
      </c>
      <c r="AO32" s="2052"/>
      <c r="AP32" s="2052"/>
      <c r="AQ32" s="2052"/>
      <c r="AR32" s="2052"/>
      <c r="AS32" s="2052"/>
      <c r="AT32" s="2052"/>
      <c r="AU32" s="2052"/>
      <c r="AV32" s="2052"/>
      <c r="AW32" s="2052"/>
      <c r="AX32" s="2053"/>
      <c r="AY32" s="1489"/>
      <c r="AZ32" s="2575"/>
      <c r="BA32" s="1866"/>
    </row>
    <row r="33" spans="1:53" ht="24" customHeight="1" thickTop="1">
      <c r="A33" s="461" t="s">
        <v>129</v>
      </c>
      <c r="B33" s="1538" t="str">
        <f ca="1">UPPER(TRIM(SUBSTITUTE(SUBSTITUTE(SUBSTITUTE(SUBSTITUTE(SUBSTITUTE(SUBSTITUTE(SUBSTITUTE(SUBSTITUTE(SUBSTITUTE(SUBSTITUTE(SUBSTITUTE(SUBSTITUTE(SUBSTITUTE(SUBSTITUTE(SUBSTITUTE(SUBSTITUTE(SUBSTITUTE(SUBSTITUTE(TRIM(TABLEAU!$J$33),CONCATENATE(NBA," "),""),"[(","("),": :",":"),"# (",CONCATENATE("#",DANS.L1," (")),"##","#"),CONCATENATE(" ",YEAR(A)," ")," "),"# [",CONCATENATE("#DATE A DETERMINER [")),"(A",CONCATENATE("(",LOOKUP(WEEKDAY(JOUR.L1),SEMAINE)," ",DAY(JOUR.L1)," ",LOOKUP(MONTH(JOUR.L1),MOIS)," ",YEAR(JOUR.L1)," A ")),AQW,""),CONCATENATE(TABLEAU!$E$33," A ")," A "),"( A","(A"),CONCATENATE(YEAR(A),"A"),CONCATENATE(YEAR(A)," A")),CONCATENATE(DANS.L1,"#",SUBSTITUTE(SUBSTITUTE(DANS.L1,DIF.L1," ("),"JOURS=  (","JOURS (")),CONCATENATE("#",DANS.L1," (")),"DIA ","DI A "),"CHEA ","CHE A "),"'' (","'' ~ ("),CONCATENATE(CVB,YEAR(A)," "),""),"~ ("," (")))</f>
        <v>#DANS 7H45 (A 20H45): [CHAMPIONNAT]#</v>
      </c>
      <c r="C33" s="54"/>
      <c r="D33" s="55">
        <f ca="1">DATE.L1</f>
        <v>0</v>
      </c>
      <c r="E33" s="1476" t="str">
        <f ca="1">UPPER(SUBSTITUTE(TRIM(IF(TABLEAU!$D$33=0,DATE.RDV.TV,IF(TABLEAU!$D$33=-1,LOOKUP(A-TABLEAU!$D$33,CALENDRIER),IF(TABLEAU!$D$33&lt;1,LOOKUP(A-TABLEAU!$D$33,CALENDRIER),IF(OR(TABLEAU!$L$33="#DEPASSE#",TABLEAU!$D$33&lt;0),CONCATENATE("#DEPASSE ",TABLEAU!$AZ$33," [",TABLEAU!$A$33,"]#"),IF(TABLEAU!$D$33&gt;6,"",LOOKUP(WEEKDAY(A+TABLEAU!$D$33),CALENDRIER))))))),"#DEPASSE DEPUIS 0 JOURS",""))</f>
        <v>SAMEDI</v>
      </c>
      <c r="F33" s="56" t="str">
        <f ca="1">IF(AND(DATE.L1=0,HEURE.L1.VERIFIER=HEURE.MAINTENANT.2),HEURE.L1.VERIFIER,IF(TABLEAU!$M$34="","",IF(TABLEAU!$L$34="TERMINE","",HEURE.L1.VERIFIER)))</f>
        <v>20H45</v>
      </c>
      <c r="G33" s="545" t="str">
        <f ca="1">UPPER(TRIM(SUBSTITUTE(SUBSTITUTE(TABLEAU!$O$33,CVB,""),NBA,"")))</f>
        <v>#DANS 7H45 (A 20H45): [CHAMPIONNAT]#</v>
      </c>
      <c r="H33" s="546" t="str">
        <f>CONCATENATE(DAY(JOUR.L1),"/",MONTH(JOUR.L1),"/",YEAR(JOUR.L1)," ",TEXT(HEURE.L1,"[H]:MM"))</f>
        <v>2/11/2019 20:45</v>
      </c>
      <c r="I33" s="402" t="str">
        <f ca="1">UPPER(TRIM(SUBSTITUTE(SUBSTITUTE(SUBSTITUTE(SUBSTITUTE(SUBSTITUTE(SUBSTITUTE(SUBSTITUTE(SUBSTITUTE(SUBSTITUTE(IF(AND(DATE.L1=0,HEURE.L1.VERIFIER=HEURE.MAINTENANT.2),TABLEAU!$J$33,IF(DANS.L1.VERIFIER="#DEPASSE#",CONCATENATE(DANS.L1," (",LOOKUP(WEEKDAY(JOUR.L1),CALENDRIER)," ",DAY(JOUR.L1)," ",LOOKUP(MONTH(JOUR.L1),MOIS)," A ",TABLEAU!$F$33,"): [",TABLEAU!$I$19,"]#"),SUBSTITUTE(SUBSTITUTE(SUBSTITUTE(SUBSTITUTE(TABLEAU!$G$33,"##","#"),"#DEPUIS","#DEPASSE DEPUIS"),CONCATENATE("(",YEAR(A)," "),"("),CONCATENATE(LOOKUP(MONTH(JOUR.L1),MOIS)," A "),CONCATENATE(LOOKUP(MONTH(JOUR.L1),MOIS)," ",YEAR(JOUR.L1)," A ")))),CONCATENATE(TABLEAU!$E$33," A ")," A "),"A "," A "),"( A","(A"),"JOURS (",CONCATENATE("JOURS= ",DIF.L1," (")),"DEMAIN (",CONCATENATE("DEMAIN= ",DIF.L1," ~ (")),"'' (","'' ~ ("),"= #DEPASSE#","")," JOURS ("," JOURS ~ ("),"","")))</f>
        <v>#DANS 7H45 (A 20H45): [CHAMPIONNAT]#</v>
      </c>
      <c r="J33" s="403" t="str">
        <f ca="1">UPPER(TRIM(SUBSTITUTE(SUBSTITUTE(SUBSTITUTE(SUBSTITUTE(SUBSTITUTE(SUBSTITUTE(SUBSTITUTE(SUBSTITUTE(SUBSTITUTE(SUBSTITUTE(SUBSTITUTE(SUBSTITUTE(SUBSTITUTE(SUBSTITUTE(SUBSTITUTE(SUBSTITUTE(SUBSTITUTE(SUBSTITUTE(IF(AND(DATE.CHAMPIONS.LEAGUE=0,HEURE.LDC.VERIFIER=HEURE.MAINTENANT.2),CONCATENATE("#MAINTENANT (A ",HEURE.LDC.VERIFIER,"): [CHAMPION'S LEAGUE]#"),SUBSTITUTE(SUBSTITUTE(SUBSTITUTE(SUBSTITUTE(SUBSTITUTE(IF(TABLEAU!$D$33&lt;0,TABLEAU!$O$33,TABLEAU!$I$33),"##","#"),"#[DATE","= [DATE"),"AUJOURD'HUI",DANS.CHAMPIONS.LEAGUE),CONCATENATE(LOOKUP(MONTH(JOUR.LDC),MOIS)," A "),CONCATENATE(LOOKUP(MONTH(JOUR.LDC),MOIS)," ",YEAR(JOUR.LDC)," A ")),CONCATENATE(NBA," "),"")),CONCATENATE(DATE.RDV.TV," A "),"A "),"DEMAIN (",CONCATENATE("DEMAIN= ",DIF.LDC," (")),"JOURS (",CONCATENATE("JOURS= ",DIF.LDC," ~ (")),"'' (","'' ~ ("),"= #DEPASSE#","")," HIER ("," HIER ~ ("),"0 (","0 ~ ("),"1 (","1 ~ ("),"2 (","2 ~ ("),"3 (","3 ~ ("),"4 (","4 ~ ("),"5 (","5 ~ ("),"6 (","6 ~ ("),"7 (","7 ~ ("),"8 (","8 ~ ("),"9 (","9 ~ ("),CONCATENATE(TABLEAU!$L$33," ~ #",TABLEAU!$L$33),TABLEAU!$L$33),"DANS DEMAIN","DEMAIN")))</f>
        <v>#DANS 7H45 ~ (A 20H45): [CHAMPIONNAT]#</v>
      </c>
      <c r="K33" s="429"/>
      <c r="L33" s="404" t="str">
        <f ca="1">UPPER(IF(AND(DATE.L1=0,HEURE.L1.VERIFIER=HEURE.MAINTENANT.2),"",IF(DANS.L1.VERIFIER="#DEPASSE#",DANS.L1.VERIFIER,IF(TABLEAU!$D$33="","TERMINE",IF(TABLEAU!$D$33&lt;0,"A MODIFIER",IF(TABLEAU!$D$33=0,DANS.L1,IF(TABLEAU!$D$33=1,"DEMAIN",IF(TABLEAU!$D$33=7,"DANS 1 SEMAINE",IF(TABLEAU!$D$33&gt;1,CONCATENATE("DANS ",TABLEAU!$D$33," JOURS"))))))))))</f>
        <v>DANS 7H45</v>
      </c>
      <c r="M33" s="776">
        <f>HEURE.L1</f>
        <v>0.86458333333333337</v>
      </c>
      <c r="N33" s="840" t="str">
        <f ca="1">IF(TABLEAU!$O$33=DANS.GP,"¤¤¤",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O$33,"AAA","¤¤¤"),UPPER("A"),""),UPPER("B"),""),UPPER("C"),""),UPPER("D"),""),UPPER("E"),""),UPPER("F"),""),UPPER("G"),""),UPPER("H"),""),UPPER("I"),""),UPPER("J"),""),UPPER("K"),""),UPPER("L"),""),UPPER("M"),""),UPPER("N"),""),UPPER("O"),""),UPPER("P"),""),UPPER("Q"),""),UPPER("R"),""),UPPER("S"),""),UPPER("T"),""),UPPER("U"),""),UPPER("V"),""),UPPER("W"),""),UPPER("X"),""),UPPER("Y"),""),UPPER("Z"),""),"#",""),"'",""),"(",""),")",""),":",""),"[",""),"]",""),"-",""),"=",""),"/",""),"''",""),"~",""),".","")," ",""),0,""),1,""),2,""),3,""),4,""),5,""),6,""),7,""),8,""),9,""),"{",""),"°",""),"}",""),"+",""),"&amp;",""),",","")))</f>
        <v/>
      </c>
      <c r="O33" s="405" t="str">
        <f ca="1">SUBSTITUTE(SUBSTITUTE(SUBSTITUTE(SUBSTITUTE(SUBSTITUTE(SUBSTITUTE(SUBSTITUTE(SUBSTITUTE(SUBSTITUTE(SUBSTITUTE(SUBSTITUTE(SUBSTITUTE(SUBSTITUTE(SUBSTITUTE(SUBSTITUTE(SUBSTITUTE(IF(TABLEAU!$A$226="FAUX",CONCATENATE(SUBSTITUTE(CONCATENATE("#",[3]!PPP," [CHAMPIONNAT]#"),"AAA",DANS.L1)),TABLEAU!$A$226),"##","#"),CONCATENATE(TABLEAU!$E$33," A "),"A ")," A "," A "),"( A","(A"),"  A"," A"),"DEMAIN (",CONCATENATE("DEMAIN= ",DIF.L1," ~ (")),"DEMAIN= #DEPASSE# ~","DEPASSE DEPUIS HIER")," JOURS ("," JOURS ~ ("),CONCATENATE(DAY(JOUR.L1)," ",LOOKUP(MONTH(JOUR.L1),MOIS),"A "),CONCATENATE(DAY(JOUR.L1)," ",LOOKUP(MONTH(JOUR.L1),MOIS)," A ")),CONCATENATE(YEAR(JOUR.L1),"A"),CONCATENATE(YEAR(JOUR.L1)," A")),"#EN COURS#","#MAINTENANT"),"##","#")," EST CHAMPION",""),UPPER("AAA"),DANS.GP),CONCATENATE(TABLEAU!$L$33,"= ",DIF.L1),TABLEAU!$L$33),CONCATENATE(" ",YEAR(A)),"")</f>
        <v>#DANS 7H45 (A 20H45): [CHAMPIONNAT]#</v>
      </c>
      <c r="P33" s="735" t="str">
        <f ca="1">IF(TABLEAU!$A$33="CHAMPIONNAT",TABLEAU!$B$33,IF(TABLEAU!$A$34="CHAMPIONNAT",TABLEAU!$B$34,IF(TABLEAU!$A$35="CHAMPIONNAT",TABLEAU!$B$35,IF(TABLEAU!$A$36="CHAMPIONNAT",TABLEAU!$B$36,IF(TABLEAU!$A$37="CHAMPIONNAT",TABLEAU!$B$37,IF(TABLEAU!$A$38="CHAMPIONNAT",TABLEAU!$B$38,IF(TABLEAU!$A$39="CHAMPIONNAT",TABLEAU!$B$39,IF(TABLEAU!$A$40="CHAMPIONNAT",TABLEAU!$B$40,IF(TABLEAU!$A$41="CHAMPIONNAT",TABLEAU!$B$41)))))))))</f>
        <v>#DANS 7H45 (A 20H45): [CHAMPIONNAT]#</v>
      </c>
      <c r="Q33" s="736"/>
      <c r="R33" s="735"/>
      <c r="S33" s="1543" t="str">
        <f ca="1">SUBSTITUTE(IF(DANS.L1="#DEPASSE#",DANS.L1.VERIFIER,CONCATENATE("DANS ",DIF.L1)),"DANS #DEPASSE#","#DEPASSE#")</f>
        <v>DANS ''7H45''</v>
      </c>
      <c r="T33" s="737" t="str">
        <f ca="1">SUBSTITUTE(DANS.L1,"#DEPASSE","")</f>
        <v>DANS 7H45</v>
      </c>
      <c r="U33" s="738" t="str">
        <f ca="1">UPPER(TRIM(SUBSTITUTE(SUBSTITUTE(SUBSTITUTE(SUBSTITUTE(SUBSTITUTE(SUBSTITUTE(SUBSTITUTE(SUBSTITUTE(SUBSTITUTE(SUBSTITUTE(SUBSTITUTE(SUBSTITUTE(SUBSTITUTE(SUBSTITUTE(SUBSTITUTE(SUBSTITUTE(TABLEAU!$AD$33,DANS.L1,""),DANS.CONFEDERATIONS,""),DANS.COUPE.FRANCE,""),DANS.COUPE.LIGUE,""),DANS.MONDIAL,""),DANS.GP,""),DANS.EURO,""),DANS.CHAMPIONS.LEAGUE,""),DANS.UEFA,""),"#",""),CONCATENATE("(A ",TABLEAU!$X$26,")="),""),CONCATENATE("(A ",TABLEAU!$X$27,")="),""),"L1","CHAMPIONNAT"),"(A ",CONCATENATE("(",DATE.RDV.TV," A ")),CONCATENATE(TABLEAU!$E$33," A ")," A "),"( A","(A")))</f>
        <v>(A 20H45): [CHAMPIONNAT]</v>
      </c>
      <c r="V33" s="739" t="str">
        <f ca="1">SUBSTITUTE(L1.DEP,CONCATENATE(NBA," "),"")</f>
        <v/>
      </c>
      <c r="W33" s="715" t="str">
        <f ca="1">UPPER(SUBSTITUTE(SUBSTITUTE(TABLEAU!$I$33,"&gt;",""),"&lt;",""))</f>
        <v>#DANS 7H45 (A 20H45): [CHAMPIONNAT]#</v>
      </c>
      <c r="X33" s="751" t="str">
        <f ca="1">UPPER(SUBSTITUTE(IF(TABLEAU!$D$33&lt;0,CONCATENATE("DEPASSE DEPUIS ",0-TABLEAU!$D$33," JOURS"),""),"DEPUIS 1 JOURS","DEPUIS HIER"))</f>
        <v/>
      </c>
      <c r="Y33" s="2102" t="str">
        <f ca="1">SUBSTITUTE(SUBSTITUTE(SUBSTITUTE(SUBSTITUTE(SUBSTITUTE(SUBSTITUTE(SUBSTITUTE(SUBSTITUTE(SUBSTITUTE(SUBSTITUTE(TABLEAU!$W$33,"&gt;DEMAIN",""),"&gt;DANS 2 JOURS",""),"&gt;DANS 3 JOURS",""),"&gt;DANS 4 JOURS",""),"&gt;DANS 5 JOURS",""),"&gt;DANS 6 JOURS",""),"&gt;DANS 1 SEMAINE",""),CONCATENATE("(A ",TABLEAU!$X$20,")="),""),"US A","USA"),"DEMAIN ~ (",CONCATENATE(DANS.L1," ("))</f>
        <v>#DANS 7H45 (A 20H45): [CHAMPIONNAT]#</v>
      </c>
      <c r="Z33" s="2103"/>
      <c r="AA33" s="871" t="str">
        <f>TABLEAU!$I$19</f>
        <v>CHAMPIONNAT</v>
      </c>
      <c r="AB33" s="722" t="str">
        <f ca="1">IF(DATE.L1=0,"AUJOURD'HUI",IF(DATE.L1&lt;0,"#DEPASSE#",CONCATENATE("DANS ",TABLEAU!$AQ$5)))</f>
        <v>AUJOURD'HUI</v>
      </c>
      <c r="AC33" s="1408" t="str">
        <f ca="1">UPPER(TRIM(IF(TABLEAU!$L$33="#DEPASSE#",CONCATENATE(TABLEAU!$A$33,":",TABLEAU!$T$33),TABLEAU!$A$33)))</f>
        <v>CHAMPIONNAT</v>
      </c>
      <c r="AD33" s="1409" t="str">
        <f ca="1">SUBSTITUTE(SUBSTITUTE(SUBSTITUTE(SUBSTITUTE(SUBSTITUTE(SUBSTITUTE(SUBSTITUTE(SUBSTITUTE(TABLEAU!$AF$33,CONCATENATE("(A ",TABLEAU!$X$19,")="),""),CONCATENATE("(A ",TABLEAU!$X$20,")="),""),CONCATENATE("(A ",TABLEAU!$X$21,")="),""),CONCATENATE("(A ",TABLEAU!$X$22,")="),""),CONCATENATE("(A ",TABLEAU!$X$23,")="),""),CONCATENATE("(A ",TABLEAU!$X$24,")="),""),CONCATENATE("(A ",TABLEAU!$X$25,")="),""),"US A","USA")</f>
        <v>#DANS 7H45 (A 20H45): [CHAMPIONNAT]#</v>
      </c>
      <c r="AE33" s="1410"/>
      <c r="AF33" s="57" t="str">
        <f ca="1">UPPER(TRIM(TABLEAU!$Y$33))</f>
        <v>#DANS 7H45 (A 20H45): [CHAMPIONNAT]#</v>
      </c>
      <c r="AG33" s="58"/>
      <c r="AH33" s="848"/>
      <c r="AI33" s="872">
        <f ca="1">IF(TABLEAU!$D$33&lt;&gt;0,"",TABLEAU!$M$33)</f>
        <v>0.86458333333333337</v>
      </c>
      <c r="AJ33" s="664"/>
      <c r="AK33" s="661"/>
      <c r="AL33" s="2187" t="str">
        <f ca="1">IF(OR(TABLEAU!$AM$1=TABLEAU!$K$3,TABLEAU!$AM$1="MARDI",TABLEAU!$AM$1="MERCREDI",TABLEAU!$AM$1="JEUDI",TABLEAU!$AM$1="VENDREDI",TABLEAU!$AM$1="SAMEDI",TABLEAU!$AM$1="DIMANCHE"),"",TABLEAU!$AM$1)</f>
        <v xml:space="preserve">#DANS 7H45 (A 20H45): [CHAMPIONNAT]# &amp; </v>
      </c>
      <c r="AM33" s="755" t="str">
        <f ca="1">SUBSTITUTE(SUBSTITUTE(SUBSTITUTE(IF(PHRASE.2="#","",CONCATENATE(TABLEAU!$AL$15,PHRASE.2)),CONCATENATE("A ",SUBSTITUTE(TABLEAU!$M$33,":","H"),"): ~ (A ",SUBSTITUTE(TABLEAU!$M$33,":","H")),CONCATENATE("A ",SUBSTITUTE(TABLEAU!$M$33,":","H"))),"##","# &amp; #"),CONCATENATE("(",DAY(A)," ",LOOKUP(MONTH(A),MOIS)," "),"(")</f>
        <v>#DANS 7H45 (A 20H45): [CHAMPIONNAT]# &amp; #{2 PROG}= DANS 7H45 (A 20H45): [CHAMPIONNAT]# &amp; &amp; #DANS 7H40 (A 20H40 SUR AB1): [SMACKDOWN]#</v>
      </c>
      <c r="AN33" s="2054" t="str">
        <f ca="1">IF(DATE.DEPASSE&gt;0,"",IF(DATE.RDV.TV=TABLEAU!$K$3,LUNDI.PROG.RESTE,IF(DATE.RDV.TV="MARDI",MARDI.PROG.RESTE,IF(DATE.RDV.TV="MERCREDI",MERCREDI.PROG.RESTE,IF(DATE.RDV.TV="JEUDI",JEUDI.PROG.RESTE,IF(DATE.RDV.TV="VENDREDI",VENDREDI.PROG.RESTE,IF(DATE.RDV.TV="SAMEDI",SAMEDI.PROG.RESTE,IF(DATE.RDV.TV="DIMANCHE",DIMANCHE.PROG.RESTE))))))))</f>
        <v/>
      </c>
      <c r="AO33" s="2055"/>
      <c r="AP33" s="2055"/>
      <c r="AQ33" s="2055"/>
      <c r="AR33" s="2055"/>
      <c r="AS33" s="2055"/>
      <c r="AT33" s="2055"/>
      <c r="AU33" s="2055"/>
      <c r="AV33" s="2055"/>
      <c r="AW33" s="2055"/>
      <c r="AX33" s="2056"/>
      <c r="AY33" s="1490" t="str">
        <f ca="1">IF(DATE.L1&gt;0,"",IF(IF(MINUTE(HEURE.L1)&gt;9,CONCATENATE(HOUR(HEURE.L1),":",MINUTE(HEURE.L1)),CONCATENATE(HOUR(HEURE.L1),":0",MINUTE(HEURE.L1)))&gt;H.M,"",IF(HOUR(HEURE.L1)&gt;HOUR(HEURE.MAINTENANT),"",IF(HEURE.L1&gt;HEURE.MAINTENANT,"",HEURE.MAINTENANT-HEURE.L1))))</f>
        <v/>
      </c>
      <c r="AZ33" s="1528" t="str">
        <f ca="1">SUBSTITUTE(IF(TABLEAU!$AY$33="","",IF(AND(HOUR(TABLEAU!$AY$33)&gt;0,MINUTE(TABLEAU!$AY$33)&lt;10),CONCATENATE(" DEPUIS ",HOUR(TABLEAU!$AY$33),"H0",MINUTE(TABLEAU!$AY$33)),IF(AND(HOUR(TABLEAU!$AY$33)&gt;0,MINUTE(TABLEAU!$AY$33)&gt;9),CONCATENATE(" DEPUIS ",HOUR(TABLEAU!$AY$33),"H",MINUTE(TABLEAU!$AY$33)),CONCATENATE("DEPUIS"," 0",MINUTE(TABLEAU!$AY$33)," MIN"))))," 0"," ")</f>
        <v/>
      </c>
      <c r="BA33" s="1491"/>
    </row>
    <row r="34" spans="1:53" ht="24" customHeight="1">
      <c r="A34" s="462" t="s">
        <v>122</v>
      </c>
      <c r="B34" s="1539" t="str">
        <f ca="1">UPPER(TRIM(SUBSTITUTE(SUBSTITUTE(SUBSTITUTE(SUBSTITUTE(SUBSTITUTE(SUBSTITUTE(SUBSTITUTE(SUBSTITUTE(SUBSTITUTE(SUBSTITUTE(SUBSTITUTE(SUBSTITUTE(SUBSTITUTE(SUBSTITUTE(SUBSTITUTE(SUBSTITUTE(SUBSTITUTE(SUBSTITUTE(SUBSTITUTE(SUBSTITUTE(TRIM(TABLEAU!$J$34),CONCATENATE(NBA," "),""),"[(","("),": :",":"),"# (",CONCATENATE("#",DANS.GP," (")),"##","#"),CONCATENATE(" ",YEAR(A)," ")," "),"# [",CONCATENATE("#DATE A DETERMINER [")),"(A",CONCATENATE("(",LOOKUP(WEEKDAY(JOUR.GP),SEMAINE)," ",DAY(JOUR.GP)," ",LOOKUP(MONTH(JOUR.GP),MOIS)," ",YEAR(JOUR.GP)," A ")),AQW,""),CONCATENATE(TABLEAU!$E$34," A ")," A "),"( A","(A"),CONCATENATE(YEAR(A),"A"),CONCATENATE(YEAR(A)," A")),CONCATENATE(DANS.GP,"#",SUBSTITUTE(SUBSTITUTE(DANS.GP,DIF.GP," ("),"JOURS=  (","JOURS (")),CONCATENATE("#",DANS.GP," (")),"DIA ","DI A "),"CHEA ","CHE A "),"'' (","'' ~ ("),CONCATENATE(CVB,YEAR(A)," "),""),"~ ("," ("),"''  (","'' ~ (")," ~ "," ")))</f>
        <v>#DEMAIN= ''28H00'' (DIMANCHE 3 NOVEMBRE A 17H00): [GP DES USA]#</v>
      </c>
      <c r="C34" s="603"/>
      <c r="D34" s="59">
        <f ca="1">DATE.GP</f>
        <v>1</v>
      </c>
      <c r="E34" s="852" t="str">
        <f ca="1">UPPER(SUBSTITUTE(TRIM(IF(TABLEAU!$D$34=0,DATE.RDV.TV,IF(TABLEAU!$D$34=-1,LOOKUP(A-TABLEAU!$D$34,CALENDRIER),IF(TABLEAU!$D$34&lt;1,LOOKUP(A-TABLEAU!$D$34,CALENDRIER),IF(OR(TABLEAU!$L$34="#DEPASSE#",TABLEAU!$D$34&lt;0),CONCATENATE("#DEPASSE ",TABLEAU!$AZ$34," [",TABLEAU!$A$34,"]#"),IF(TABLEAU!$D$34&gt;6,"",LOOKUP(WEEKDAY(A+TABLEAU!$D$34),CALENDRIER))))))),"#DEPASSE DEPUIS 0 JOURS",""))</f>
        <v>DIMANCHE</v>
      </c>
      <c r="F34" s="656" t="str">
        <f ca="1">IF(AND(DATE.GP=0,HEURE.L1.VERIFIER=HEURE.MAINTENANT.2),HEURE.GP.VERIFIER,IF(TABLEAU!$M$35="","",IF(TABLEAU!$L$35="TERMINE","",HEURE.GP.VERIFIER)))</f>
        <v>17H00</v>
      </c>
      <c r="G34" s="541" t="str">
        <f ca="1">UPPER(TRIM(SUBSTITUTE(TABLEAU!$O$34,CVB,"")))</f>
        <v>#DEMAIN= ''28H00'' ~ (DIMANCHE 3 NOVEMBRE A 17H00): [GP DES USA]#</v>
      </c>
      <c r="H34" s="542" t="str">
        <f>CONCATENATE(DAY(JOUR.GP),"/",MONTH(JOUR.GP),"/",YEAR(JOUR.GP)," ",TEXT(HEURE.GP,"[H]:MM"))</f>
        <v>3/11/2019 17:00</v>
      </c>
      <c r="I34" s="406" t="str">
        <f ca="1">UPPER(TRIM(SUBSTITUTE(SUBSTITUTE(SUBSTITUTE(SUBSTITUTE(SUBSTITUTE(SUBSTITUTE(SUBSTITUTE(SUBSTITUTE(SUBSTITUTE(IF(AND(DATE.GP=0,HEURE.GP.VERIFIER=HEURE.MAINTENANT.2),TABLEAU!$J$34,SUBSTITUTE(SUBSTITUTE(SUBSTITUTE(SUBSTITUTE(TABLEAU!$G$34,"##","#"),"#DEPUIS","#DEPASSE DEPUIS"),CONCATENATE("(",YEAR(A)," "),"("),CONCATENATE(LOOKUP(MONTH(JOUR.GP),MOIS)," A "),CONCATENATE(LOOKUP(MONTH(JOUR.GP),MOIS)," ",YEAR(JOUR.GP)," A "))),CONCATENATE(TABLEAU!$E$34," A ")," A "),"A "," A "),"( A","(A"),"US A","USA"),"JOURS (",CONCATENATE("JOURS= ",DIF.GP," (")),"DEMAIN (",CONCATENATE("DEMAIN= ",DIF.GP," ~ (")),"'' (","'' ~ (")," L A "," LA "),CONCATENATE(" ",YEAR(A)),"")))</f>
        <v>#DEMAIN= ''28H00'' ~ (DIMANCHE 3 NOVEMBRE A 17H00): [GP DES USA]#</v>
      </c>
      <c r="J34" s="407" t="str">
        <f ca="1">UPPER(SUBSTITUTE(SUBSTITUTE(SUBSTITUTE(SUBSTITUTE(SUBSTITUTE(SUBSTITUTE(SUBSTITUTE(IF(AND(DATE.L1=0,HEURE.L1.VERIFIER=HEURE.MAINTENANT.2),CONCATENATE("#MAINTENANT (A ",HEURE.L1.VERIFIER,"): [CHAMPIONNAT]#"),SUBSTITUTE(SUBSTITUTE(SUBSTITUTE(SUBSTITUTE(SUBSTITUTE(SUBSTITUTE(SUBSTITUTE(TABLEAU!$O$34,"DANS.L1",DANS.L1),"DANS.EURO",DANS.EURO),"DANS.MONDIAL",DANS.MONDIAL),"##","#"),"# (",CONCATENATE("#",DANS.L1," (")),"#(",CONCATENATE("#",DANS.L1," (")),CONCATENATE(LOOKUP(MONTH(JOUR.L1),MOIS)," A "),CONCATENATE(LOOKUP(MONTH(JOUR.L1),MOIS)," ",YEAR(JOUR.L1)," A "))),"DEPASSE##DEPASSE","DEPASSE"),CONCATENATE(DATE.RDV.TV," A "),"A "),"DEMAIN (",CONCATENATE("DEMAIN= ",DIF.L1," (")),"JOURS (",CONCATENATE("JOURS= ",DIF.L1," ~ (")),"'' (","'' ~ ("),"= #DEPASSE#",""),"DANS DEMAIN","DEMAIN"))</f>
        <v>#DEMAIN= ''28H00'' ~ (DIMANCHE 3 NOVEMBRE 2019 A 17H00): [GP DES USA]#</v>
      </c>
      <c r="K34" s="410"/>
      <c r="L34" s="408" t="str">
        <f ca="1">UPPER(IF(AND(DATE.GP=0,HEURE.GP.VERIFIER=HEURE.MAINTENANT.2),"",IF(DANS.GP.VERIFIER="#DEPASSE#",DANS.GP.VERIFIER,IF(TABLEAU!$D$34="","TERMINE",IF(TABLEAU!$D$34&lt;0,"A MODIFIER",IF(TABLEAU!$D$34=0,DANS.GP,IF(TABLEAU!$D$34=1,"DEMAIN",IF(TABLEAU!$D$34=7,"DANS 1 SEMAINE",IF(TABLEAU!$D$34&gt;1,CONCATENATE("DANS ",TABLEAU!$D$34," JOURS"))))))))))</f>
        <v>DEMAIN</v>
      </c>
      <c r="M34" s="777" t="str">
        <f>HEURE.GP</f>
        <v>17:00</v>
      </c>
      <c r="N34" s="841" t="str">
        <f ca="1">IF(TABLEAU!$O$34=DANS.GP,"¤¤¤",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O$34,"AAA","¤¤¤"),UPPER("A"),""),UPPER("B"),""),UPPER("C"),""),UPPER("D"),""),UPPER("E"),""),UPPER("F"),""),UPPER("G"),""),UPPER("H"),""),UPPER("I"),""),UPPER("J"),""),UPPER("K"),""),UPPER("L"),""),UPPER("M"),""),UPPER("N"),""),UPPER("O"),""),UPPER("P"),""),UPPER("Q"),""),UPPER("R"),""),UPPER("S"),""),UPPER("T"),""),UPPER("U"),""),UPPER("V"),""),UPPER("W"),""),UPPER("X"),""),UPPER("Y"),""),UPPER("Z"),""),"#",""),"'",""),"(",""),")",""),":",""),"[",""),"]",""),"-",""),"=",""),"/",""),"''",""),"~",""),".","")," ",""),0,""),1,""),2,""),3,""),4,""),5,""),6,""),7,""),8,""),9,""),"{",""),"°",""),"}",""),"+",""),"&amp;",""),",","")))</f>
        <v/>
      </c>
      <c r="O34" s="409" t="str">
        <f ca="1">UPPER(SUBSTITUTE(SUBSTITUTE(SUBSTITUTE(SUBSTITUTE(SUBSTITUTE(SUBSTITUTE(SUBSTITUTE(IF([2]!RESTE=0,[2]COURSES!$AH$12,SUBSTITUTE(SUBSTITUTE(SUBSTITUTE(SUBSTITUTE(SUBSTITUTE(SUBSTITUTE(SUBSTITUTE(SUBSTITUTE(SUBSTITUTE(SUBSTITUTE(SUBSTITUTE(SUBSTITUTE(SUBSTITUTE(SUBSTITUTE(SUBSTITUTE(SUBSTITUTE(SUBSTITUTE(SUBSTITUTE(TRIM(IF([2]COURSES!$AI$15&lt;&gt;"",CONCATENATE("#",DANS.GP," (",LOOKUP(WEEKDAY(JOUR.GP),SEMAINE)," ",DAY(JOUR.GP)," ",LOOKUP(MONTH(JOUR.GP),MOIS)," A ",HEURE.GP.VERIFIER,"): ",[2]COURSES!$AI$15),SUBSTITUTE(SUBSTITUTE(SUBSTITUTE(SUBSTITUTE(SUBSTITUTE(IF(AND(DATE.GP=0,HEURE.GP.VERIFIER=HEURE.MAINTENANT.2),"",SUBSTITUTE(SUBSTITUTE(SUBSTITUTE(SUBSTITUTE(SUBSTITUTE(SUBSTITUTE(SUBSTITUTE(SUBSTITUTE(SUBSTITUTE(SUBSTITUTE(SUBSTITUTE(CONCATENATE("#",TABLEAU!$A$198,"#"),"DANS.GP",DANS.GP),": :",":"),[2]!GGG,DANS.JOUR.GP),CONCATENATE(NBA," "),""),"}]=","}="),"]]","]"),CVB,""),"###","#"),"##","#"),"(A ",CONCATENATE("(",DATE.RDV.TV," A ")),"#DEPASSE DEPUIS #DEPASSE DEPUIS","#DEPASSE DEPUIS")),CONCATENATE(DANS.GP," ",DANS.GP),DANS.GP),CONCATENATE(TABLEAU!$E$35," A "),"A "),"( A","(A"),"  A"," A"),"DES US A","DES USA"))),": #",": "),": GP",": [GP"),"= [MANQUE","= (MANQUE"),"]#",")]#"),"))",")"),"DEMAIN (",CONCATENATE("DEMAIN= ",DIF.GP," ~ (")),"JOURS (",CONCATENATE("JOURS= ",DIF.GP," ~ (")),"DEMAIN= #DEPASSE# ~","DEPASSE DEPUIS HIER"),"= #DEPASSE# ~"," ~"),"DANS 1 SEMAINE DANS 1 SEMAINE","DANS 1 SEMAINE"),CONCATENATE(TABLEAU!$L$35," ",TABLEAU!$L$35),TABLEAU!$L$35),CONCATENATE(" ",YEAR(A)),""),CONCATENATE(DAY(JOUR.GP)," ",LOOKUP(MONTH(JOUR.GP),MOIS),"A "),CONCATENATE(DAY(JOUR.GP)," ",LOOKUP(MONTH(JOUR.GP),MOIS)," A ")),": [1","= 1"),"] {N°"," {N°"),CONCATENATE([2]!SUIVANT,")"),[2]!SUIVANT),SUBSTITUTE([2]!MANQUE.3,"#",""),""),CONCATENATE("[",[2]!SUIVANT),CONCATENATE("[GP ",LOOKUP([2]!SUIVANT,[2]!NOMS)))),"GP GP","GP"),"[1ER","1ER"),UPPER("AAA"),DANS.GP),CONCATENATE(" ",YEAR(A)),""),CONCATENATE(" [GP DE ",[2]!SUIVANT,"]#"),""),")]#","]#"),"DANS DEMAIN","DEMAIN"))</f>
        <v>#DEMAIN= ''28H00'' ~ (DIMANCHE 3 NOVEMBRE A 17H00): [GP DES USA]#</v>
      </c>
      <c r="P34" s="740" t="str">
        <f ca="1">IF(TABLEAU!$A$33="FORMULE 1",TABLEAU!$B$33,IF(TABLEAU!$A$34="FORMULE 1",TABLEAU!$B$34,IF(TABLEAU!$A$35="FORMULE 1",TABLEAU!$B$35,IF(TABLEAU!$A$36="FORMULE 1",TABLEAU!$B$36,IF(TABLEAU!$A$37="FORMULE 1",TABLEAU!$B$37,IF(TABLEAU!$A$38="FORMULE 1",TABLEAU!$B$38,IF(TABLEAU!$A$39="FORMULE 1",TABLEAU!$B$39,IF(TABLEAU!$A$40="FORMULE 1",TABLEAU!$B$40,IF(TABLEAU!$A$41="FORMULE 1",TABLEAU!$B$41)))))))))</f>
        <v>#DEMAIN= ''28H00'' (DIMANCHE 3 NOVEMBRE A 17H00): [GP DES USA]#</v>
      </c>
      <c r="Q34" s="741"/>
      <c r="R34" s="742"/>
      <c r="S34" s="745" t="str">
        <f ca="1">SUBSTITUTE(IF(DANS.GP="#DEPASSE#",DANS.GP.VERIFIER,CONCATENATE("DANS ",DIF.GP)),"DANS #DEPASSE#","#DEPASSE#")</f>
        <v>DANS ''28H00''</v>
      </c>
      <c r="T34" s="905" t="str">
        <f ca="1">SUBSTITUTE(DANS.GP,"#DEPASSE","")</f>
        <v>DEMAIN= ''28H00'' ~</v>
      </c>
      <c r="U34" s="743" t="str">
        <f ca="1">UPPER(TRIM(SUBSTITUTE(SUBSTITUTE(SUBSTITUTE(SUBSTITUTE(SUBSTITUTE(SUBSTITUTE(SUBSTITUTE(SUBSTITUTE(SUBSTITUTE(SUBSTITUTE(SUBSTITUTE(SUBSTITUTE(SUBSTITUTE(SUBSTITUTE(SUBSTITUTE(SUBSTITUTE(TABLEAU!$AD$34,DANS.L1,""),DANS.CONFEDERATIONS,""),DANS.COUPE.FRANCE,""),DANS.COUPE.LIGUE,""),DANS.MONDIAL,""),DANS.GP,""),DANS.EURO,""),DANS.CHAMPIONS.LEAGUE,""),DANS.UEFA,""),"#",""),CONCATENATE("(A ",TABLEAU!$X$26,")="),""),CONCATENATE("(A ",TABLEAU!$X$27,")="),""),"L1","CHAMPIONNAT"),"(A ",CONCATENATE("(",DATE.RDV.TV," A ")),CONCATENATE(TABLEAU!$E$34," A ")," A "),"( A","(A")))</f>
        <v>(DIMANCHE 3 NOVEMBRE A 17H00): [GP DES USA]</v>
      </c>
      <c r="V34" s="744" t="str">
        <f ca="1">SUBSTITUTE(F1.DEP,CONCATENATE(NBA," "),"")</f>
        <v/>
      </c>
      <c r="W34" s="716" t="str">
        <f ca="1">UPPER(SUBSTITUTE(SUBSTITUTE(TABLEAU!$I$34,"&gt;",""),"&lt;",""))</f>
        <v>#DEMAIN= ''28H00'' ~ (DIMANCHE 3 NOVEMBRE A 17H00): [GP DES USA]#</v>
      </c>
      <c r="X34" s="752" t="str">
        <f ca="1">UPPER(SUBSTITUTE(IF(TABLEAU!$D$34&lt;0,CONCATENATE("DEPASSE DEPUIS ",0-TABLEAU!$D$34," JOURS"),""),"DEPUIS 1 JOURS","DEPUIS HIER"))</f>
        <v/>
      </c>
      <c r="Y34" s="2008" t="str">
        <f ca="1">SUBSTITUTE(SUBSTITUTE(SUBSTITUTE(SUBSTITUTE(SUBSTITUTE(SUBSTITUTE(SUBSTITUTE(SUBSTITUTE(TABLEAU!$W$34,"&gt;DEMAIN",""),"&gt;DANS 2 JOURS",""),"&gt;DANS 3 JOURS",""),"&gt;DANS 4 JOURS",""),"&gt;DANS 5 JOURS",""),"&gt;DANS 6 JOURS",""),"&gt;DANS 1 SEMAINE",""),CONCATENATE("(A ",TABLEAU!$X$20,")="),"")</f>
        <v>#DEMAIN= ''28H00'' ~ (DIMANCHE 3 NOVEMBRE A 17H00): [GP DES USA]#</v>
      </c>
      <c r="Z34" s="1658"/>
      <c r="AA34" s="609" t="str">
        <f>TABLEAU!$I$20</f>
        <v>CONFEDERATIONS</v>
      </c>
      <c r="AB34" s="723" t="str">
        <f ca="1">IF(DATE.CONFEDERATIONS=0,"AUJOURD'HUI",IF(DATE.CONFEDERATIONS&lt;0,"#DEPASSE#",CONCATENATE("DANS ",TABLEAU!$AQ$13)))</f>
        <v>DANS 579 JOURS</v>
      </c>
      <c r="AC34" s="1411" t="str">
        <f ca="1">UPPER(TRIM(IF(TABLEAU!$L$34="#DEPASSE#",CONCATENATE(TABLEAU!$A$34,":",TABLEAU!$T$34),TABLEAU!$A$34)))</f>
        <v>FORMULE 1</v>
      </c>
      <c r="AD34" s="1412" t="str">
        <f ca="1">SUBSTITUTE(SUBSTITUTE(SUBSTITUTE(SUBSTITUTE(SUBSTITUTE(SUBSTITUTE(SUBSTITUTE(TABLEAU!$AF$34,CONCATENATE("(A ",TABLEAU!$X$19,")="),""),CONCATENATE("(A ",TABLEAU!$X$20,")="),""),CONCATENATE("(A ",TABLEAU!$X$21,")="),""),CONCATENATE("(A ",TABLEAU!$X$22,")="),""),CONCATENATE("(A ",TABLEAU!$X$23,")="),""),CONCATENATE("(A ",TABLEAU!$X$24,")="),""),CONCATENATE("(A ",TABLEAU!$X$25,")="),"")</f>
        <v>#DEMAIN= ''28H00'' ~ (DIMANCHE 3 NOVEMBRE A 17H00): [GP DES USA]#</v>
      </c>
      <c r="AE34" s="1413"/>
      <c r="AF34" s="610" t="str">
        <f ca="1">UPPER(TRIM(TABLEAU!$Y$34))</f>
        <v>#DEMAIN= ''28H00'' ~ (DIMANCHE 3 NOVEMBRE A 17H00): [GP DES USA]#</v>
      </c>
      <c r="AG34" s="611"/>
      <c r="AH34" s="849"/>
      <c r="AI34" s="1466" t="str">
        <f ca="1">IF(TABLEAU!$D$34&lt;&gt;0,"",TABLEAU!$M$34)</f>
        <v/>
      </c>
      <c r="AJ34" s="657"/>
      <c r="AK34" s="69"/>
      <c r="AL34" s="2188"/>
      <c r="AM34" s="754"/>
      <c r="AN34" s="2137" t="str">
        <f ca="1">TRIM(SUBSTITUTE(SUBSTITUTE(SUBSTITUTE(TABLEAU!$AC$58,"( ","("),TABLEAU!$AM$1,TABLEAU!$B$33),"##","# &amp; #"))</f>
        <v/>
      </c>
      <c r="AO34" s="2138"/>
      <c r="AP34" s="2138"/>
      <c r="AQ34" s="2138"/>
      <c r="AR34" s="2138"/>
      <c r="AS34" s="2138"/>
      <c r="AT34" s="2138"/>
      <c r="AU34" s="2138"/>
      <c r="AV34" s="2138"/>
      <c r="AW34" s="2138"/>
      <c r="AX34" s="2139"/>
      <c r="AY34" s="1162" t="str">
        <f ca="1">IF(DATE.LDC&gt;0,"",IF(IF(MINUTE(HEURE.LDC)&gt;9,CONCATENATE(HOUR(HEURE.LDC),":",MINUTE(HEURE.LDC)),CONCATENATE(HOUR(HEURE.LDC),":0",MINUTE(HEURE.LDC)))&gt;H.M,"",IF(HOUR(HEURE.LDC)&gt;HOUR(HEURE.MAINTENANT),"",IF(HEURE.LDC&gt;HEURE.MAINTENANT,"",HEURE.MAINTENANT-HEURE.LDC))))</f>
        <v/>
      </c>
      <c r="AZ34" s="1528" t="str">
        <f ca="1">SUBSTITUTE(IF(TABLEAU!$AY$34="","",IF(AND(HOUR(TABLEAU!$AY$34)&gt;0,MINUTE(TABLEAU!$AY$34)&lt;10),CONCATENATE(" DEPUIS ",HOUR(TABLEAU!$AY$34),"H0",MINUTE(TABLEAU!$AY$34)),IF(AND(HOUR(TABLEAU!$AY$34)&gt;0,MINUTE(TABLEAU!$AY$34)&gt;9),CONCATENATE(" DEPUIS ",HOUR(TABLEAU!$AY$34),"H",MINUTE(TABLEAU!$AY$34)),CONCATENATE("DEPUIS"," 0",MINUTE(TABLEAU!$AY$34)," MIN"))))," 0"," ")</f>
        <v/>
      </c>
      <c r="BA34" s="1491"/>
    </row>
    <row r="35" spans="1:53" ht="24" customHeight="1">
      <c r="A35" s="462" t="s">
        <v>130</v>
      </c>
      <c r="B35" s="1539" t="str">
        <f ca="1">UPPER(TRIM(SUBSTITUTE(SUBSTITUTE(SUBSTITUTE(SUBSTITUTE(SUBSTITUTE(SUBSTITUTE(SUBSTITUTE(SUBSTITUTE(SUBSTITUTE(SUBSTITUTE(SUBSTITUTE(SUBSTITUTE(SUBSTITUTE(SUBSTITUTE(SUBSTITUTE(SUBSTITUTE(SUBSTITUTE(SUBSTITUTE(TRIM(TABLEAU!$J$35),CONCATENATE(NBA," "),""),"[(","("),": :",":"),"# (",CONCATENATE("#",DANS.LDC," (")),"##","#"),CONCATENATE(" ",YEAR(A)," ")," "),"# [",CONCATENATE("#DATE A DETERMINER [")),"(A",CONCATENATE("(",LOOKUP(WEEKDAY(JOUR.LDC),SEMAINE)," ",DAY(JOUR.LDC)," ",LOOKUP(MONTH(JOUR.LDC),MOIS)," ",YEAR(JOUR.LDC)," A ")),AQW,""),CONCATENATE(TABLEAU!$E$35," A ")," A "),"( A","(A"),CONCATENATE(YEAR(A),"A"),CONCATENATE(YEAR(A)," A")),CONCATENATE(DANS.LDC,"#",SUBSTITUTE(SUBSTITUTE(DANS.LDC,DIF.LDC," ("),"JOURS=  (","JOURS (")),CONCATENATE("#",DANS.LDC," (")),"DIA ","DI A "),"CHEA ","CHE A "),"'' (","'' ~ ("),CONCATENATE(CVB,YEAR(A)," "),""),"~ ("," (")))</f>
        <v>#DANS 3 JOURS= ''77H55'' (MARDI 5 NOVEMBRE A 18H55): [LDC= (4°J): BARCELONE VS PRAGUE {F}]#</v>
      </c>
      <c r="C35" s="62"/>
      <c r="D35" s="601">
        <f ca="1">DATE.LDC</f>
        <v>3</v>
      </c>
      <c r="E35" s="1541" t="str">
        <f ca="1">UPPER(SUBSTITUTE(TRIM(IF(TABLEAU!$D$35=0,DATE.RDV.TV,IF(TABLEAU!$D$35=-1,LOOKUP(A-TABLEAU!$D$35,CALENDRIER),IF(TABLEAU!$D$35&lt;1,LOOKUP(A-TABLEAU!$D$35,CALENDRIER),IF(OR(TABLEAU!$L$35="#DEPASSE#",TABLEAU!$D$35&lt;0),CONCATENATE("#DEPASSE ",TABLEAU!$AZ$35," [",TABLEAU!$A$35,"]#"),IF(TABLEAU!$D$35&gt;6,"",LOOKUP(WEEKDAY(A+TABLEAU!$D$35),CALENDRIER))))))),"#DEPASSE DEPUIS 0 JOURS",""))</f>
        <v>MARDI</v>
      </c>
      <c r="F35" s="656" t="str">
        <f ca="1">IF(AND(DATE.CHAMPIONS.LEAGUE=0,HEURE.LDC.VERIFIER=HEURE.MAINTENANT.2),HEURE.LDC.VERIFIER,IF(TABLEAU!$M$33="","",IF(TABLEAU!$L$33="TERMINE","",HEURE.LDC.VERIFIER)))</f>
        <v>18H55</v>
      </c>
      <c r="G35" s="541" t="str">
        <f ca="1">IF(OR(TABLEAU!$L$35="TERMINE",TABLEAU!$L$35="#DEPASSE#"),TABLEAU!$J$33,SUBSTITUTE(SUBSTITUTE(SUBSTITUTE(TRIM(SUBSTITUTE(CONCATENATE("#",DANS.CHAMPIONS.LEAGUE," (A ",TABLEAU!$F$35,"): [CHAMPION'S LEAGUE]#"),"AUJOURD'HUI",DANS.CHAMPIONS.LEAGUE)),[1]!GGG,DANS.JOUR.CHAMPIONS.LEAGUE),"(A ",CONCATENATE("(",LOOKUP(WEEKDAY(A+TABLEAU!$D$35),CALENDRIER)," ",DAY(JOUR.LDC)," ",LOOKUP(MONTH(JOUR.LDC),MOIS)," ",YEAR(JOUR.LDC)," A ")),CONCATENATE(NBA," "),""))</f>
        <v>#DANS 3 JOURS= ''77H55'' ~ (MARDI 5 NOVEMBRE 2019 A 18H55): [CHAMPION'S LEAGUE]#</v>
      </c>
      <c r="H35" s="542" t="str">
        <f>CONCATENATE(DAY(JOUR.LDC),"/",MONTH(JOUR.LDC),"/",YEAR(JOUR.LDC)," ",TEXT(HEURE.LDC,"[H]:MM"))</f>
        <v>5/11/2019 18:55</v>
      </c>
      <c r="I35" s="406" t="str">
        <f ca="1">UPPER(TRIM(SUBSTITUTE(SUBSTITUTE(SUBSTITUTE(SUBSTITUTE(SUBSTITUTE(SUBSTITUTE(SUBSTITUTE(SUBSTITUTE(IF(AND(DATE.CHAMPIONS.LEAGUE=0,HEURE.LDC.VERIFIER=HEURE.MAINTENANT.2),TABLEAU!$J$35,SUBSTITUTE(SUBSTITUTE(SUBSTITUTE(SUBSTITUTE(TABLEAU!$O$35,"##","#"),"#DEPUIS","#DEPASSE DEPUIS"),CONCATENATE("(",YEAR(A)," "),"("),CONCATENATE(LOOKUP(MONTH(JOUR.LDC),MOIS)," A "),CONCATENATE(LOOKUP(MONTH(JOUR.LDC),MOIS)," ",YEAR(JOUR.LDC)," A "))),CONCATENATE(TABLEAU!$E$35," A ")," A ")," A "," A "),"( A","(A"),"JOURS (",CONCATENATE("JOURS= ",DIF.LDC," (")),"DEMAIN (",CONCATENATE("DEMAIN= ",DIF.LDC," ~ (")),"'' (","'' ~ ("),"JOURS ~ (",CONCATENATE("JOURS= ",DIF.LDC," ~ (")),"= #DEPASSE#","")))</f>
        <v>#DANS 3 JOURS= ''77H55'' ~ (MARDI 5 NOVEMBRE 2019 A 18H55): [LDC= (4°J): BARCELONE VS PRAGUE {F}]#</v>
      </c>
      <c r="J35" s="407" t="str">
        <f ca="1">UPPER(SUBSTITUTE(SUBSTITUTE(SUBSTITUTE(SUBSTITUTE(SUBSTITUTE(SUBSTITUTE(SUBSTITUTE(SUBSTITUTE(SUBSTITUTE(SUBSTITUTE(SUBSTITUTE(SUBSTITUTE(SUBSTITUTE(SUBSTITUTE(SUBSTITUTE(SUBSTITUTE(SUBSTITUTE(IF(AND(DATE.GP=0,HEURE.GP.VERIFIER=HEURE.MAINTENANT.2),CONCATENATE("#MAINTENANT (A ",HEURE.GP.VERIFIER,"): [GP DE FORMULE 1]#"),SUBSTITUTE(TABLEAU!$O$35,"##","#")),CONCATENATE(DATE.RDV.TV," A "),"A "),"DEMAIN (",CONCATENATE("DEMAIN= ",DIF.GP," (")),"JOURS (",CONCATENATE("JOURS= ",DIF.GP," ~ (")),"'' (","'' ~ ("),"= #DEPASSE#","")," HIER ("," HIER ~ ("),"0 (","0 ~ ("),"1 (","1 ~ ("),"2 (","2 ~ ("),"3 (","3 ~ ("),"4 (","4 ~ ("),"5 (","5 ~ ("),"6 (","6 ~ ("),"7 (","7 ~ ("),"8 (","8 ~ ("),"9 (","9 ~ ("),"DANS DEMAIN","DEMAIN"))</f>
        <v>#DANS 3 JOURS= ''77H55'' ~ (MARDI 5 NOVEMBRE A 18H55): [LDC= (4°J): BARCELONE VS PRAGUE {F}]#</v>
      </c>
      <c r="K35" s="410"/>
      <c r="L35" s="1545" t="str">
        <f ca="1">UPPER(IF(AND(DATE.CHAMPIONS.LEAGUE=0,HEURE.LDC.VERIFIER=HEURE.MAINTENANT.2),"",IF(DANS.CHAMPIONS.LEAGUE.VERIFIER="#DEPASSE#",DANS.CHAMPIONS.LEAGUE.VERIFIER,IF(TABLEAU!$D$35="","TERMINE",IF(TABLEAU!$D$35&lt;0,"A MODIFIER",IF(TABLEAU!$D$35=0,DANS.LDC,IF(TABLEAU!$D$35=1,"DEMAIN",IF(TABLEAU!$D$35=7,"DANS 1 SEMAINE",IF(TABLEAU!$D$35&gt;1,CONCATENATE("DANS ",TABLEAU!$D$35," JOURS"))))))))))</f>
        <v>DANS 3 JOURS</v>
      </c>
      <c r="M35" s="777" t="str">
        <f>HEURE.LDC</f>
        <v>18:55</v>
      </c>
      <c r="N35" s="841" t="str">
        <f ca="1">IF(TABLEAU!$O$35=DANS.GP,"¤¤¤",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O$35,"AAA","¤¤¤"),UPPER("A"),""),UPPER("B"),""),UPPER("C"),""),UPPER("D"),""),UPPER("E"),""),UPPER("F"),""),UPPER("G"),""),UPPER("H"),""),UPPER("I"),""),UPPER("J"),""),UPPER("K"),""),UPPER("L"),""),UPPER("M"),""),UPPER("N"),""),UPPER("O"),""),UPPER("P"),""),UPPER("Q"),""),UPPER("R"),""),UPPER("S"),""),UPPER("T"),""),UPPER("U"),""),UPPER("V"),""),UPPER("W"),""),UPPER("X"),""),UPPER("Y"),""),UPPER("Z"),""),"#",""),"'",""),"(",""),")",""),":",""),"[",""),"]",""),"-",""),"=",""),"/",""),"''",""),"~",""),".","")," ",""),0,""),1,""),2,""),3,""),4,""),5,""),6,""),7,""),8,""),9,""),"{",""),"°",""),"}",""),"+",""),"&amp;",""),",","")))</f>
        <v/>
      </c>
      <c r="O35" s="409" t="str">
        <f ca="1">UPPER(SUBSTITUTE(SUBSTITUTE(SUBSTITUTE(SUBSTITUTE(SUBSTITUTE(SUBSTITUTE(SUBSTITUTE(SUBSTITUTE(SUBSTITUTE(SUBSTITUTE(SUBSTITUTE(SUBSTITUTE(SUBSTITUTE(TRIM(SUBSTITUTE(SUBSTITUTE(SUBSTITUTE(SUBSTITUTE(SUBSTITUTE(SUBSTITUTE(SUBSTITUTE(SUBSTITUTE(SUBSTITUTE(SUBSTITUTE(SUBSTITUTE(SUBSTITUTE(SUBSTITUTE(SUBSTITUTE(SUBSTITUTE(SUBSTITUTE(SUBSTITUTE(SUBSTITUTE(SUBSTITUTE(SUBSTITUTE(SUBSTITUTE(SUBSTITUTE(SUBSTITUTE(SUBSTITUTE(IF(AND(DATE.CHAMPIONS.LEAGUE=0,HEURE.LDC.VERIFIER=HEURE.MAINTENANT.2),"",SUBSTITUTE(SUBSTITUTE(SUBSTITUTE(SUBSTITUTE(SUBSTITUTE(SUBSTITUTE(SUBSTITUTE(IF(TABLEAU!$L$35="#DEPASSE#",SUBSTITUTE([1]!PHRASE.REDUITE,"AAA",DANS.CHAMPIONS.LEAGUE),SUBSTITUTE(SUBSTITUTE(SUBSTITUTE(CONCATENATE([1]!PHRASE.REDUITE),"AAA",CONCATENATE(TABLEAU!$L$35,"= ",DIF.LDC," ~ ")),"&gt;","#"),[1]!GGG,DANS.JOUR.CHAMPIONS.LEAGUE)),CONCATENATE(DANS.CHAMPIONS.LEAGUE,"#DEPUIS HIER"),DANS.CHAMPIONS.LEAGUE),"ZZZ#",""),CONCATENATE(LOOKUP(MONTH(JOUR.LDC),MOIS)," A "),CONCATENATE(LOOKUP(MONTH(JOUR.LDC),MOIS)," ",YEAR(JOUR.LDC)," A ")),CONCATENATE(NBA," "),""),"(A ",CONCATENATE("(",DATE.RDV.TV," A ")),"#DEPASSE DEPUIS #DEPASSE DEPUIS","#DEPASSE DEPUIS"),"##D","#D"))," #","#"),CONCATENATE(TABLEAU!$E$35," A ")," A ")," A "," A "),"( A","(A"),"  A"," A"),"DEMAIN (",CONCATENATE("DEMAIN= ",DIF.LDC," ~ (")),"JOURS (",CONCATENATE("JOURS= ",DIF.LDC," ~ (")),"DEMAIN= #DEPASSE# ~","DEPASSE DEPUIS HIER"),"= #DEPASSE#",""),CONCATENATE("#",TABLEAU!$L$35,"="),"#DANS= "),CONCATENATE(TABLEAU!$L$35,"= ",DIF.LDC," ~#DANS"),"#DANS"),CONCATENATE("#DANS=  ",DIF.LDC),CONCATENATE("#",TABLEAU!$L$35,"= ",DIF.LDC)),CONCATENATE("#",FICHIER.A.MODIFIER,"="),"#DANS"),CONCATENATE("#",TABLEAU!$S$35),CONCATENATE("#",TABLEAU!$T$35)),CONCATENATE(DAY(JOUR.LDC)," ",LOOKUP(MONTH(JOUR.LDC),MOIS),"A "),CONCATENATE(DAY(JOUR.LDC)," ",LOOKUP(MONTH(JOUR.LDC),MOIS)," A "))," ~ ~","~"),"DANS","#DANS"),"##","#"),"= ]","]#"),CONCATENATE("#",TABLEAU!$L$35," ~ #",TABLEAU!$L$35),CONCATENATE("#",TABLEAU!$L$35,"= ",DIF.LDC)),"=  ~ ",""),"]","]#"),"##","#"),CONCATENATE(TABLEAU!$L$35,"= ",DIF.LDC),TABLEAU!$L$35)),"#DEPASSE# ~",""),CONCATENATE("#DEPASSE",TABLEAU!$T$35,"="),CONCATENATE("#DEPASSE ",DEP.LDC.VERIFIER)),"DEMAIN~ (",CONCATENATE(TABLEAU!$T$35," (")),"DANS 0","DANS "),CONCATENATE(TABLEAU!$L$35," ~ #",TABLEAU!$L$35),TABLEAU!$L$35),"JOURS ~ (",CONCATENATE("JOURS= ",DIF.LDC," ~ (")),"SEMAINE ~ (",CONCATENATE("SEMAINE= ",DIF.LDC," ~ (")),UPPER("AAA"),DANS.LDC),CONCATENATE(" ",YEAR(A)),""),"LDC-20","LDC 19-20"),"#DANS=  (",CONCATENATE("#",SUBSTITUTE(DIF.LDC,"#",""),TABLEAU!$T$35," (")),"= #DEPASSE#",""),"DANS DEMAIN","DEMAIN"))</f>
        <v>#DANS 3 JOURS= ''77H55'' ~ (MARDI 5 NOVEMBRE A 18H55): [LDC= (4°J): BARCELONE VS PRAGUE {F}]#</v>
      </c>
      <c r="P35" s="740" t="str">
        <f ca="1">IF(TABLEAU!$A$33="CHAMPION'S LEAGUE",TABLEAU!$B$33,IF(TABLEAU!$A$34="CHAMPION'S LEAGUE",TABLEAU!$B$34,IF(TABLEAU!$A$35="CHAMPION'S LEAGUE",TABLEAU!$B$35,IF(TABLEAU!$A$36="CHAMPION'S LEAGUE",TABLEAU!$B$36,IF(TABLEAU!$A$37="CHAMPION'S LEAGUE",TABLEAU!$B$37,IF(TABLEAU!$A$38="CHAMPION'S LEAGUE",TABLEAU!$B$38,IF(TABLEAU!$A$39="CHAMPION'S LEAGUE",TABLEAU!$B$39,IF(TABLEAU!$A$40="CHAMPION'S LEAGUE",TABLEAU!$B$40,IF(TABLEAU!$A$41="CHAMPION'S LEAGUE",TABLEAU!$B$41)))))))))</f>
        <v>#DANS 3 JOURS= ''77H55'' (MARDI 5 NOVEMBRE A 18H55): [LDC= (4°J): BARCELONE VS PRAGUE {F}]#</v>
      </c>
      <c r="Q35" s="741"/>
      <c r="R35" s="742"/>
      <c r="S35" s="1542" t="str">
        <f ca="1">SUBSTITUTE(IF(DANS.LDC="#DEPASSE#",DANS.CHAMPIONS.LEAGUE.VERIFIER,CONCATENATE("DANS ",DIF.LDC)),"DANS #DEPASSE#","#DEPASSE#")</f>
        <v>DANS ''77H55''</v>
      </c>
      <c r="T35" s="905" t="str">
        <f ca="1">SUBSTITUTE(DANS.LDC,"#DEPASSE","")</f>
        <v>DANS 3 JOURS= ''77H55'' ~</v>
      </c>
      <c r="U35" s="743" t="str">
        <f ca="1">UPPER(TRIM(SUBSTITUTE(SUBSTITUTE(SUBSTITUTE(SUBSTITUTE(SUBSTITUTE(SUBSTITUTE(SUBSTITUTE(SUBSTITUTE(SUBSTITUTE(SUBSTITUTE(SUBSTITUTE(SUBSTITUTE(SUBSTITUTE(SUBSTITUTE(SUBSTITUTE(SUBSTITUTE(TABLEAU!$AD$35,DANS.L1,""),DANS.CONFEDERATIONS,""),DANS.COUPE.FRANCE,""),DANS.COUPE.LIGUE,""),DANS.MONDIAL,""),DANS.GP,""),DANS.EURO,""),DANS.CHAMPIONS.LEAGUE,""),DANS.UEFA,""),"#",""),CONCATENATE("(A ",TABLEAU!$X$26,")="),""),CONCATENATE("(A ",TABLEAU!$X$27,")="),""),"L1","CHAMPIONNAT"),"(A ",CONCATENATE("(",DATE.RDV.TV," A ")),CONCATENATE(TABLEAU!$E$35," A ")," A "),"( A","(A")))</f>
        <v>(MARDI 5 NOVEMBRE 2019 A 18H55): [LDC= (4°J): BARCELONE VS PRAGUE {F}]</v>
      </c>
      <c r="V35" s="744" t="str">
        <f ca="1">SUBSTITUTE(LDC.DEP,CONCATENATE(NBA," "),"")</f>
        <v/>
      </c>
      <c r="W35" s="717" t="str">
        <f ca="1">UPPER(SUBSTITUTE(SUBSTITUTE(TABLEAU!$I$35,"&gt;",""),"&lt;",""))</f>
        <v>#DANS 3 JOURS= ''77H55'' ~ (MARDI 5 NOVEMBRE 2019 A 18H55): [LDC= (4°J): BARCELONE VS PRAGUE {F}]#</v>
      </c>
      <c r="X35" s="751" t="str">
        <f ca="1">UPPER(SUBSTITUTE(IF(TABLEAU!$D$35&lt;0,CONCATENATE("DEPASSE DEPUIS ",0-TABLEAU!$D$35," JOURS"),""),"DEPUIS 1 JOURS","DEPUIS HIER"))</f>
        <v/>
      </c>
      <c r="Y35" s="2008" t="str">
        <f ca="1">SUBSTITUTE(SUBSTITUTE(SUBSTITUTE(SUBSTITUTE(SUBSTITUTE(SUBSTITUTE(SUBSTITUTE(SUBSTITUTE(TABLEAU!$W$35,"&gt;DEMAIN",""),"&gt;DANS 2 JOURS",""),"&gt;DANS 3 JOURS",""),"&gt;DANS 4 JOURS",""),"&gt;DANS 5 JOURS",""),"&gt;DANS 6 JOURS",""),"&gt;DANS 1 SEMAINE",""),CONCATENATE("(A ",TABLEAU!$X$20,")="),"")</f>
        <v>#DANS 3 JOURS= ''77H55'' ~ (MARDI 5 NOVEMBRE 2019 A 18H55): [LDC= (4°J): BARCELONE VS PRAGUE {F}]#</v>
      </c>
      <c r="Z35" s="1658"/>
      <c r="AA35" s="609" t="str">
        <f>TABLEAU!$I$21</f>
        <v>COUPE DE FRANCE</v>
      </c>
      <c r="AB35" s="723" t="str">
        <f ca="1">IF(DATE.FRANCE=0,"AUJOURD'HUI",IF(DATE.FRANCE&lt;0,"#DEPASSE#",CONCATENATE("DANS ",TABLEAU!$AQ$9)))</f>
        <v>DANS 94 JOURS</v>
      </c>
      <c r="AC35" s="1414" t="str">
        <f ca="1">UPPER(TRIM(IF(TABLEAU!$L$35="#DEPASSE#",CONCATENATE(TABLEAU!$A$35,":",TABLEAU!$T$35),TABLEAU!$A$35)))</f>
        <v>CHAMPION'S LEAGUE</v>
      </c>
      <c r="AD35" s="742" t="str">
        <f ca="1">SUBSTITUTE(SUBSTITUTE(SUBSTITUTE(SUBSTITUTE(SUBSTITUTE(SUBSTITUTE(SUBSTITUTE(TABLEAU!$AF$35,CONCATENATE("(A ",TABLEAU!$X$19,")="),""),CONCATENATE("(A ",TABLEAU!$X$20,")="),""),CONCATENATE("(A ",TABLEAU!$X$21,")="),""),CONCATENATE("(A ",TABLEAU!$X$22,")="),""),CONCATENATE("(A ",TABLEAU!$X$23,")="),""),CONCATENATE("(A ",TABLEAU!$X$24,")="),""),CONCATENATE("(A ",TABLEAU!$X$25,")="),"")</f>
        <v>#DANS 3 JOURS= ''77H55'' ~ (MARDI 5 NOVEMBRE 2019 A 18H55): [LDC= (4°J): BARCELONE VS PRAGUE {F}]#</v>
      </c>
      <c r="AE35" s="1415"/>
      <c r="AF35" s="63" t="str">
        <f ca="1">UPPER(TRIM(TABLEAU!$Y$35))</f>
        <v>#DANS 3 JOURS= ''77H55'' ~ (MARDI 5 NOVEMBRE 2019 A 18H55): [LDC= (4°J): BARCELONE VS PRAGUE {F}]#</v>
      </c>
      <c r="AG35" s="60"/>
      <c r="AH35" s="850"/>
      <c r="AI35" s="846" t="str">
        <f ca="1">IF(TABLEAU!$D$35&lt;&gt;0,"",TABLEAU!$M$35)</f>
        <v/>
      </c>
      <c r="AJ35" s="663"/>
      <c r="AK35" s="6"/>
      <c r="AL35" s="2188"/>
      <c r="AM35" s="755"/>
      <c r="AN35" s="2137"/>
      <c r="AO35" s="2138"/>
      <c r="AP35" s="2138"/>
      <c r="AQ35" s="2138"/>
      <c r="AR35" s="2138"/>
      <c r="AS35" s="2138"/>
      <c r="AT35" s="2138"/>
      <c r="AU35" s="2138"/>
      <c r="AV35" s="2138"/>
      <c r="AW35" s="2138"/>
      <c r="AX35" s="2139"/>
      <c r="AY35" s="1163" t="str">
        <f ca="1">IF(DATE.UEFA&gt;0,"",IF(IF(MINUTE(HEURE.UEFA)&gt;9,CONCATENATE(HOUR(HEURE.UEFA),":",MINUTE(HEURE.UEFA)),CONCATENATE(HOUR(HEURE.UEFA),":0",MINUTE(HEURE.UEFA)))&gt;H.M,"",IF(HOUR(HEURE.UEFA)&gt;HOUR(HEURE.MAINTENANT),"",IF(HEURE.UEFA&gt;HEURE.MAINTENANT,"",HEURE.MAINTENANT-HEURE.UEFA))))</f>
        <v/>
      </c>
      <c r="AZ35" s="1528" t="str">
        <f ca="1">SUBSTITUTE(IF(TABLEAU!$AY$35="","",IF(AND(HOUR(TABLEAU!$AY$35)&gt;0,MINUTE(TABLEAU!$AY$35)&lt;10),CONCATENATE(" DEPUIS ",HOUR(TABLEAU!$AY$35),"H0",MINUTE(TABLEAU!$AY$35)),IF(AND(HOUR(TABLEAU!$AY$35)&gt;0,MINUTE(TABLEAU!$AY$35)&gt;9),CONCATENATE(" DEPUIS ",HOUR(TABLEAU!$AY$35),"H",MINUTE(TABLEAU!$AY$35)),CONCATENATE("DEPUIS"," 0",MINUTE(TABLEAU!$AY$35)," MIN"))))," 0"," ")</f>
        <v/>
      </c>
      <c r="BA35" s="1489"/>
    </row>
    <row r="36" spans="1:53" ht="24" customHeight="1">
      <c r="A36" s="462" t="s">
        <v>119</v>
      </c>
      <c r="B36" s="1539" t="str">
        <f ca="1">UPPER(TRIM(SUBSTITUTE(SUBSTITUTE(SUBSTITUTE(SUBSTITUTE(SUBSTITUTE(SUBSTITUTE(SUBSTITUTE(SUBSTITUTE(SUBSTITUTE(SUBSTITUTE(SUBSTITUTE(SUBSTITUTE(SUBSTITUTE(SUBSTITUTE(SUBSTITUTE(SUBSTITUTE(SUBSTITUTE(SUBSTITUTE(TRIM(TABLEAU!$J$36),CONCATENATE(NBA," "),""),"[(","("),": :",":"),"# (",CONCATENATE("#",DANS.COUPE.LIGUE," (")),"##","#"),CONCATENATE(" ",YEAR(A)," ")," "),"# [",CONCATENATE("#DATE A DETERMINER [")),"(A",CONCATENATE("(",LOOKUP(WEEKDAY(JOUR.COUPE.LIGUE),SEMAINE)," ",DAY(JOUR.COUPE.LIGUE)," ",LOOKUP(MONTH(JOUR.COUPE.LIGUE),MOIS)," ",YEAR(JOUR.COUPE.LIGUE)," A ")),AQW,""),CONCATENATE(TABLEAU!$E$36," A ")," A "),"( A","(A"),CONCATENATE(YEAR(A),"A"),CONCATENATE(YEAR(A)," A")),CONCATENATE(DANS.COUPE.LIGUE,"#",SUBSTITUTE(SUBSTITUTE(DANS.COUPE.LIGUE,DIF.LIGUE," ("),"JOURS=  (","JOURS (")),CONCATENATE("#",DANS.COUPE.LIGUE," (")),"DIA ","DI A "),"CHEA ","CHE A "),"'' (","'' ~ ("),CONCATENATE(CVB,YEAR(A)," "),""),"~ ("," (")))</f>
        <v>#DANS 45 JOURS= ''1.088H00'' (MARDI 17 DECEMBRE A 21H00): [COUPE DE LA LIGUE 19-20= (MANQUE 16 EQUIPES)]#</v>
      </c>
      <c r="C36" s="62"/>
      <c r="D36" s="601">
        <f ca="1">DATE.LIGUE</f>
        <v>45</v>
      </c>
      <c r="E36" s="1467" t="str">
        <f ca="1">UPPER(SUBSTITUTE(TRIM(IF(TABLEAU!$D$36=0,DATE.RDV.TV,IF(TABLEAU!$D$36=-1,LOOKUP(A-TABLEAU!$D$36,CALENDRIER),IF(TABLEAU!$D$36&lt;1,LOOKUP(A-TABLEAU!$D$36,CALENDRIER),IF(OR(TABLEAU!$L$36="#DEPASSE#",TABLEAU!$D$36&lt;0),CONCATENATE("#DEPASSE ",TABLEAU!$AZ$36," [",TABLEAU!$A$36,"]#"),IF(TABLEAU!$D$36&gt;6,"",LOOKUP(WEEKDAY(A+TABLEAU!$D$36),CALENDRIER))))))),"#DEPASSE DEPUIS 0 JOURS",""))</f>
        <v/>
      </c>
      <c r="F36" s="656" t="str">
        <f ca="1">IF(AND(DATE.LIGUE=0,HEURE.LIGUE.VERIFIER=HEURE.MAINTENANT.2),HEURE.LIGUE.VERIFIER,IF(TABLEAU!$M$36="","",IF(TABLEAU!$L$36="TERMINE","",HEURE.LIGUE.VERIFIER)))</f>
        <v>21H00</v>
      </c>
      <c r="G36" s="541" t="str">
        <f ca="1">UPPER(TRIM(SUBSTITUTE(SUBSTITUTE(SUBSTITUTE(SUBSTITUTE(TABLEAU!$O$36,"##","#"),"(A ",CONCATENATE("(",LOOKUP(WEEKDAY(A+TABLEAU!$D$36),CALENDRIER)," ",DAY(JOUR.COUPE.LIGUE)," ",LOOKUP(MONTH(JOUR.COUPE.LIGUE),MOIS)," ",YEAR(JOUR.COUPE.LIGUE)," A ")),CONCATENATE(NBA," "),""),AN.4,"")))</f>
        <v>#DANS 45 JOURS= ''1.088H00'' ~ (MARDI 17 DECEMBRE A 21H00): [COUPE DE LA LIGUE 19-20= (MANQUE 16 EQUIPES)]#</v>
      </c>
      <c r="H36" s="542" t="str">
        <f>CONCATENATE(DAY(JOUR.COUPE.LIGUE),"/",MONTH(JOUR.COUPE.LIGUE),"/",YEAR(JOUR.COUPE.LIGUE)," ",TEXT(HEURE.LIGUE,"[H]:MM"))</f>
        <v>17/12/2019 21:00</v>
      </c>
      <c r="I36" s="406" t="str">
        <f ca="1">UPPER(TRIM(SUBSTITUTE(SUBSTITUTE(SUBSTITUTE(SUBSTITUTE(SUBSTITUTE(SUBSTITUTE(SUBSTITUTE(IF(AND(DATE.LIGUE=0,HEURE.LIGUE.VERIFIER=HEURE.MAINTENANT.2),TABLEAU!$J$36,SUBSTITUTE(SUBSTITUTE(SUBSTITUTE(SUBSTITUTE(TABLEAU!$G$36,"##","#"),"#DEPUIS","#DEPASSE DEPUIS"),CONCATENATE("(",YEAR(A)," "),"("),CONCATENATE(LOOKUP(MONTH(JOUR.COUPE.LIGUE),MOIS)," A "),CONCATENATE(LOOKUP(MONTH(JOUR.COUPE.LIGUE),MOIS)," ",YEAR(JOUR.COUPE.LIGUE)," A "))),CONCATENATE(TABLEAU!$E$36," A ")," A "),"A "," A "),"( A","(A"),"JOURS (",CONCATENATE("JOURS= ",DIF.LIGUE," (")),"DEMAIN (",CONCATENATE("DEMAIN= ",DIF.LIGUE," ~ (")),"'' (","'' ~ ("),"L A","LA")))</f>
        <v>#DANS 45 JOURS= ''1.088H00'' ~ (MARDI 17 DECEMBRE 2019 A 21H00): [COUPE DE LA LIGUE 19-20= (MANQUE 16 EQUIPES)]#</v>
      </c>
      <c r="J36" s="407" t="str">
        <f ca="1">UPPER(TRIM(SUBSTITUTE(SUBSTITUTE(SUBSTITUTE(SUBSTITUTE(SUBSTITUTE(SUBSTITUTE(SUBSTITUTE(SUBSTITUTE(SUBSTITUTE(SUBSTITUTE(SUBSTITUTE(SUBSTITUTE(SUBSTITUTE(SUBSTITUTE(SUBSTITUTE(SUBSTITUTE(SUBSTITUTE(IF(AND(DATE.LIGUE=0,HEURE.LIGUE.VERIFIER=HEURE.MAINTENANT.2),CONCATENATE("#MAINTENANT (A ",HEURE.LIGUE.VERIFIER,"): [COUPE DE LA LIGUE]#"),SUBSTITUTE(SUBSTITUTE(IF(TABLEAU!$L$36="#DEPASSE#",LIGUE.DEP,TRIM(IF(TABLEAU!$D$36&lt;0,LIGUE.DEP,SUBSTITUTE(TABLEAU!$O$36,"&gt;(A",CONCATENATE(DANS.COUPE.LIGUE," (A"))))),CONCATENATE(LOOKUP(MONTH(JOUR.COUPE.LIGUE),MOIS)," A "),CONCATENATE(LOOKUP(MONTH(JOUR.COUPE.LIGUE),MOIS)," ",YEAR(JOUR.COUPE.LIGUE)," A ")),CONCATENATE(NBA," "),"")),CONCATENATE(DATE.RDV.TV," A "),"A "),"DEMAIN (",CONCATENATE("DEMAIN= ",DIF.LIGUE," (")),"JOURS (",CONCATENATE("JOURS= ",DIF.LIGUE,"  ~ (")),"'' (","'' ~ ("),"= #DEPASSE#","")," HIER ("," HIER ~ ("),"0 (","0 ~ ("),"1 (","1 ~ ("),"2 (","2 ~ ("),"3 (","3 ~ ("),"4 (","4 ~ ("),"5 (","5 ~ ("),"6 (","6 ~ ("),"7 (","7 ~ ("),"8 (","8 ~ ("),"9 (","9 ~ ("),"DANS DEMAIN","DEMAIN")))</f>
        <v>#DANS 45 JOURS= ''1.088H00'' ~ (MARDI 17 DECEMBRE 2019 A 21H00): [COUPE DE LA LIGUE 19-20= (MANQUE 16 EQUIPES)]#</v>
      </c>
      <c r="K36" s="410"/>
      <c r="L36" s="408" t="str">
        <f ca="1">UPPER(IF(AND(DATE.LIGUE=0,HEURE.LIGUE.VERIFIER=HEURE.MAINTENANT.2),"",IF(DANS.COUPE.LIGUE.VERIFIER="#DEPASSE#",DANS.COUPE.LIGUE.VERIFIER,IF(TABLEAU!$D$36="","TERMINE",IF(TABLEAU!$D$36&lt;0,"A MODIFIER",IF(TABLEAU!$D$36=0,DANS.COUPE.LIGUE,IF(TABLEAU!$D$36=1,"DEMAIN",IF(TABLEAU!$D$36=7,"DANS 1 SEMAINE",IF(TABLEAU!$D$36&gt;1,CONCATENATE("DANS ",TABLEAU!$D$36," JOURS"))))))))))</f>
        <v>DANS 45 JOURS</v>
      </c>
      <c r="M36" s="777" t="str">
        <f>HEURE.LIGUE</f>
        <v>21:00</v>
      </c>
      <c r="N36" s="841" t="str">
        <f ca="1">IF(TABLEAU!$O$36=DANS.GP,"¤¤¤",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O$36,"AAA","¤¤¤"),UPPER("A"),""),UPPER("B"),""),UPPER("C"),""),UPPER("D"),""),UPPER("E"),""),UPPER("F"),""),UPPER("G"),""),UPPER("H"),""),UPPER("I"),""),UPPER("J"),""),UPPER("K"),""),UPPER("L"),""),UPPER("M"),""),UPPER("N"),""),UPPER("O"),""),UPPER("P"),""),UPPER("Q"),""),UPPER("R"),""),UPPER("S"),""),UPPER("T"),""),UPPER("U"),""),UPPER("V"),""),UPPER("W"),""),UPPER("X"),""),UPPER("Y"),""),UPPER("Z"),""),"#",""),"'",""),"(",""),")",""),":",""),"[",""),"]",""),"-",""),"=",""),"/",""),"''",""),"~",""),".","")," ",""),0,""),1,""),2,""),3,""),4,""),5,""),6,""),7,""),8,""),9,""),"{",""),"°",""),"}",""),"+",""),"&amp;",""),",","")))</f>
        <v/>
      </c>
      <c r="O36" s="409" t="str">
        <f ca="1">UPPER(SUBSTITUTE(SUBSTITUTE(SUBSTITUTE(SUBSTITUTE(SUBSTITUTE(SUBSTITUTE(SUBSTITUTE(TRIM(SUBSTITUTE(SUBSTITUTE(SUBSTITUTE(SUBSTITUTE(SUBSTITUTE(SUBSTITUTE(SUBSTITUTE(SUBSTITUTE(SUBSTITUTE(IF(AND(DATE.LIGUE=0,HEURE.LIGUE.VERIFIER=HEURE.MAINTENANT.2),"",SUBSTITUTE(SUBSTITUTE(SUBSTITUTE(SUBSTITUTE(SUBSTITUTE(SUBSTITUTE(IF(DANS.COUPE.LIGUE.VERIFIER="#DEPASSE#",TABLEAU!$J$36,SUBSTITUTE([7]!PHRASE.REDUITE,"AAA",DANS.COUPE.LIGUE)),[7]!GGG,DANS.JOUR.LIGUE),"[(","[COUPE DE LA LIGUE= ("),CONCATENATE(LOOKUP(MONTH(JOUR.COUPE.LIGUE),MOIS)," A "),CONCATENATE(LOOKUP(MONTH(JOUR.COUPE.LIGUE),MOIS)," ",YEAR(JOUR.COUPE.LIGUE)," A ")),CONCATENATE(NBA," "),""),"(A ",CONCATENATE("(",DATE.RDV.TV," A ")),"#DEPASSE DEPUIS #DEPASSE DEPUIS","#DEPASSE DEPUIS")),CONCATENATE(TABLEAU!$E$36," A ")," A ")," A "," A "),"( A","(A"),"  A"," A"),"DEMAIN (",CONCATENATE("DEMAIN= ",DIF.LIGUE," ~ (")),"JOURS (",CONCATENATE("JOURS= ",DIF.LIGUE," ~ (")),"DEMAIN= #DEPASSE# ~","DEPASSE DEPUIS HIER"),CONCATENATE(DAY(JOUR.COUPE.LIGUE)," ",LOOKUP(MONTH(JOUR.COUPE.LIGUE),MOIS),"A "),CONCATENATE(DAY(JOUR.COUPE.LIGUE)," ",LOOKUP(MONTH(JOUR.COUPE.LIGUE),MOIS)," A ")),CONCATENATE(" ",MP),"")),"##","#"),"= #DEPASSE#",""),")]:","]"),UPPER("AAA"),DANS.COUPE.LIGUE),CONCATENATE(" ",YEAR(A)),""),"E-20","E 19-20"),"DANS DEMAIN","DEMAIN"))</f>
        <v>#DANS 45 JOURS= ''1.088H00'' ~ (MARDI 17 DECEMBRE A 21H00): [COUPE DE LA LIGUE 19-20= (MANQUE 16 EQUIPES)]#</v>
      </c>
      <c r="P36" s="740" t="str">
        <f ca="1">IF(TABLEAU!$A$33="COUPE DE LA LIGUE",TABLEAU!$B$33,IF(TABLEAU!$A$34="COUPE DE LA LIGUE",TABLEAU!$B$34,IF(TABLEAU!$A$35="COUPE DE LA LIGUE",TABLEAU!$B$35,IF(TABLEAU!$A$36="COUPE DE LA LIGUE",TABLEAU!$B$36,IF(TABLEAU!$A$37="COUPE DE LA LIGUE",TABLEAU!$B$37,IF(TABLEAU!$A$38="COUPE DE LA LIGUE",TABLEAU!$B$38,IF(TABLEAU!$A$39="COUPE DE LA LIGUE",TABLEAU!$B$39,IF(TABLEAU!$A$40="COUPE DE LA LIGUE",TABLEAU!$B$40,IF(TABLEAU!$A$41="COUPE DE LA LIGUE",TABLEAU!$B$41)))))))))</f>
        <v>#DANS 45 JOURS= ''1.088H00'' (MARDI 17 DECEMBRE A 21H00): [COUPE DE LA LIGUE 19-20= (MANQUE 16 EQUIPES)]#</v>
      </c>
      <c r="Q36" s="741"/>
      <c r="R36" s="742"/>
      <c r="S36" s="745" t="str">
        <f ca="1">SUBSTITUTE(IF(DANS.COUPE.LIGUE="#DEPASSE#",DANS.LIGUE.VERIFIER,CONCATENATE("DANS ",DIF.LIGUE)),"DANS #DEPASSE#","#DEPASSE#")</f>
        <v>DANS ''1.088H00''</v>
      </c>
      <c r="T36" s="905" t="str">
        <f ca="1">SUBSTITUTE(DANS.COUPE.LIGUE,"#DEPASSE","")</f>
        <v>DANS 45 JOURS= ''1.088H00'' ~</v>
      </c>
      <c r="U36" s="743" t="str">
        <f ca="1">UPPER(TRIM(SUBSTITUTE(SUBSTITUTE(SUBSTITUTE(SUBSTITUTE(SUBSTITUTE(SUBSTITUTE(SUBSTITUTE(SUBSTITUTE(SUBSTITUTE(SUBSTITUTE(SUBSTITUTE(SUBSTITUTE(SUBSTITUTE(SUBSTITUTE(SUBSTITUTE(SUBSTITUTE(TABLEAU!$AD$36,DANS.L1,""),DANS.CONFEDERATIONS,""),DANS.COUPE.FRANCE,""),DANS.COUPE.LIGUE,""),DANS.MONDIAL,""),DANS.GP,""),DANS.EURO,""),DANS.CHAMPIONS.LEAGUE,""),DANS.UEFA,""),"#",""),CONCATENATE("(A ",TABLEAU!$X$26,")="),""),CONCATENATE("(A ",TABLEAU!$X$27,")="),""),"L1","CHAMPIONNAT"),"(A ",CONCATENATE("(",DATE.RDV.TV," A ")),CONCATENATE(TABLEAU!$E$36," A ")," A "),"( A","(A")))</f>
        <v>(MARDI 17 DECEMBRE 2019 A 21H00): [COUPE DE LA LIGUE 19-20= (MANQUE 16 EQUIPES)]</v>
      </c>
      <c r="V36" s="744" t="str">
        <f ca="1">SUBSTITUTE(LIGUE.DEP,CONCATENATE(NBA," "),"")</f>
        <v/>
      </c>
      <c r="W36" s="717" t="str">
        <f ca="1">UPPER(SUBSTITUTE(SUBSTITUTE(TABLEAU!$I$36,"&gt;",""),"&lt;",""))</f>
        <v>#DANS 45 JOURS= ''1.088H00'' ~ (MARDI 17 DECEMBRE 2019 A 21H00): [COUPE DE LA LIGUE 19-20= (MANQUE 16 EQUIPES)]#</v>
      </c>
      <c r="X36" s="752" t="str">
        <f ca="1">UPPER(SUBSTITUTE(IF(TABLEAU!$D$36&lt;0,CONCATENATE("DEPASSE DEPUIS ",0-TABLEAU!$D$36," JOURS"),""),"DEPUIS 1 JOURS","DEPUIS HIER"))</f>
        <v/>
      </c>
      <c r="Y36" s="2008" t="str">
        <f ca="1">SUBSTITUTE(SUBSTITUTE(SUBSTITUTE(SUBSTITUTE(SUBSTITUTE(SUBSTITUTE(SUBSTITUTE(SUBSTITUTE(TABLEAU!$W$36,"&gt;DEMAIN",""),"&gt;DANS 2 JOURS",""),"&gt;DANS 3 JOURS",""),"&gt;DANS 4 JOURS",""),"&gt;DANS 5 JOURS",""),"&gt;DANS 6 JOURS",""),"&gt;DANS 1 SEMAINE",""),CONCATENATE("(A ",TABLEAU!$X$20,")="),"")</f>
        <v>#DANS 45 JOURS= ''1.088H00'' ~ (MARDI 17 DECEMBRE 2019 A 21H00): [COUPE DE LA LIGUE 19-20= (MANQUE 16 EQUIPES)]#</v>
      </c>
      <c r="Z36" s="1658"/>
      <c r="AA36" s="609" t="str">
        <f>TABLEAU!$I$22</f>
        <v>COUPE DE LA LIGUE</v>
      </c>
      <c r="AB36" s="723" t="str">
        <f ca="1">IF(DATE.LIGUE=0,"AUJOURD'HUI",IF(DATE.LIGUE&lt;0,"#DEPASSE#",CONCATENATE("DANS ",TABLEAU!$AQ$8)))</f>
        <v>DANS 45 JOURS</v>
      </c>
      <c r="AC36" s="1414" t="str">
        <f ca="1">UPPER(TRIM(IF(TABLEAU!$L$36="#DEPASSE#",CONCATENATE(TABLEAU!$A$36,":",TABLEAU!$T$36),TABLEAU!$A$36)))</f>
        <v>COUPE DE LA LIGUE</v>
      </c>
      <c r="AD36" s="742" t="str">
        <f ca="1">SUBSTITUTE(SUBSTITUTE(SUBSTITUTE(SUBSTITUTE(SUBSTITUTE(SUBSTITUTE(SUBSTITUTE(TABLEAU!$AF$36,CONCATENATE("(A ",TABLEAU!$X$19,")="),""),CONCATENATE("(A ",TABLEAU!$X$20,")="),""),CONCATENATE("(A ",TABLEAU!$X$21,")="),""),CONCATENATE("(A ",TABLEAU!$X$22,")="),""),CONCATENATE("(A ",TABLEAU!$X$23,")="),""),CONCATENATE("(A ",TABLEAU!$X$24,")="),""),CONCATENATE("(A ",TABLEAU!$X$25,")="),"")</f>
        <v>#DANS 45 JOURS= ''1.088H00'' ~ (MARDI 17 DECEMBRE 2019 A 21H00): [COUPE DE LA LIGUE 19-20= (MANQUE 16 EQUIPES)]#</v>
      </c>
      <c r="AE36" s="1415"/>
      <c r="AF36" s="63" t="str">
        <f ca="1">UPPER(TRIM(TABLEAU!$Y$36))</f>
        <v>#DANS 45 JOURS= ''1.088H00'' ~ (MARDI 17 DECEMBRE 2019 A 21H00): [COUPE DE LA LIGUE 19-20= (MANQUE 16 EQUIPES)]#</v>
      </c>
      <c r="AG36" s="60"/>
      <c r="AH36" s="850"/>
      <c r="AI36" s="1466" t="str">
        <f ca="1">IF(TABLEAU!$D$36&lt;&gt;0,"",TABLEAU!$M$36)</f>
        <v/>
      </c>
      <c r="AJ36" s="657"/>
      <c r="AK36" s="69"/>
      <c r="AL36" s="2188"/>
      <c r="AM36" s="756"/>
      <c r="AN36" s="1656" t="str">
        <f ca="1">TRIM(SUBSTITUTE(SUBSTITUTE(SUBSTITUTE(TABLEAU!$AC$62,"( ","("),TABLEAU!$AM$1,TABLEAU!$B$33),"##","# &amp; #"))</f>
        <v/>
      </c>
      <c r="AO36" s="1657"/>
      <c r="AP36" s="1657"/>
      <c r="AQ36" s="1657"/>
      <c r="AR36" s="1657"/>
      <c r="AS36" s="1657"/>
      <c r="AT36" s="1657"/>
      <c r="AU36" s="1657"/>
      <c r="AV36" s="1657"/>
      <c r="AW36" s="1657"/>
      <c r="AX36" s="1658"/>
      <c r="AY36" s="1162" t="str">
        <f ca="1">IF(DATE.GP&gt;0,"",IF(IF(MINUTE(HEURE.GP)&gt;9,CONCATENATE(HOUR(HEURE.GP),":",MINUTE(HEURE.GP)),CONCATENATE(HOUR(HEURE.GP),":0",MINUTE(HEURE.GP)))&gt;H.M,"",IF(HOUR(HEURE.GP)&gt;HOUR(HEURE.MAINTENANT),"",IF(HEURE.GP&gt;HEURE.MAINTENANT,"",HEURE.MAINTENANT-HEURE.GP))))</f>
        <v/>
      </c>
      <c r="AZ36" s="1528" t="str">
        <f ca="1">SUBSTITUTE(IF(TABLEAU!$AY$36="","",IF(AND(HOUR(TABLEAU!$AY$36)&gt;0,MINUTE(TABLEAU!$AY$36)&lt;10),CONCATENATE(" DEPUIS ",HOUR(TABLEAU!$AY$36),"H0",MINUTE(TABLEAU!$AY$36)),IF(AND(HOUR(TABLEAU!$AY$36)&gt;0,MINUTE(TABLEAU!$AY$36)&gt;9),CONCATENATE(" DEPUIS ",HOUR(TABLEAU!$AY$36),"H",MINUTE(TABLEAU!$AY$36)),CONCATENATE("DEPUIS"," 0",MINUTE(TABLEAU!$AY$36)," MIN"))))," 0"," ")</f>
        <v/>
      </c>
      <c r="BA36" s="1489"/>
    </row>
    <row r="37" spans="1:53" ht="24" customHeight="1">
      <c r="A37" s="462" t="s">
        <v>123</v>
      </c>
      <c r="B37" s="1539" t="str">
        <f ca="1">UPPER(TRIM(SUBSTITUTE(SUBSTITUTE(SUBSTITUTE(SUBSTITUTE(SUBSTITUTE(SUBSTITUTE(SUBSTITUTE(SUBSTITUTE(SUBSTITUTE(SUBSTITUTE(SUBSTITUTE(SUBSTITUTE(SUBSTITUTE(SUBSTITUTE(SUBSTITUTE(SUBSTITUTE(SUBSTITUTE(SUBSTITUTE(TRIM(TABLEAU!$J$37),CONCATENATE(NBA," "),""),"[(","("),": :",":"),"# (",CONCATENATE("#",DANS.COUPE.FRANCE," (")),"##","#"),CONCATENATE(" ",YEAR(A)," ")," "),"# [",CONCATENATE("#DATE A DETERMINER [")),"(A",CONCATENATE("(",LOOKUP(WEEKDAY(JOUR.COUPE.FRANCE),SEMAINE)," ",DAY(JOUR.COUPE.FRANCE)," ",LOOKUP(MONTH(JOUR.COUPE.FRANCE),MOIS)," ",YEAR(JOUR.COUPE.FRANCE)," A ")),AQW,""),CONCATENATE(TABLEAU!$E$37," A ")," A "),"( A","(A"),CONCATENATE(YEAR(A),"A"),CONCATENATE(YEAR(A)," A")),CONCATENATE(DANS.COUPE.FRANCE,"#",SUBSTITUTE(SUBSTITUTE(DANS.COUPE.FRANCE,DIF.FRANCE," ("),"JOURS=  (","JOURS (")),CONCATENATE("#",DANS.COUPE.FRANCE," (")),"DIA ","DI A "),"CHEA ","CHE A "),"'' (","'' ~ ("),CONCATENATE(CVB,YEAR(A)," "),""),"~ ("," (")))</f>
        <v>#DANS 94 JOURS= ''2.263H00'' (MARDI 4 FEVRIER 2020 A 20H00): [COUPE DE FRANCE 19-20= (MANQUE 16 EQUIPES)]#</v>
      </c>
      <c r="C37" s="62"/>
      <c r="D37" s="601">
        <f ca="1">DATE.FRANCE</f>
        <v>94</v>
      </c>
      <c r="E37" s="1467" t="str">
        <f ca="1">UPPER(SUBSTITUTE(TRIM(IF(TABLEAU!$D$37=0,DATE.RDV.TV,IF(TABLEAU!$D$37=-1,LOOKUP(A-TABLEAU!$D$37,CALENDRIER),IF(TABLEAU!$D$37&lt;1,LOOKUP(A-TABLEAU!$D$37,CALENDRIER),IF(OR(TABLEAU!$L$37="#DEPASSE#",TABLEAU!$D$37&lt;0),CONCATENATE("#DEPASSE ",TABLEAU!$AZ$37," [",TABLEAU!$A$37,"]#"),IF(TABLEAU!$D$37&gt;6,"",LOOKUP(WEEKDAY(A+TABLEAU!$D$37),CALENDRIER))))))),"#DEPASSE DEPUIS 0 JOURS",""))</f>
        <v/>
      </c>
      <c r="F37" s="656" t="str">
        <f ca="1">IF(AND(DATE.FRANCE=0,HEURE.FRANCE.VERIFIER=HEURE.MAINTENANT.2),HEURE.FRANCE.VERIFIER,IF(TABLEAU!$M$37="","",IF(TABLEAU!$L$37="TERMINE","",HEURE.FRANCE.VERIFIER)))</f>
        <v>20H00</v>
      </c>
      <c r="G37" s="541" t="str">
        <f ca="1">UPPER(TRIM(SUBSTITUTE(SUBSTITUTE(SUBSTITUTE(SUBSTITUTE(TABLEAU!$O$37,"##","#"),"(A ",CONCATENATE("(",LOOKUP(WEEKDAY(A+TABLEAU!$D$37),CALENDRIER)," ",DAY(JOUR.COUPE.FRANCE)," ",LOOKUP(MONTH(JOUR.COUPE.FRANCE),MOIS)," ",YEAR(JOUR.COUPE.FRANCE)," A ")),CONCATENATE(NBA," "),""),AN.4,"")))</f>
        <v>#DANS 94 JOURS= ''2.263H00'' ~ (MARDI 4 FEVRIER 2020 A 20H00): [COUPE DE FRANCE 19-20= (MANQUE 16 EQUIPES)]#</v>
      </c>
      <c r="H37" s="542" t="str">
        <f>CONCATENATE(DAY(JOUR.COUPE.FRANCE),"/",MONTH(JOUR.COUPE.FRANCE),"/",YEAR(JOUR.COUPE.FRANCE)," ",TEXT(HEURE.FRANCE,"[H]:MM"))</f>
        <v>4/2/2020 20:00</v>
      </c>
      <c r="I37" s="406" t="str">
        <f ca="1">UPPER(TRIM(SUBSTITUTE(SUBSTITUTE(SUBSTITUTE(SUBSTITUTE(SUBSTITUTE(IF(AND(DATE.FRANCE=0,HEURE.FRANCE.VERIFIER=HEURE.MAINTENANT.2),TABLEAU!$J$37,SUBSTITUTE(SUBSTITUTE(SUBSTITUTE(SUBSTITUTE(TABLEAU!$G$37,"##","#"),"#DEPUIS","#DEPASSE DEPUIS"),CONCATENATE("(",YEAR(A)," "),"("),CONCATENATE(LOOKUP(MONTH(JOUR.COUPE.FRANCE),MOIS)," A "),CONCATENATE(LOOKUP(MONTH(JOUR.COUPE.FRANCE),MOIS)," ",YEAR(JOUR.COUPE.FRANCE)," A "))),CONCATENATE(TABLEAU!$E$37," A ")," A "),"( A","(A"),"JOURS (",CONCATENATE("JOURS= ",DIF.FRANCE," (")),"DEMAIN (",CONCATENATE("DEMAIN= ",DIF.FRANCE," ~ (")),"'' (","'' ~ (")))</f>
        <v>#DANS 94 JOURS= ''2.263H00'' ~ (MARDI 4 FEVRIER 2020 A 20H00): [COUPE DE FRANCE 19-20= (MANQUE 16 EQUIPES)]#</v>
      </c>
      <c r="J37" s="407" t="str">
        <f ca="1">UPPER(TRIM(SUBSTITUTE(SUBSTITUTE(SUBSTITUTE(SUBSTITUTE(SUBSTITUTE(SUBSTITUTE(SUBSTITUTE(SUBSTITUTE(SUBSTITUTE(SUBSTITUTE(SUBSTITUTE(SUBSTITUTE(SUBSTITUTE(SUBSTITUTE(SUBSTITUTE(SUBSTITUTE(SUBSTITUTE(IF(AND(DATE.FRANCE=0,HEURE.FRANCE.VERIFIER=HEURE.MAINTENANT.2),CONCATENATE("#MAINTENANT (A ",HEURE.FRANCE.VERIFIER,"): [COUPE DE FRANCE]#"),SUBSTITUTE(SUBSTITUTE(IF(TABLEAU!$L$37="#DEPASSE#",FRANCE.DEP,TRIM(IF(TABLEAU!$D$37&lt;0,FRANCE.DEP,SUBSTITUTE(TABLEAU!$I$37,"&gt;(A",CONCATENATE(DANS.COUPE.FRANCE," (A"))))),CONCATENATE(LOOKUP(MONTH(JOUR.COUPE.FRANCE),MOIS)," A "),CONCATENATE(LOOKUP(MONTH(JOUR.COUPE.FRANCE),MOIS)," ",YEAR(JOUR.COUPE.FRANCE)," A ")),CONCATENATE(NBA," "),"")),CONCATENATE(DATE.RDV.TV," A "),"A "),"DEMAIN (",CONCATENATE("DEMAIN= ",DIF.FRANCE," (")),"JOURS (",CONCATENATE("JOURS= ",DIF.FRANCE," ~ (")),"'' (","'' ~ ("),"= #DEPASSE#","")," HIER ("," HIER ~ ("),"0 (","0 ~ ("),"1 (","1 ~ ("),"2 (","2 ~ ("),"3 (","3 ~ ("),"4 (","4 ~ ("),"5 (","5 ~ ("),"6 (","6 ~ ("),"7 (","7 ~ ("),"8 (","8 ~ ("),"9 (","9 ~ ("),"DANS DEMAIN","DEMAIN")))</f>
        <v>#DANS 94 JOURS= ''2.263H00'' ~ (MARDI 4 FEVRIER 2020 A 20H00): [COUPE DE FRANCE 19-20= (MANQUE 16 EQUIPES)]#</v>
      </c>
      <c r="K37" s="410"/>
      <c r="L37" s="408" t="str">
        <f ca="1">UPPER(IF(AND(DATE.FRANCE=0,HEURE.FRANCE.VERIFIER=HEURE.MAINTENANT.2),"",IF(DANS.COUPE.FRANCE.VERIFIER="#DEPASSE#",DANS.COUPE.FRANCE.VERIFIER,IF(TABLEAU!$D$37="","TERMINE",IF(TABLEAU!$D$37&lt;0,"A MODIFIER",IF(TABLEAU!$D$37=0,DANS.COUPE.FRANCE,IF(TABLEAU!$D$37=1,"DEMAIN",IF(TABLEAU!$D$37=7,"DANS 1 SEMAINE",IF(TABLEAU!$D$37&gt;1,CONCATENATE("DANS ",TABLEAU!$D$37," JOURS"))))))))))</f>
        <v>DANS 94 JOURS</v>
      </c>
      <c r="M37" s="777">
        <f>HEURE.FRANCE</f>
        <v>0.83333333333333337</v>
      </c>
      <c r="N37" s="841" t="str">
        <f ca="1">IF(TABLEAU!$O$37=DANS.GP,"¤¤¤",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O$37,"AAA","¤¤¤"),UPPER("A"),""),UPPER("B"),""),UPPER("C"),""),UPPER("D"),""),UPPER("E"),""),UPPER("F"),""),UPPER("G"),""),UPPER("H"),""),UPPER("I"),""),UPPER("J"),""),UPPER("K"),""),UPPER("L"),""),UPPER("M"),""),UPPER("N"),""),UPPER("O"),""),UPPER("P"),""),UPPER("Q"),""),UPPER("R"),""),UPPER("S"),""),UPPER("T"),""),UPPER("U"),""),UPPER("V"),""),UPPER("W"),""),UPPER("X"),""),UPPER("Y"),""),UPPER("Z"),""),"#",""),"'",""),"(",""),")",""),":",""),"[",""),"]",""),"-",""),"=",""),"/",""),"''",""),"~",""),".","")," ",""),0,""),1,""),2,""),3,""),4,""),5,""),6,""),7,""),8,""),9,""),"{",""),"°",""),"}",""),"+",""),"&amp;",""),",","")))</f>
        <v/>
      </c>
      <c r="O37" s="409" t="str">
        <f ca="1">UPPER(TRIM(SUBSTITUTE(SUBSTITUTE(SUBSTITUTE(SUBSTITUTE(SUBSTITUTE(SUBSTITUTE(SUBSTITUTE(SUBSTITUTE(SUBSTITUTE(SUBSTITUTE(SUBSTITUTE(SUBSTITUTE(SUBSTITUTE(SUBSTITUTE(SUBSTITUTE(SUBSTITUTE(SUBSTITUTE(SUBSTITUTE(SUBSTITUTE(IF(AND(DATE.FRANCE=0,HEURE.FRANCE.VERIFIER=HEURE.MAINTENANT.2),"",SUBSTITUTE(SUBSTITUTE(SUBSTITUTE(SUBSTITUTE(SUBSTITUTE(SUBSTITUTE(IF(DANS.COUPE.FRANCE.VERIFIER="#DEPASSE#",TABLEAU!$J$37,SUBSTITUTE([6]!PHRASE.REDUITE,"AAA",DANS.COUPE.FRANCE)),[6]!GGG,DANS.JOUR.FRANCE),"[(","[COUPE DE FRANCE= ("),CONCATENATE(LOOKUP(MONTH(JOUR.COUPE.FRANCE),MOIS)," A "),CONCATENATE(LOOKUP(MONTH(JOUR.COUPE.FRANCE),MOIS)," ",YEAR(JOUR.COUPE.FRANCE)," A ")),CONCATENATE(NBA," "),""),"(A ",CONCATENATE("(",DATE.RDV.TV," A ")),"#DEPASSE DEPUIS #DEPASSE DEPUIS","#DEPASSE DEPUIS")),CONCATENATE(TABLEAU!$E$37," A ")," A ")," A "," A "),"( A","(A"),"  A"," A"),"DEMAIN (",CONCATENATE("DEMAIN= ",DIF.FRANCE," ~ (")),"JOURS (",CONCATENATE("JOURS= ",DIF.FRANCE," ~ (")),"DEMAIN= #DEPASSE# ~","DEPASSE DEPUIS HIER"),")]#","]#"),"]",")]"),"))",")"),CONCATENATE(DAY(JOUR.COUPE.FRANCE)," ",LOOKUP(MONTH(JOUR.COUPE.FRANCE),MOIS),"A "),CONCATENATE(DAY(JOUR.COUPE.FRANCE)," ",LOOKUP(MONTH(JOUR.COUPE.FRANCE),MOIS)," A ")),CONCATENATE(" ",MP),""),")]#","]#"),")]:","]="),"EQUIPES]","EQUIPES)]"),UPPER("AAA"),DANS.COUPE.FRANCE),CONCATENATE(" ",YEAR(A)),""),"E-20","E 19-20"),"DANS DEMAIN","DEMAIN")))</f>
        <v>#DANS 94 JOURS= ''2.263H00'' ~ (MARDI 4 FEVRIER 2020 A 20H00): [COUPE DE FRANCE 19-20= (MANQUE 16 EQUIPES)]#</v>
      </c>
      <c r="P37" s="740" t="str">
        <f ca="1">IF(TABLEAU!$A$33="COUPE DE FRANCE",TABLEAU!$B$33,IF(TABLEAU!$A$34="COUPE DE FRANCE",TABLEAU!$B$34,IF(TABLEAU!$A$35="COUPE DE FRANCE",TABLEAU!$B$35,IF(TABLEAU!$A$36="COUPE DE FRANCE",TABLEAU!$B$36,IF(TABLEAU!$A$37="COUPE DE FRANCE",TABLEAU!$B$37,IF(TABLEAU!$A$38="COUPE DE FRANCE",TABLEAU!$B$38,IF(TABLEAU!$A$39="COUPE DE FRANCE",TABLEAU!$B$39,IF(TABLEAU!$A$40="COUPE DE FRANCE",TABLEAU!$B$40,IF(TABLEAU!$A$41="COUPE DE FRANCE",TABLEAU!$B$41)))))))))</f>
        <v>#DANS 94 JOURS= ''2.263H00'' (MARDI 4 FEVRIER 2020 A 20H00): [COUPE DE FRANCE 19-20= (MANQUE 16 EQUIPES)]#</v>
      </c>
      <c r="Q37" s="741"/>
      <c r="R37" s="742"/>
      <c r="S37" s="745" t="str">
        <f ca="1">SUBSTITUTE(IF(DANS.COUPE.FRANCE="#DEPASSE#",DANS.FRANCE.VERIFIER,CONCATENATE("DANS ",DIF.FRANCE)),"DANS #DEPASSE#","#DEPASSE#")</f>
        <v>DANS ''2.263H00''</v>
      </c>
      <c r="T37" s="905" t="str">
        <f ca="1">SUBSTITUTE(DANS.COUPE.FRANCE,"#DEPASSE","")</f>
        <v>DANS 94 JOURS= ''2.263H00'' ~</v>
      </c>
      <c r="U37" s="743" t="str">
        <f ca="1">UPPER(TRIM(SUBSTITUTE(SUBSTITUTE(SUBSTITUTE(SUBSTITUTE(SUBSTITUTE(SUBSTITUTE(SUBSTITUTE(SUBSTITUTE(SUBSTITUTE(SUBSTITUTE(SUBSTITUTE(SUBSTITUTE(SUBSTITUTE(SUBSTITUTE(SUBSTITUTE(SUBSTITUTE(TABLEAU!$AD$37,DANS.L1,""),DANS.CONFEDERATIONS,""),DANS.COUPE.FRANCE,""),DANS.COUPE.LIGUE,""),DANS.MONDIAL,""),DANS.GP,""),DANS.EURO,""),DANS.CHAMPIONS.LEAGUE,""),DANS.UEFA,""),"#",""),CONCATENATE("(A ",TABLEAU!$X$26,")="),""),CONCATENATE("(A ",TABLEAU!$X$27,")="),""),"L1","CHAMPIONNAT"),"(A ",CONCATENATE("(",DATE.RDV.TV," A ")),CONCATENATE(TABLEAU!$E$37," A ")," A "),"( A","(A")))</f>
        <v>(MARDI 4 FEVRIER 2020 A 20H00): [COUPE DE FRANCE 19-20= (MANQUE 16 EQUIPES)]</v>
      </c>
      <c r="V37" s="744" t="str">
        <f ca="1">SUBSTITUTE(FRANCE.DEP,CONCATENATE(NBA," "),"")</f>
        <v/>
      </c>
      <c r="W37" s="717" t="str">
        <f ca="1">UPPER(SUBSTITUTE(SUBSTITUTE(TABLEAU!$I$37,"&gt;",""),"&lt;",""))</f>
        <v>#DANS 94 JOURS= ''2.263H00'' ~ (MARDI 4 FEVRIER 2020 A 20H00): [COUPE DE FRANCE 19-20= (MANQUE 16 EQUIPES)]#</v>
      </c>
      <c r="X37" s="751" t="str">
        <f ca="1">UPPER(SUBSTITUTE(IF(TABLEAU!$D$37&lt;0,CONCATENATE("DEPASSE DEPUIS ",0-TABLEAU!$D$37," JOURS"),""),"DEPUIS 1 JOURS","DEPUIS HIER"))</f>
        <v/>
      </c>
      <c r="Y37" s="2008" t="str">
        <f ca="1">SUBSTITUTE(SUBSTITUTE(SUBSTITUTE(SUBSTITUTE(SUBSTITUTE(SUBSTITUTE(SUBSTITUTE(SUBSTITUTE(TABLEAU!$W$37,"&gt;DEMAIN",""),"&gt;DANS 2 JOURS",""),"&gt;DANS 3 JOURS",""),"&gt;DANS 4 JOURS",""),"&gt;DANS 5 JOURS",""),"&gt;DANS 6 JOURS",""),"&gt;DANS 1 SEMAINE",""),CONCATENATE("(A ",TABLEAU!$X$20,")="),"")</f>
        <v>#DANS 94 JOURS= ''2.263H00'' ~ (MARDI 4 FEVRIER 2020 A 20H00): [COUPE DE FRANCE 19-20= (MANQUE 16 EQUIPES)]#</v>
      </c>
      <c r="Z37" s="1658"/>
      <c r="AA37" s="609" t="str">
        <f>TABLEAU!$I$23</f>
        <v>EURO</v>
      </c>
      <c r="AB37" s="723" t="str">
        <f ca="1">IF(DATE.EURO=0,"AUJOURD'HUI",IF(DATE.EURO&lt;0,"#DEPASSE#",CONCATENATE("DANS ",TABLEAU!$AQ$12)))</f>
        <v>DANS 221 JOURS</v>
      </c>
      <c r="AC37" s="1414" t="str">
        <f ca="1">UPPER(TRIM(IF(TABLEAU!$L$37="#DEPASSE#",CONCATENATE(TABLEAU!$A$37,":",TABLEAU!$T$37),TABLEAU!$A$37)))</f>
        <v>COUPE DE FRANCE</v>
      </c>
      <c r="AD37" s="742" t="str">
        <f ca="1">SUBSTITUTE(SUBSTITUTE(SUBSTITUTE(SUBSTITUTE(SUBSTITUTE(SUBSTITUTE(SUBSTITUTE(TABLEAU!$AF$37,CONCATENATE("(A ",TABLEAU!$X$19,")="),""),CONCATENATE("(A ",TABLEAU!$X$20,")="),""),CONCATENATE("(A ",TABLEAU!$X$21,")="),""),CONCATENATE("(A ",TABLEAU!$X$22,")="),""),CONCATENATE("(A ",TABLEAU!$X$23,")="),""),CONCATENATE("(A ",TABLEAU!$X$24,")="),""),CONCATENATE("(A ",TABLEAU!$X$25,")="),"")</f>
        <v>#DANS 94 JOURS= ''2.263H00'' ~ (MARDI 4 FEVRIER 2020 A 20H00): [COUPE DE FRANCE 19-20= (MANQUE 16 EQUIPES)]#</v>
      </c>
      <c r="AE37" s="1415"/>
      <c r="AF37" s="63" t="str">
        <f ca="1">UPPER(TRIM(TABLEAU!$Y$37))</f>
        <v>#DANS 94 JOURS= ''2.263H00'' ~ (MARDI 4 FEVRIER 2020 A 20H00): [COUPE DE FRANCE 19-20= (MANQUE 16 EQUIPES)]#</v>
      </c>
      <c r="AG37" s="60"/>
      <c r="AH37" s="850"/>
      <c r="AI37" s="846" t="str">
        <f ca="1">IF(TABLEAU!$D$37&lt;&gt;0,"",TABLEAU!$M$37)</f>
        <v/>
      </c>
      <c r="AJ37" s="663"/>
      <c r="AK37" s="6"/>
      <c r="AL37" s="2188"/>
      <c r="AM37" s="755"/>
      <c r="AN37" s="1656"/>
      <c r="AO37" s="1657"/>
      <c r="AP37" s="1657"/>
      <c r="AQ37" s="1657"/>
      <c r="AR37" s="1657"/>
      <c r="AS37" s="1657"/>
      <c r="AT37" s="1657"/>
      <c r="AU37" s="1657"/>
      <c r="AV37" s="1657"/>
      <c r="AW37" s="1657"/>
      <c r="AX37" s="1658"/>
      <c r="AY37" s="1163" t="str">
        <f ca="1">IF(DATE.LIGUE&gt;0,"",IF(IF(MINUTE(HEURE.LIGUE)&gt;9,CONCATENATE(HOUR(HEURE.LIGUE),":",MINUTE(HEURE.LIGUE)),CONCATENATE(HOUR(HEURE.LIGUE),":0",MINUTE(HEURE.LIGUE)))&gt;H.M,"",IF(HOUR(HEURE.LIGUE)&gt;HOUR(HEURE.MAINTENANT),"",IF(HEURE.LIGUE&gt;HEURE.MAINTENANT,"",HEURE.MAINTENANT-HEURE.LIGUE))))</f>
        <v/>
      </c>
      <c r="AZ37" s="1528" t="str">
        <f ca="1">SUBSTITUTE(IF(TABLEAU!$AY$37="","",IF(AND(HOUR(TABLEAU!$AY$37)&gt;0,MINUTE(TABLEAU!$AY$37)&lt;10),CONCATENATE(" DEPUIS ",HOUR(TABLEAU!$AY$37),"H0",MINUTE(TABLEAU!$AY$37)),IF(AND(HOUR(TABLEAU!$AY$37)&gt;0,MINUTE(TABLEAU!$AY$37)&gt;9),CONCATENATE(" DEPUIS ",HOUR(TABLEAU!$AY$37),"H",MINUTE(TABLEAU!$AY$37)),CONCATENATE("DEPUIS"," 0",MINUTE(TABLEAU!$AY$37)," MIN"))))," 0"," ")</f>
        <v/>
      </c>
      <c r="BA37" s="1489"/>
    </row>
    <row r="38" spans="1:53" ht="24" customHeight="1">
      <c r="A38" s="462" t="s">
        <v>121</v>
      </c>
      <c r="B38" s="1539" t="str">
        <f ca="1">UPPER(TRIM(SUBSTITUTE(SUBSTITUTE(SUBSTITUTE(SUBSTITUTE(SUBSTITUTE(SUBSTITUTE(SUBSTITUTE(SUBSTITUTE(SUBSTITUTE(SUBSTITUTE(SUBSTITUTE(SUBSTITUTE(SUBSTITUTE(SUBSTITUTE(SUBSTITUTE(SUBSTITUTE(SUBSTITUTE(SUBSTITUTE(TRIM(TABLEAU!$J$38),CONCATENATE(NBA," "),""),"[(","("),": :",":"),"# (",CONCATENATE("#",DANS.UEFA," (")),"##","#"),CONCATENATE(" ",YEAR(A)," ")," "),"# [",CONCATENATE("#DATE A DETERMINER [")),"(A",CONCATENATE("(",LOOKUP(WEEKDAY(JOUR.UEFA),SEMAINE)," ",DAY(JOUR.UEFA)," ",LOOKUP(MONTH(JOUR.UEFA),MOIS)," ",YEAR(JOUR.UEFA)," A ")),AQW,""),CONCATENATE(TABLEAU!$E$38," A ")," A "),"( A","(A"),CONCATENATE(YEAR(A),"A"),CONCATENATE(YEAR(A)," A")),CONCATENATE(DANS.UEFA,"#",SUBSTITUTE(SUBSTITUTE(DANS.UEFA,DIF.UEFA," ("),"JOURS=  (","JOURS (")),CONCATENATE("#",DANS.UEFA," (")),"DIA ","DI A "),"CHEA ","CHE A "),"'' (","'' ~ ("),CONCATENATE(CVB,YEAR(A)," "),""),"~ ("," (")))</f>
        <v>#DANS 124 JOURS= ''2.981H55'' (JEUDI 5 MARS 2020 A 18H55): [UEFA= (MANQUE 16 EQUIPES)]#</v>
      </c>
      <c r="C38" s="62"/>
      <c r="D38" s="601">
        <f ca="1">DATE.UEFA</f>
        <v>124</v>
      </c>
      <c r="E38" s="1467" t="str">
        <f ca="1">UPPER(SUBSTITUTE(TRIM(IF(TABLEAU!$D$38=0,DATE.RDV.TV,IF(TABLEAU!$D$38=-1,LOOKUP(A-TABLEAU!$D$38,CALENDRIER),IF(TABLEAU!$D$38&lt;1,LOOKUP(A-TABLEAU!$D$38,CALENDRIER),IF(OR(TABLEAU!$L$38="#DEPASSE#",TABLEAU!$D$38&lt;0),CONCATENATE("#DEPASSE ",TABLEAU!$AZ$38," [",TABLEAU!$A$38,"]#"),IF(TABLEAU!$D$38&gt;6,"",LOOKUP(WEEKDAY(A+TABLEAU!$D$38),CALENDRIER))))))),"#DEPASSE DEPUIS 0 JOURS",""))</f>
        <v/>
      </c>
      <c r="F38" s="656" t="str">
        <f ca="1">IF(AND(DATE.UEFA=0,HEURE.UEFA.VERIFIER=HEURE.MAINTENANT.2),HEURE.UEFA.VERIFIER,IF(TABLEAU!$M$38="","",IF(TABLEAU!$L$38="TERMINE","",HEURE.UEFA.VERIFIER)))</f>
        <v>18H55</v>
      </c>
      <c r="G38" s="541" t="str">
        <f ca="1">TRIM(SUBSTITUTE(SUBSTITUTE(SUBSTITUTE(SUBSTITUTE(SUBSTITUTE(CONCATENATE(TABLEAU!$J$38),"] ]","]]"),"##","#"),"[]","[MANQUE PAYS]"),"(A ",CONCATENATE("(",LOOKUP(WEEKDAY(A+TABLEAU!$D$38),CALENDRIER)," ",DAY(JOUR.UEFA)," ",LOOKUP(MONTH(JOUR.UEFA),MOIS)," ",YEAR(JOUR.UEFA)," A ")),CVB,""))</f>
        <v>#DANS 124 JOURS= ''2.981H55'' ~ (JEUDI 5 MARS 2020 A 18H55): [UEFA= (MANQUE 16 EQUIPES)]#</v>
      </c>
      <c r="H38" s="542" t="str">
        <f>CONCATENATE(DAY(JOUR.UEFA),"/",MONTH(JOUR.UEFA),"/",YEAR(JOUR.UEFA)," ",TEXT(HEURE.UEFA,"[H]:MM"))</f>
        <v>5/3/2020 18:55</v>
      </c>
      <c r="I38" s="406" t="str">
        <f ca="1">UPPER(TRIM(SUBSTITUTE(SUBSTITUTE(SUBSTITUTE(SUBSTITUTE(SUBSTITUTE(SUBSTITUTE(SUBSTITUTE(IF(AND(DATE.UEFA=0,HEURE.UEFA.VERIFIER=HEURE.MAINTENANT.2),TABLEAU!$J$38,SUBSTITUTE(SUBSTITUTE(SUBSTITUTE(SUBSTITUTE(TABLEAU!$G$38,"##","#"),"#DEPUIS","#DEPASSE DEPUIS"),CONCATENATE("(",YEAR(A)," "),"("),CONCATENATE(LOOKUP(MONTH(JOUR.UEFA),MOIS)," A "),CONCATENATE(LOOKUP(MONTH(JOUR.UEFA),MOIS)," ",YEAR(JOUR.UEFA)," A "))),CONCATENATE(TABLEAU!$E$38," A ")," A "),"A "," A "),"( A","(A"),"JOURS (",CONCATENATE("JOURS= ",DIF.UEFA," (")),"DEMAIN (",CONCATENATE("DEMAIN= ",DIF.UEFA," ~ (")),"'' (","'' ~ ("),"UEF A","UEFA")))</f>
        <v>#DANS 124 JOURS= ''2.981H55'' ~ (JEUDI 5 MARS 2020 A 18H55): [UEFA= (MANQUE 16 EQUIPES)]#</v>
      </c>
      <c r="J38" s="407" t="str">
        <f ca="1">UPPER(TRIM(SUBSTITUTE(SUBSTITUTE(SUBSTITUTE(SUBSTITUTE(SUBSTITUTE(SUBSTITUTE(SUBSTITUTE(SUBSTITUTE(SUBSTITUTE(SUBSTITUTE(SUBSTITUTE(SUBSTITUTE(SUBSTITUTE(SUBSTITUTE(SUBSTITUTE(SUBSTITUTE(SUBSTITUTE(IF(AND(DATE.UEFA=0,HEURE.UEFA.VERIFIER=HEURE.MAINTENANT.2),CONCATENATE("#MAINTENANT (A ",HEURE.UEFA.VERIFIER,"): [UEFA]#"),SUBSTITUTE(SUBSTITUTE(SUBSTITUTE(IF(TABLEAU!$D$38&lt;0,UEFA.DEP,SUBSTITUTE(TABLEAU!$O$38,"&gt;(A",CONCATENATE(DANS.UEFA," (A"))),CONCATENATE(NBA," "),""),CONCATENATE(LOOKUP(MONTH(JOUR.UEFA),MOIS)," A "),CONCATENATE(LOOKUP(MONTH(JOUR.UEFA),MOIS)," ",YEAR(JOUR.UEFA)," A ")),CONCATENATE(NBA," "),"")),CONCATENATE(DATE.RDV.TV," A "),"A "),"DEMAIN (",CONCATENATE("DEMAIN= ",DIF.UEFA," (")),"JOURS (",CONCATENATE("JOURS= ",DIF.UEFA," ~ (")),"'' (","'' ~ ("),"= #DEPASSE#","")," HIER ("," HIER ~ ("),"0 (","0 ~ ("),"1 (","1 ~ ("),"2 (","2 ~ ("),"3 (","3 ~ ("),"4 (","4 ~ ("),"5 (","5 ~ ("),"6 (","6 ~ ("),"7 (","7 ~ ("),"8 (","8 ~ ("),"9 (","9 ~ ("),"DANS DEMAIN","DEMAIN")))</f>
        <v>#DANS 124 JOURS= ''2.981H55'' ~ (JEUDI 5 MARS 2020 A 18H55): [UEFA= (MANQUE 16 EQUIPES)]#</v>
      </c>
      <c r="K38" s="410"/>
      <c r="L38" s="408" t="str">
        <f ca="1">UPPER(IF(AND(DATE.UEFA=0,HEURE.UEFA.VERIFIER=HEURE.MAINTENANT.2),"",IF(DANS.UEFA.VERIFIER="#DEPASSE#",DANS.UEFA.VERIFIER,IF(TABLEAU!$D$38="","TERMINE",IF(TABLEAU!$D$38&lt;0,"A MODIFIER",IF(TABLEAU!$D$38=0,DANS.UEFA,IF(TABLEAU!$D$38=1,"DEMAIN",IF(TABLEAU!$D$38=7,"DANS 1 SEMAINE",IF(TABLEAU!$D$38&gt;1,CONCATENATE("DANS ",TABLEAU!$D$38," JOURS"))))))))))</f>
        <v>DANS 124 JOURS</v>
      </c>
      <c r="M38" s="777">
        <f>HEURE.UEFA</f>
        <v>0.78819444444444453</v>
      </c>
      <c r="N38" s="841" t="str">
        <f ca="1">IF(TABLEAU!$O$38=DANS.GP,"¤¤¤",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O$38,"AAA","¤¤¤"),UPPER("A"),""),UPPER("B"),""),UPPER("C"),""),UPPER("D"),""),UPPER("E"),""),UPPER("F"),""),UPPER("G"),""),UPPER("H"),""),UPPER("I"),""),UPPER("J"),""),UPPER("K"),""),UPPER("L"),""),UPPER("M"),""),UPPER("N"),""),UPPER("O"),""),UPPER("P"),""),UPPER("Q"),""),UPPER("R"),""),UPPER("S"),""),UPPER("T"),""),UPPER("U"),""),UPPER("V"),""),UPPER("W"),""),UPPER("X"),""),UPPER("Y"),""),UPPER("Z"),""),"#",""),"'",""),"(",""),")",""),":",""),"[",""),"]",""),"-",""),"=",""),"/",""),"''",""),"~",""),".","")," ",""),0,""),1,""),2,""),3,""),4,""),5,""),6,""),7,""),8,""),9,""),"{",""),"°",""),"}",""),"+",""),"&amp;",""),",","")))</f>
        <v/>
      </c>
      <c r="O38" s="409" t="str">
        <f ca="1">UPPER(TRIM(SUBSTITUTE(SUBSTITUTE(SUBSTITUTE(SUBSTITUTE(SUBSTITUTE(SUBSTITUTE(SUBSTITUTE(SUBSTITUTE(SUBSTITUTE(SUBSTITUTE(SUBSTITUTE(SUBSTITUTE(SUBSTITUTE(SUBSTITUTE(SUBSTITUTE(SUBSTITUTE(SUBSTITUTE(SUBSTITUTE(IF(AND(DATE.UEFA=0,HEURE.UEFA.VERIFIER=HEURE.MAINTENANT.2),"",SUBSTITUTE(SUBSTITUTE(SUBSTITUTE(SUBSTITUTE(SUBSTITUTE(SUBSTITUTE(SUBSTITUTE(CONCATENATE("#",[5]!PHRASE.REDUITE),"AAA",DANS.UEFA),[5]!GGG,CONCATENATE("#",DANS.JOUR.UEFA," ")),CONCATENATE(LOOKUP(MONTH(JOUR.UEFA),MOIS)," A "),CONCATENATE(LOOKUP(MONTH(JOUR.UEFA),MOIS)," ",YEAR(JOUR.UEFA)," A ")),"##","#"),CONCATENATE(NBA," "),""),"(A ",CONCATENATE("(",DATE.RDV.TV," A ")),"#DEPASSE DEPUIS #DEPASSE DEPUIS","#DEPASSE DEPUIS")),"##","#"),CONCATENATE(TABLEAU!$E$38," A ")," A ")," A "," A "),"( A","(A"),"  A"," A"),"DEMAIN (",CONCATENATE("DEMAIN= ",DIF.UEFA," ~ (")),"JOURS (",CONCATENATE("JOURS= ",DIF.UEFA," ~ (")),"DEMAIN= #DEPASSE# ~","DEPASSE DEPUIS HIER"),"= #DEPASSE#",DEP.UEFA),"]# =#(EN 1/8): ",""),"]# =#(EN 1/4): ",""),"]# =#(EN 1/2): ",""),"]# =#(EN FINALE): ",""),CONCATENATE(DAY(JOUR.UEFA)," ",LOOKUP(MONTH(JOUR.UEFA),MOIS),"A "),CONCATENATE(DAY(JOUR.UEFA)," ",LOOKUP(MONTH(JOUR.UEFA),MOIS)," A ")),UPPER("AAA"),DANS.UEFA),AN.4,""),CONCATENATE(" ",YEAR(A)),""),"DANS DEMAIN","DEMAIN")))</f>
        <v>#DANS 124 JOURS= ''2.981H55'' ~ (JEUDI 5 MARS 2020 A 18H55): [UEFA= (MANQUE 16 EQUIPES)]#</v>
      </c>
      <c r="P38" s="740" t="str">
        <f ca="1">IF(TABLEAU!$A$33="UEFA",TABLEAU!$B$33,IF(TABLEAU!$A$34="UEFA",TABLEAU!$B$34,IF(TABLEAU!$A$35="UEFA",TABLEAU!$B$35,IF(TABLEAU!$A$36="UEFA",TABLEAU!$B$36,IF(TABLEAU!$A$37="UEFA",TABLEAU!$B$37,IF(TABLEAU!$A$38="UEFA",TABLEAU!$B$38,IF(TABLEAU!$A$39="UEFA",TABLEAU!$B$39,IF(TABLEAU!$A$40="UEFA",TABLEAU!$B$40,IF(TABLEAU!$A$41="UEFA",TABLEAU!$B$41)))))))))</f>
        <v>#DANS 124 JOURS= ''2.981H55'' (JEUDI 5 MARS 2020 A 18H55): [UEFA= (MANQUE 16 EQUIPES)]#</v>
      </c>
      <c r="Q38" s="741"/>
      <c r="R38" s="742"/>
      <c r="S38" s="745" t="str">
        <f ca="1">SUBSTITUTE(IF(DANS.UEFA="#DEPASSE#",DANS.UEFA.VERIFIER,CONCATENATE("DANS ",DIF.UEFA)),"DANS #DEPASSE#","#DEPASSE#")</f>
        <v>DANS ''2.981H55''</v>
      </c>
      <c r="T38" s="905" t="str">
        <f ca="1">SUBSTITUTE(DANS.UEFA,"#DEPASSE","")</f>
        <v>DANS 124 JOURS= ''2.981H55'' ~</v>
      </c>
      <c r="U38" s="743" t="str">
        <f ca="1">UPPER(TRIM(SUBSTITUTE(SUBSTITUTE(SUBSTITUTE(SUBSTITUTE(SUBSTITUTE(SUBSTITUTE(SUBSTITUTE(SUBSTITUTE(SUBSTITUTE(SUBSTITUTE(SUBSTITUTE(SUBSTITUTE(SUBSTITUTE(SUBSTITUTE(SUBSTITUTE(SUBSTITUTE(TABLEAU!$AD$38,DANS.L1,""),DANS.CONFEDERATIONS,""),DANS.COUPE.FRANCE,""),DANS.COUPE.LIGUE,""),DANS.MONDIAL,""),DANS.GP,""),DANS.EURO,""),DANS.CHAMPIONS.LEAGUE,""),DANS.UEFA,""),"#",""),CONCATENATE("(A ",TABLEAU!$X$26,")="),""),CONCATENATE("(A ",TABLEAU!$X$27,")="),""),"L1","CHAMPIONNAT"),"(A ",CONCATENATE("(",DATE.RDV.TV," A ")),CONCATENATE(TABLEAU!$E$38," A ")," A "),"( A","(A")))</f>
        <v>(JEUDI 5 MARS 2020 A 18H55): [UEFA= (MANQUE 16 EQUIPES)]</v>
      </c>
      <c r="V38" s="744" t="str">
        <f ca="1">SUBSTITUTE(UEFA.DEP,CONCATENATE(NBA," "),"")</f>
        <v/>
      </c>
      <c r="W38" s="717" t="str">
        <f ca="1">UPPER(SUBSTITUTE(SUBSTITUTE(TABLEAU!$I$38,"&gt;",""),"&lt;",""))</f>
        <v>#DANS 124 JOURS= ''2.981H55'' ~ (JEUDI 5 MARS 2020 A 18H55): [UEFA= (MANQUE 16 EQUIPES)]#</v>
      </c>
      <c r="X38" s="752" t="str">
        <f ca="1">UPPER(SUBSTITUTE(IF(TABLEAU!$D$38&lt;0,CONCATENATE("DEPASSE DEPUIS ",0-TABLEAU!$D$38," JOURS"),""),"DEPUIS 1 JOURS","DEPUIS HIER"))</f>
        <v/>
      </c>
      <c r="Y38" s="2008" t="str">
        <f ca="1">SUBSTITUTE(SUBSTITUTE(SUBSTITUTE(SUBSTITUTE(SUBSTITUTE(SUBSTITUTE(SUBSTITUTE(SUBSTITUTE(TABLEAU!$W$38,"&gt;DEMAIN",""),"&gt;DANS 2 JOURS",""),"&gt;DANS 3 JOURS",""),"&gt;DANS 4 JOURS",""),"&gt;DANS 5 JOURS",""),"&gt;DANS 6 JOURS",""),"&gt;DANS 1 SEMAINE",""),CONCATENATE("(A ",TABLEAU!$X$20,")="),"")</f>
        <v>#DANS 124 JOURS= ''2.981H55'' ~ (JEUDI 5 MARS 2020 A 18H55): [UEFA= (MANQUE 16 EQUIPES)]#</v>
      </c>
      <c r="Z38" s="1658"/>
      <c r="AA38" s="609" t="str">
        <f>TABLEAU!$I$24</f>
        <v>FORMULE 1</v>
      </c>
      <c r="AB38" s="723" t="str">
        <f ca="1">IF(DATE.GP=0,"AUJOURD'HUI",IF(DATE.GP&lt;0,"#DEPASSE#",CONCATENATE("DANS ",TABLEAU!$AQ$7)))</f>
        <v>DANS DEMAIN</v>
      </c>
      <c r="AC38" s="1414" t="str">
        <f ca="1">UPPER(TRIM(IF(TABLEAU!$L$38="#DEPASSE#",CONCATENATE(TABLEAU!$A$38,":",TABLEAU!$T$38),TABLEAU!$A$38)))</f>
        <v>UEFA</v>
      </c>
      <c r="AD38" s="742" t="str">
        <f ca="1">SUBSTITUTE(SUBSTITUTE(SUBSTITUTE(SUBSTITUTE(SUBSTITUTE(SUBSTITUTE(SUBSTITUTE(TABLEAU!$AF$38,CONCATENATE("(A ",TABLEAU!$X$19,")="),""),CONCATENATE("(A ",TABLEAU!$X$20,")="),""),CONCATENATE("(A ",TABLEAU!$X$21,")="),""),CONCATENATE("(A ",TABLEAU!$X$22,")="),""),CONCATENATE("(A ",TABLEAU!$X$23,")="),""),CONCATENATE("(A ",TABLEAU!$X$24,")="),""),CONCATENATE("(A ",TABLEAU!$X$25,")="),"")</f>
        <v>#DANS 124 JOURS= ''2.981H55'' ~ (JEUDI 5 MARS 2020 A 18H55): [UEFA= (MANQUE 16 EQUIPES)]#</v>
      </c>
      <c r="AE38" s="1415"/>
      <c r="AF38" s="63" t="str">
        <f ca="1">UPPER(TRIM(TABLEAU!$Y$38))</f>
        <v>#DANS 124 JOURS= ''2.981H55'' ~ (JEUDI 5 MARS 2020 A 18H55): [UEFA= (MANQUE 16 EQUIPES)]#</v>
      </c>
      <c r="AG38" s="60"/>
      <c r="AH38" s="850"/>
      <c r="AI38" s="1466" t="str">
        <f ca="1">IF(TABLEAU!$D$38&lt;&gt;0,"",TABLEAU!$M$38)</f>
        <v/>
      </c>
      <c r="AJ38" s="657"/>
      <c r="AK38" s="69"/>
      <c r="AL38" s="2188"/>
      <c r="AM38" s="754"/>
      <c r="AN38" s="1858" t="str">
        <f ca="1">TRIM(SUBSTITUTE(SUBSTITUTE(SUBSTITUTE(TABLEAU!$AC$66,"( ","("),TABLEAU!$AM$1,TABLEAU!$B$33),"##","# &amp; #"))</f>
        <v/>
      </c>
      <c r="AO38" s="1859"/>
      <c r="AP38" s="1859"/>
      <c r="AQ38" s="1859"/>
      <c r="AR38" s="1859"/>
      <c r="AS38" s="1859"/>
      <c r="AT38" s="1859"/>
      <c r="AU38" s="1859"/>
      <c r="AV38" s="1859"/>
      <c r="AW38" s="1859"/>
      <c r="AX38" s="1860"/>
      <c r="AY38" s="1162" t="str">
        <f ca="1">IF(DATE.FRANCE&gt;0,"",IF(IF(MINUTE(HEURE.FRANCE)&gt;9,CONCATENATE(HOUR(HEURE.FRANCE),":",MINUTE(HEURE.FRANCE)),CONCATENATE(HOUR(HEURE.FRANCE),":0",MINUTE(HEURE.FRANCE)))&gt;H.M,"",IF(HOUR(HEURE.FRANCE)&gt;HOUR(HEURE.MAINTENANT),"",IF(HEURE.FRANCE&gt;HEURE.MAINTENANT,"",HEURE.MAINTENANT-HEURE.FRANCE))))</f>
        <v/>
      </c>
      <c r="AZ38" s="1528" t="str">
        <f ca="1">SUBSTITUTE(IF(TABLEAU!$AY$38="","",IF(AND(HOUR(TABLEAU!$AY$38)&gt;0,MINUTE(TABLEAU!$AY$38)&lt;10),CONCATENATE(" DEPUIS ",HOUR(TABLEAU!$AY$38),"H0",MINUTE(TABLEAU!$AY$38)),IF(AND(HOUR(TABLEAU!$AY$38)&gt;0,MINUTE(TABLEAU!$AY$38)&gt;9),CONCATENATE(" DEPUIS ",HOUR(TABLEAU!$AY$38),"H",MINUTE(TABLEAU!$AY$38)),CONCATENATE("DEPUIS"," 0",MINUTE(TABLEAU!$AY$38)," MIN"))))," 0"," ")</f>
        <v/>
      </c>
      <c r="BA38" s="1489"/>
    </row>
    <row r="39" spans="1:53" ht="24" customHeight="1">
      <c r="A39" s="462" t="s">
        <v>113</v>
      </c>
      <c r="B39" s="1539" t="str">
        <f ca="1">UPPER(TRIM(SUBSTITUTE(SUBSTITUTE(SUBSTITUTE(SUBSTITUTE(SUBSTITUTE(SUBSTITUTE(SUBSTITUTE(SUBSTITUTE(SUBSTITUTE(SUBSTITUTE(SUBSTITUTE(SUBSTITUTE(SUBSTITUTE(SUBSTITUTE(SUBSTITUTE(SUBSTITUTE(SUBSTITUTE(SUBSTITUTE(TRIM(TABLEAU!$J$39),CONCATENATE(NBA," "),""),"[(","("),": :",":"),"# (",CONCATENATE("#",DANS.EURO," (")),"##","#"),CONCATENATE(" ",YEAR(A)," ")," "),"# [",CONCATENATE("#DATE A DETERMINER [")),"(A",CONCATENATE("(",LOOKUP(WEEKDAY(JOUR.EURO),SEMAINE)," ",DAY(JOUR.EURO)," ",LOOKUP(MONTH(JOUR.EURO),MOIS)," ",YEAR(JOUR.EURO)," A ")),AQW,""),CONCATENATE(TABLEAU!$E$39," A ")," A "),"( A","(A"),CONCATENATE(YEAR(A),"A"),CONCATENATE(YEAR(A)," A")),CONCATENATE(DANS.EURO,"#",SUBSTITUTE(SUBSTITUTE(DANS.EURO,DIF.EURO," ("),"JOURS=  (","JOURS (")),CONCATENATE("#",DANS.EURO," (")),"DIA ","DI A "),"CHEA ","CHE A "),"'' (","'' ~ ("),CONCATENATE(CVB,YEAR(A)," "),""),"~ ("," (")))</f>
        <v>#DANS 221 JOURS= ''5.312H00'' (MERCREDI 10 JUIN 2020 A 21H00): [EURO 2020= (MANQUE 24 PAYS)]#</v>
      </c>
      <c r="C39" s="62"/>
      <c r="D39" s="601">
        <f ca="1">DATE.EURO</f>
        <v>221</v>
      </c>
      <c r="E39" s="1467" t="str">
        <f ca="1">UPPER(SUBSTITUTE(TRIM(IF(TABLEAU!$D$39=0,DATE.RDV.TV,IF(TABLEAU!$D$39=-1,LOOKUP(A-TABLEAU!$D$39,CALENDRIER),IF(TABLEAU!$D$39&lt;1,LOOKUP(A-TABLEAU!$D$39,CALENDRIER),IF(OR(TABLEAU!$L$39="#DEPASSE#",TABLEAU!$D$39&lt;0),CONCATENATE("#DEPASSE ",TABLEAU!$AZ$39," [",TABLEAU!$A$39,"]#"),IF(TABLEAU!$D$39&gt;6,"",LOOKUP(WEEKDAY(A+TABLEAU!$D$39),CALENDRIER))))))),"#DEPASSE DEPUIS 0 JOURS",""))</f>
        <v/>
      </c>
      <c r="F39" s="656" t="str">
        <f ca="1">IF(AND(DATE.EURO=0,HEURE.EURO.VERIFIER=HEURE.MAINTENANT.2),HEURE.EURO.VERIFIER,IF(TABLEAU!$M$39="","",IF(TABLEAU!$L$39="TERMINE","",HEURE.EURO.VERIFIER)))</f>
        <v>21H00</v>
      </c>
      <c r="G39" s="541" t="str">
        <f ca="1">IF(OR(TABLEAU!$L$39="TERMINE",TABLEAU!$L$39="#DEPASSE#"),TABLEAU!$O$39,TABLEAU!$O$39)</f>
        <v>#DANS 221 JOURS= ''5.312H00'' ~ (MERCREDI 10 JUIN 2020 A 21H00): [EURO 2020= (MANQUE 24 PAYS)]#</v>
      </c>
      <c r="H39" s="542" t="str">
        <f>CONCATENATE(DAY(JOUR.EURO),"/",MONTH(JOUR.EURO),"/",YEAR(JOUR.EURO)," ",TEXT(HEURE.EURO,"[H]:MM"))</f>
        <v>10/6/2020 21:00</v>
      </c>
      <c r="I39" s="406" t="str">
        <f ca="1">UPPER(TRIM(SUBSTITUTE(SUBSTITUTE(SUBSTITUTE(SUBSTITUTE(SUBSTITUTE(SUBSTITUTE(IF(AND(DATE.EURO=0,HEURE.EURO.VERIFIER=HEURE.MAINTENANT.2),TABLEAU!$J$39,SUBSTITUTE(SUBSTITUTE(SUBSTITUTE(SUBSTITUTE(TABLEAU!$G$39,"##","#"),"#DEPUIS","#DEPASSE DEPUIS"),CONCATENATE("(",YEAR(A)," "),"("),CONCATENATE(LOOKUP(MONTH(JOUR.EURO),MOIS)," A "),CONCATENATE(LOOKUP(MONTH(JOUR.EURO),MOIS)," ",YEAR(JOUR.EURO)," A "))),CONCATENATE(TABLEAU!$E$39," A ")," A "),"A "," A "),"( A","(A"),"JOURS (",CONCATENATE("JOURS= ",DIF.EURO," (")),"DEMAIN (",CONCATENATE("DEMAIN= ",DIF.EURO," ~ (")),"'' (","'' ~ (")))</f>
        <v>#DANS 221 JOURS= ''5.312H00'' ~ (MERCREDI 10 JUIN 2020 A 21H00): [EURO 2020= (MANQUE 24 PAYS)]#</v>
      </c>
      <c r="J39" s="407" t="str">
        <f ca="1">UPPER(TRIM(SUBSTITUTE(SUBSTITUTE(SUBSTITUTE(SUBSTITUTE(SUBSTITUTE(SUBSTITUTE(SUBSTITUTE(SUBSTITUTE(SUBSTITUTE(SUBSTITUTE(SUBSTITUTE(SUBSTITUTE(SUBSTITUTE(SUBSTITUTE(SUBSTITUTE(SUBSTITUTE(SUBSTITUTE(IF(AND(DATE.EURO=0,HEURE.EURO.VERIFIER=HEURE.MAINTENANT.2),CONCATENATE("#MAINTENANT (A ",HEURE.EURO.VERIFIER,"): [EURO]#"),SUBSTITUTE(SUBSTITUTE(SUBSTITUTE(SUBSTITUTE(IF(TABLEAU!$D$39&lt;0,EURO.DEP,TABLEAU!$O$39),"##","#"),"#[DATE","= [DATE"),CONCATENATE(LOOKUP(MONTH(JOUR.EURO),MOIS)," A "),CONCATENATE(LOOKUP(MONTH(JOUR.EURO),MOIS)," ",YEAR(JOUR.EURO)," A ")),CONCATENATE(NBA," "),"")),CONCATENATE(DATE.RDV.TV," A "),"A "),"DEMAIN (",CONCATENATE("DEMAIN= ",DIF.EURO," (")),"JOURS (",CONCATENATE("JOURS= ",DIF.EURO," ~ (")),"'' (","'' ~ ("),"= #DEPASSE#","")," HIER ("," HIER ~ ("),"0 (","0 ~ ("),"1 (","1 ~ ("),"2 (","2 ~ ("),"3 (","3 ~ ("),"4 (","4 ~ ("),"5 (","5 ~ ("),"6 (","6 ~ ("),"7 (","7 ~ ("),"8 (","8 ~ ("),"9 (","9 ~ ("),"DANS DEMAIN","DEMAIN")))</f>
        <v>#DANS 221 JOURS= ''5.312H00'' ~ (MERCREDI 10 JUIN 2020 A 21H00): [EURO 2020= (MANQUE 24 PAYS)]#</v>
      </c>
      <c r="K39" s="410"/>
      <c r="L39" s="408" t="str">
        <f ca="1">UPPER(IF(AND(DATE.EURO=0,HEURE.EURO.VERIFIER=HEURE.MAINTENANT.2),"",IF(DANS.EURO.VERIFIER="#DEPASSE#",DANS.EURO.VERIFIER,IF(TABLEAU!$D$39="","TERMINE",IF(TABLEAU!$D$39&lt;0,"A MODIFIER",IF(TABLEAU!$D$39=0,DANS.EURO,IF(TABLEAU!$D$39=1,"DEMAIN",IF(TABLEAU!$D$39=7,"DANS 1 SEMAINE",IF(TABLEAU!$D$39&gt;1,CONCATENATE("DANS ",TABLEAU!$D$39," JOURS"))))))))))</f>
        <v>DANS 221 JOURS</v>
      </c>
      <c r="M39" s="777" t="str">
        <f>HEURE.EURO</f>
        <v>21:00</v>
      </c>
      <c r="N39" s="841" t="str">
        <f ca="1">IF(TABLEAU!$O$39=DANS.GP,"¤¤¤",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O$39,"AAA","¤¤¤"),UPPER("A"),""),UPPER("B"),""),UPPER("C"),""),UPPER("D"),""),UPPER("E"),""),UPPER("F"),""),UPPER("G"),""),UPPER("H"),""),UPPER("I"),""),UPPER("J"),""),UPPER("K"),""),UPPER("L"),""),UPPER("M"),""),UPPER("N"),""),UPPER("O"),""),UPPER("P"),""),UPPER("Q"),""),UPPER("R"),""),UPPER("S"),""),UPPER("T"),""),UPPER("U"),""),UPPER("V"),""),UPPER("W"),""),UPPER("X"),""),UPPER("Y"),""),UPPER("Z"),""),"#",""),"'",""),"(",""),")",""),":",""),"[",""),"]",""),"-",""),"=",""),"/",""),"''",""),"~",""),".","")," ",""),0,""),1,""),2,""),3,""),4,""),5,""),6,""),7,""),8,""),9,""),"{",""),"°",""),"}",""),"+",""),"&amp;",""),",","")))</f>
        <v/>
      </c>
      <c r="O39" s="409" t="str">
        <f ca="1">UPPER(TRIM(SUBSTITUTE(SUBSTITUTE(SUBSTITUTE(SUBSTITUTE(SUBSTITUTE(SUBSTITUTE(SUBSTITUTE(SUBSTITUTE(SUBSTITUTE(SUBSTITUTE(SUBSTITUTE(IF(AND(DATE.EURO=0,HEURE.EURO.VERIFIER=HEURE.MAINTENANT.2),"",SUBSTITUTE(SUBSTITUTE(SUBSTITUTE(SUBSTITUTE(SUBSTITUTE(IF(TABLEAU!$L$39="#DEPASSE#",SUBSTITUTE([9]!PHRASE.REDUITE,"AAA",DANS.EURO),SUBSTITUTE(SUBSTITUTE(SUBSTITUTE([9]!PHRASE.REDUITE,"AAA",DANS.EURO),"&gt;","#"),"&lt;","#")),CONCATENATE(LOOKUP(MONTH(JOUR.EURO),MOIS)," A "),CONCATENATE(LOOKUP(MONTH(JOUR.EURO),MOIS)," ",YEAR(JOUR.EURO)," A ")),CONCATENATE(NBA," "),""),"DANS.EURO",DANS.EURO),"(A ",CONCATENATE("(",DATE.RDV.TV," A ")),"#DEPASSE DEPUIS #DEPASSE DEPUIS","#DEPASSE DEPUIS")),CONCATENATE(TABLEAU!$E$39," A ")," A ")," A "," A "),"( A","(A"),"  A"," A"),"DEMAIN (",CONCATENATE("DEMAIN= ",DIF.EURO," ~ (")),"JOURS (",CONCATENATE("JOURS= ",DIF.EURO," ~ (")),"DEMAIN= #DEPASSE# ~","DEPASSE DEPUIS HIER"),CONCATENATE(DAY(JOUR.EURO)," ",LOOKUP(MONTH(JOUR.EURO),MOIS),"A "),CONCATENATE(DAY(JOUR.EURO)," ",LOOKUP(MONTH(JOUR.EURO),MOIS)," A ")),UPPER("AAA"),DANS.EURO),CONCATENATE(" ",YEAR(A)),""),"DANS DEMAIN","DEMAIN")))</f>
        <v>#DANS 221 JOURS= ''5.312H00'' ~ (MERCREDI 10 JUIN 2020 A 21H00): [EURO 2020= (MANQUE 24 PAYS)]#</v>
      </c>
      <c r="P39" s="740" t="str">
        <f ca="1">IF(TABLEAU!$A$33="EURO",TABLEAU!$B$33,IF(TABLEAU!$A$34="EURO",TABLEAU!$B$34,IF(TABLEAU!$A$35="EURO",TABLEAU!$B$35,IF(TABLEAU!$A$36="EURO",TABLEAU!$B$36,IF(TABLEAU!$A$37="EURO",TABLEAU!$B$37,IF(TABLEAU!$A$38="EURO",TABLEAU!$B$38,IF(TABLEAU!$A$39="EURO",TABLEAU!$B$39,IF(TABLEAU!$A$40="EURO",TABLEAU!$B$40,IF(TABLEAU!$A$41="EURO",TABLEAU!$B$41)))))))))</f>
        <v>#DANS 221 JOURS= ''5.312H00'' (MERCREDI 10 JUIN 2020 A 21H00): [EURO 2020= (MANQUE 24 PAYS)]#</v>
      </c>
      <c r="Q39" s="741"/>
      <c r="R39" s="742"/>
      <c r="S39" s="745" t="str">
        <f ca="1">SUBSTITUTE(IF(DANS.EURO="#DEPASSE#",DANS.EURO.VERIFIER,CONCATENATE("DANS ",DIF.EURO)),"DANS #DEPASSE#","#DEPASSE#")</f>
        <v>DANS ''5.312H00''</v>
      </c>
      <c r="T39" s="905" t="str">
        <f ca="1">SUBSTITUTE(DANS.EURO,"#DEPASSE","")</f>
        <v>DANS 221 JOURS= ''5.312H00'' ~</v>
      </c>
      <c r="U39" s="743" t="str">
        <f ca="1">UPPER(TRIM(SUBSTITUTE(SUBSTITUTE(SUBSTITUTE(SUBSTITUTE(SUBSTITUTE(SUBSTITUTE(SUBSTITUTE(SUBSTITUTE(SUBSTITUTE(SUBSTITUTE(SUBSTITUTE(SUBSTITUTE(SUBSTITUTE(SUBSTITUTE(SUBSTITUTE(SUBSTITUTE(TABLEAU!$AD$39,DANS.L1,""),DANS.CONFEDERATIONS,""),DANS.COUPE.FRANCE,""),DANS.COUPE.LIGUE,""),DANS.MONDIAL,""),DANS.GP,""),DANS.EURO,""),DANS.CHAMPIONS.LEAGUE,""),DANS.UEFA,""),"#",""),CONCATENATE("(A ",TABLEAU!$X$26,")="),""),CONCATENATE("(A ",TABLEAU!$X$27,")="),""),"L1","CHAMPIONNAT"),"(A ",CONCATENATE("(",DATE.RDV.TV," A ")),CONCATENATE(TABLEAU!$E$39," A ")," A "),"( A","(A")))</f>
        <v>(MERCREDI 10 JUIN 2020 A 21H00): [EURO 2020= (MANQUE 24 PAYS)]</v>
      </c>
      <c r="V39" s="744" t="str">
        <f ca="1">SUBSTITUTE(EURO.DEP,CONCATENATE(NBA," "),"")</f>
        <v/>
      </c>
      <c r="W39" s="717" t="str">
        <f ca="1">UPPER(SUBSTITUTE(SUBSTITUTE(TABLEAU!$I$39,"&gt;",""),"&lt;",""))</f>
        <v>#DANS 221 JOURS= ''5.312H00'' ~ (MERCREDI 10 JUIN 2020 A 21H00): [EURO 2020= (MANQUE 24 PAYS)]#</v>
      </c>
      <c r="X39" s="751" t="str">
        <f ca="1">UPPER(SUBSTITUTE(IF(TABLEAU!$D$39&lt;0,CONCATENATE("DEPASSE DEPUIS ",0-TABLEAU!$D$39," JOURS"),""),"DEPUIS 1 JOURS","DEPUIS HIER"))</f>
        <v/>
      </c>
      <c r="Y39" s="2008" t="str">
        <f ca="1">SUBSTITUTE(SUBSTITUTE(SUBSTITUTE(SUBSTITUTE(SUBSTITUTE(SUBSTITUTE(SUBSTITUTE(SUBSTITUTE(TABLEAU!$W$39,"&gt;DEMAIN",""),"&gt;DANS 2 JOURS",""),"&gt;DANS 3 JOURS",""),"&gt;DANS 4 JOURS",""),"&gt;DANS 5 JOURS",""),"&gt;DANS 6 JOURS",""),"&gt;DANS 1 SEMAINE",""),CONCATENATE("(A ",TABLEAU!$X$20,")="),"")</f>
        <v>#DANS 221 JOURS= ''5.312H00'' ~ (MERCREDI 10 JUIN 2020 A 21H00): [EURO 2020= (MANQUE 24 PAYS)]#</v>
      </c>
      <c r="Z39" s="1658"/>
      <c r="AA39" s="609" t="str">
        <f>TABLEAU!$I$25</f>
        <v>CHAMPION'S LEAGUE</v>
      </c>
      <c r="AB39" s="1544" t="str">
        <f ca="1">IF(DATE.LDC=0,"AUJOURD'HUI",IF(DATE.LDC&lt;0,"#DEPASSE#",CONCATENATE("DANS ",TABLEAU!$AQ$6)))</f>
        <v>DANS 3 JOURS</v>
      </c>
      <c r="AC39" s="1414" t="str">
        <f ca="1">UPPER(TRIM(IF(TABLEAU!$L$39="#DEPASSE#",CONCATENATE(TABLEAU!$A$39,":",TABLEAU!$T$39),TABLEAU!$A$39)))</f>
        <v>EURO</v>
      </c>
      <c r="AD39" s="742" t="str">
        <f ca="1">SUBSTITUTE(SUBSTITUTE(SUBSTITUTE(SUBSTITUTE(SUBSTITUTE(SUBSTITUTE(SUBSTITUTE(TABLEAU!$AF$39,CONCATENATE("(A ",TABLEAU!$X$19,")="),""),CONCATENATE("(A ",TABLEAU!$X$20,")="),""),CONCATENATE("(A ",TABLEAU!$X$21,")="),""),CONCATENATE("(A ",TABLEAU!$X$22,")="),""),CONCATENATE("(A ",TABLEAU!$X$23,")="),""),CONCATENATE("(A ",TABLEAU!$X$24,")="),""),CONCATENATE("(A ",TABLEAU!$X$25,")="),"")</f>
        <v>#DANS 221 JOURS= ''5.312H00'' ~ (MERCREDI 10 JUIN 2020 A 21H00): [EURO 2020= (MANQUE 24 PAYS)]#</v>
      </c>
      <c r="AE39" s="1415"/>
      <c r="AF39" s="63" t="str">
        <f ca="1">UPPER(TRIM(TABLEAU!$Y$39))</f>
        <v>#DANS 221 JOURS= ''5.312H00'' ~ (MERCREDI 10 JUIN 2020 A 21H00): [EURO 2020= (MANQUE 24 PAYS)]#</v>
      </c>
      <c r="AG39" s="60"/>
      <c r="AH39" s="850"/>
      <c r="AI39" s="846" t="str">
        <f ca="1">IF(TABLEAU!$D$39&lt;&gt;0,"",TABLEAU!$M$39)</f>
        <v/>
      </c>
      <c r="AJ39" s="663"/>
      <c r="AK39" s="6"/>
      <c r="AL39" s="2188"/>
      <c r="AM39" s="755"/>
      <c r="AN39" s="1858"/>
      <c r="AO39" s="1859"/>
      <c r="AP39" s="1859"/>
      <c r="AQ39" s="1859"/>
      <c r="AR39" s="1859"/>
      <c r="AS39" s="1859"/>
      <c r="AT39" s="1859"/>
      <c r="AU39" s="1859"/>
      <c r="AV39" s="1859"/>
      <c r="AW39" s="1859"/>
      <c r="AX39" s="1860"/>
      <c r="AY39" s="1163" t="str">
        <f ca="1">IF(DATE.EURO&gt;0,"",IF(IF(MINUTE(HEURE.EURO)&gt;9,CONCATENATE(HOUR(HEURE.EURO),":",MINUTE(HEURE.EURO)),CONCATENATE(HOUR(HEURE.EURO),":0",MINUTE(HEURE.EURO)))&gt;H.M,"",IF(HOUR(HEURE.EURO)&gt;HOUR(HEURE.MAINTENANT),"",IF(HEURE.EURO&gt;HEURE.MAINTENANT,"",HEURE.MAINTENANT-HEURE.EURO))))</f>
        <v/>
      </c>
      <c r="AZ39" s="1528" t="str">
        <f ca="1">SUBSTITUTE(IF(TABLEAU!$AY$39="","",IF(AND(HOUR(TABLEAU!$AY$39)&gt;0,MINUTE(TABLEAU!$AY$39)&lt;10),CONCATENATE(" DEPUIS ",HOUR(TABLEAU!$AY$39),"H0",MINUTE(TABLEAU!$AY$39)),IF(AND(HOUR(TABLEAU!$AY$39)&gt;0,MINUTE(TABLEAU!$AY$39)&gt;9),CONCATENATE(" DEPUIS ",HOUR(TABLEAU!$AY$39),"H",MINUTE(TABLEAU!$AY$39)),CONCATENATE("DEPUIS"," 0",MINUTE(TABLEAU!$AY$39)," MIN"))))," 0"," ")</f>
        <v/>
      </c>
      <c r="BA39" s="1489"/>
    </row>
    <row r="40" spans="1:53" ht="24" customHeight="1">
      <c r="A40" s="462" t="s">
        <v>124</v>
      </c>
      <c r="B40" s="1539" t="str">
        <f ca="1">UPPER(TRIM(SUBSTITUTE(SUBSTITUTE(SUBSTITUTE(SUBSTITUTE(SUBSTITUTE(SUBSTITUTE(SUBSTITUTE(SUBSTITUTE(SUBSTITUTE(SUBSTITUTE(SUBSTITUTE(SUBSTITUTE(SUBSTITUTE(SUBSTITUTE(SUBSTITUTE(SUBSTITUTE(SUBSTITUTE(SUBSTITUTE(TRIM(TABLEAU!$J$40),CONCATENATE(NBA," "),""),"[(","("),": :",":"),"# (",CONCATENATE("#",DANS.CONFEDERATIONS," (")),"##","#"),CONCATENATE(" ",YEAR(A)," ")," "),"# [",CONCATENATE("#DATE A DETERMINER [")),"(A",CONCATENATE("(",LOOKUP(WEEKDAY(JOUR.CONFEDERATIONS),SEMAINE)," ",DAY(JOUR.CONFEDERATIONS)," ",LOOKUP(MONTH(JOUR.CONFEDERATIONS),MOIS)," ",YEAR(JOUR.CONFEDERATIONS)," A ")),AQW,""),CONCATENATE(TABLEAU!$E$40," A ")," A "),"( A","(A"),CONCATENATE(YEAR(A),"A"),CONCATENATE(YEAR(A)," A")),CONCATENATE(DANS.CONFEDERATIONS,"#",SUBSTITUTE(SUBSTITUTE(DANS.CONFEDERATIONS,DIF.CONFEDERATIONS," ("),"JOURS=  (","JOURS (")),CONCATENATE("#",DANS.CONFEDERATIONS," (")),"DIA ","DI A "),"CHEA ","CHE A "),"'' (","'' ~ ("),CONCATENATE(CVB,YEAR(A)," "),""),"~ ("," (")))</f>
        <v>#DANS 579 JOURS= ''13.904H00'' (JEUDI 3 JUIN 2021 A 21H00): [CONFEDERATIONS 2021= (MANQUE 8 PAYS)]#</v>
      </c>
      <c r="C40" s="62"/>
      <c r="D40" s="601">
        <f ca="1">DATE.CONFEDERATIONS</f>
        <v>579</v>
      </c>
      <c r="E40" s="1467" t="str">
        <f ca="1">UPPER(SUBSTITUTE(TRIM(IF(TABLEAU!$D$40=0,DATE.RDV.TV,IF(TABLEAU!$D$40=-1,LOOKUP(A-TABLEAU!$D$40,CALENDRIER),IF(TABLEAU!$D$40&lt;1,LOOKUP(A-TABLEAU!$D$40,CALENDRIER),IF(OR(TABLEAU!$L$40="#DEPASSE#",TABLEAU!$D$40&lt;0),CONCATENATE("#DEPASSE ",TABLEAU!$AZ$40," [",TABLEAU!$A$40,"]#"),IF(TABLEAU!$D$40&gt;6,"",LOOKUP(WEEKDAY(A+TABLEAU!$D$40),CALENDRIER))))))),"#DEPASSE DEPUIS 0 JOURS",""))</f>
        <v/>
      </c>
      <c r="F40" s="656" t="str">
        <f ca="1">IF(AND(DATE.CONFEDERATIONS=0,HEURE.CONFEDERATIONS.VERIFIER=HEURE.MAINTENANT.2),HEURE.CONFEDERATIONS.VERIFIER,IF(TABLEAU!$M$40="","",IF(TABLEAU!$L$40="TERMINE","",HEURE.CONFEDERATIONS.VERIFIER)))</f>
        <v>21H00</v>
      </c>
      <c r="G40" s="541" t="str">
        <f ca="1">IF(OR(TABLEAU!$L$40="TERMINE",TABLEAU!$L$40="#DEPASSE#"),TABLEAU!$O$40,TABLEAU!$O$40)</f>
        <v>#DANS 579 JOURS= ''13.904H00'' ~ (JEUDI 3 JUIN 2021 A 21H00): [CONFEDERATIONS 2021= (MANQUE 8 PAYS)]#</v>
      </c>
      <c r="H40" s="542" t="str">
        <f>CONCATENATE(DAY(JOUR.CONFEDERATIONS),"/",MONTH(JOUR.CONFEDERATIONS),"/",YEAR(JOUR.CONFEDERATIONS)," ",TEXT(HEURE.CONFEDERATIONS,"[H]:MM"))</f>
        <v>3/6/2021 21:00</v>
      </c>
      <c r="I40" s="406" t="str">
        <f ca="1">UPPER(TRIM(SUBSTITUTE(SUBSTITUTE(SUBSTITUTE(SUBSTITUTE(SUBSTITUTE(SUBSTITUTE(IF(AND(DATE.CONFEDERATIONS=0,HEURE.CONFEDERATIONS.VERIFIER=HEURE.MAINTENANT.2),TABLEAU!$J$40,SUBSTITUTE(SUBSTITUTE(SUBSTITUTE(SUBSTITUTE(TABLEAU!$G$40,"##","#"),"#DEPUIS","#DEPASSE DEPUIS"),CONCATENATE("(",YEAR(A)," "),"("),CONCATENATE(LOOKUP(MONTH(JOUR.CONFEDERATIONS),MOIS)," A "),CONCATENATE(LOOKUP(MONTH(JOUR.CONFEDERATIONS),MOIS)," ",YEAR(JOUR.CONFEDERATIONS)," A "))),CONCATENATE(TABLEAU!$E$40," A ")," A "),"A "," A "),"( A","(A"),"JOURS (",CONCATENATE("JOURS= ",DIF.CONFEDERATIONS," (")),"DEMAIN (",CONCATENATE("DEMAIN= ",DIF.CONFEDERATIONS," ~ (")),"'' (","'' ~ (")))</f>
        <v>#DANS 579 JOURS= ''13.904H00'' ~ (JEUDI 3 JUIN 2021 A 21H00): [CONFEDERATIONS 2021= (MANQUE 8 PAYS)]#</v>
      </c>
      <c r="J40" s="407" t="str">
        <f ca="1">UPPER(TRIM(SUBSTITUTE(SUBSTITUTE(SUBSTITUTE(SUBSTITUTE(SUBSTITUTE(SUBSTITUTE(SUBSTITUTE(SUBSTITUTE(SUBSTITUTE(SUBSTITUTE(SUBSTITUTE(SUBSTITUTE(SUBSTITUTE(SUBSTITUTE(SUBSTITUTE(SUBSTITUTE(SUBSTITUTE(IF(AND(DATE.CONFEDERATIONS=0,HEURE.CONFEDERATIONS.VERIFIER=HEURE.MAINTENANT.2),CONCATENATE("#MAINTENANT (A ",HEURE.CONFEDERATIONS.VERIFIER,"): [CONFEDERATIONS]#"),SUBSTITUTE(SUBSTITUTE(SUBSTITUTE(IF(TABLEAU!$D$40&lt;0,CONFEDERATIONS.DEP,SUBSTITUTE(TABLEAU!$O$40,"&gt;(A",CONCATENATE(DANS.CONFEDERATIONS," (A")))," #"," "),CONCATENATE(LOOKUP(MONTH(JOUR.CONFEDERATIONS),MOIS)," A "),CONCATENATE(LOOKUP(MONTH(JOUR.CONFEDERATIONS),MOIS)," ",YEAR(JOUR.CONFEDERATIONS)," A ")),CONCATENATE(NBA," "),"")),CONCATENATE(DATE.RDV.TV," A "),"A "),"DEMAIN (",CONCATENATE("DEMAIN= ",DIF.CONFEDERATIONS," (")),"JOURS (",CONCATENATE("JOURS= ",DIF.CONFEDERATIONS," ~ (")),"'' (","'' ~ ("),"= #DEPASSE#","")," HIER ("," HIER ~ ("),"0 (","0 ~ ("),"1 (","1 ~ ("),"2 (","2 ~ ("),"3 (","3 ~ ("),"4 (","4 ~ ("),"5 (","5 ~ ("),"6 (","6 ~ ("),"7 (","7 ~ ("),"8 (","8 ~ ("),"9 (","9 ~ ("),"DANS DEMAIN","DEMAIN")))</f>
        <v>#DANS 579 JOURS= ''13.904H00'' ~ (JEUDI 3 JUIN 2021 A 21H00): [CONFEDERATIONS 2021= (MANQUE 8 PAYS)]#</v>
      </c>
      <c r="K40" s="410"/>
      <c r="L40" s="408" t="str">
        <f ca="1">UPPER(IF(AND(DATE.CONFEDERATIONS=0,HEURE.CONFEDERATIONS.VERIFIER=HEURE.MAINTENANT.2),"",IF(DANS.CONFEDERATIONS.VERIFIER="#DEPASSE#",DANS.CONFEDERATIONS.VERIFIER,IF(TABLEAU!$D$40="","TERMINE",IF(TABLEAU!$D$40&lt;0,"A MODIFIER",IF(TABLEAU!$D$40=0,DANS.CONFEDERATIONS,IF(TABLEAU!$D$40=1,"DEMAIN",IF(TABLEAU!$D$40=7,"DANS 1 SEMAINE",IF(TABLEAU!$D$40&gt;1,CONCATENATE("DANS ",TABLEAU!$D$40," JOURS"))))))))))</f>
        <v>DANS 579 JOURS</v>
      </c>
      <c r="M40" s="777">
        <f>HEURE.CONFEDERATIONS</f>
        <v>0.875</v>
      </c>
      <c r="N40" s="841" t="str">
        <f ca="1">IF(TABLEAU!$O$40=DANS.GP,"¤¤¤",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O$40,"AAA","¤¤¤"),UPPER("A"),""),UPPER("B"),""),UPPER("C"),""),UPPER("D"),""),UPPER("E"),""),UPPER("F"),""),UPPER("G"),""),UPPER("H"),""),UPPER("I"),""),UPPER("J"),""),UPPER("K"),""),UPPER("L"),""),UPPER("M"),""),UPPER("N"),""),UPPER("O"),""),UPPER("P"),""),UPPER("Q"),""),UPPER("R"),""),UPPER("S"),""),UPPER("T"),""),UPPER("U"),""),UPPER("V"),""),UPPER("W"),""),UPPER("X"),""),UPPER("Y"),""),UPPER("Z"),""),"#",""),"'",""),"(",""),")",""),":",""),"[",""),"]",""),"-",""),"=",""),"/",""),"''",""),"~",""),".","")," ",""),0,""),1,""),2,""),3,""),4,""),5,""),6,""),7,""),8,""),9,""),"{",""),"°",""),"}",""),"+",""),"&amp;",""),",","")))</f>
        <v/>
      </c>
      <c r="O40" s="409" t="str">
        <f ca="1">UPPER(TRIM(SUBSTITUTE(SUBSTITUTE(SUBSTITUTE(SUBSTITUTE(SUBSTITUTE(SUBSTITUTE(SUBSTITUTE(SUBSTITUTE(SUBSTITUTE(SUBSTITUTE(SUBSTITUTE(IF(AND(DATE.CONFEDERATIONS=0,HEURE.CONFEDERATIONS.VERIFIER=HEURE.MAINTENANT.2),"",SUBSTITUTE(SUBSTITUTE(SUBSTITUTE(SUBSTITUTE(SUBSTITUTE(SUBSTITUTE(SUBSTITUTE([10]!PHRASE.REDUITE,"AAA",DANS.CONFEDERATIONS),[10]!GGG,DANS.JOUR.CONFEDERATIONS),"# (",CONCATENATE("#",DANS.CONFEDERATIONS," (")),CONCATENATE(LOOKUP(MONTH(JOUR.CONFEDERATIONS),MOIS)," A "),CONCATENATE(LOOKUP(MONTH(JOUR.CONFEDERATIONS),MOIS)," ",YEAR(JOUR.CONFEDERATIONS)," A ")),CONCATENATE(NBA," "),""),"(A ",CONCATENATE("(",DATE.RDV.TV," A ")),"#DEPASSE DEPUIS #DEPASSE DEPUIS","#DEPASSE DEPUIS")),CONCATENATE(TABLEAU!$E$40," A ")," A ")," A "," A "),"( A","(A"),"  A"," A"),"DEMAIN (",CONCATENATE("DEMAIN= ",DIF.CONFEDERATIONS," ~ (")),"JOURS (",CONCATENATE("JOURS= ",DIF.CONFEDERATIONS," ~ (")),"DEMAIN= #DEPASSE# ~","DEPASSE DEPUIS HIER"),CONCATENATE(DAY(JOUR.CONFEDERATIONS)," ",LOOKUP(MONTH(JOUR.CONFEDERATIONS),MOIS),"A "),CONCATENATE(DAY(JOUR.CONFEDERATIONS)," ",LOOKUP(MONTH(JOUR.CONFEDERATIONS),MOIS)," A ")),UPPER("AAA"),DANS.CONFEDERATIONS),CONCATENATE(" ",YEAR(A)),""),"DANS DEMAIN","DEMAIN")))</f>
        <v>#DANS 579 JOURS= ''13.904H00'' ~ (JEUDI 3 JUIN 2021 A 21H00): [CONFEDERATIONS 2021= (MANQUE 8 PAYS)]#</v>
      </c>
      <c r="P40" s="740" t="str">
        <f ca="1">IF(TABLEAU!$A$33="CONFEDERATIONS",TABLEAU!$B$33,IF(TABLEAU!$A$34="CONFEDERATIONS",TABLEAU!$B$34,IF(TABLEAU!$A$35="CONFEDERATIONS",TABLEAU!$B$35,IF(TABLEAU!$A$36="CONFEDERATIONS",TABLEAU!$B$36,IF(TABLEAU!$A$37="CONFEDERATIONS",TABLEAU!$B$37,IF(TABLEAU!$A$38="CONFEDERATIONS",TABLEAU!$B$38,IF(TABLEAU!$A$39="CONFEDERATIONS",TABLEAU!$B$39,IF(TABLEAU!$A$40="CONFEDERATIONS",TABLEAU!$B$40,IF(TABLEAU!$A$41="CONFEDERATIONS",TABLEAU!$B$41)))))))))</f>
        <v>#DANS 579 JOURS= ''13.904H00'' (JEUDI 3 JUIN 2021 A 21H00): [CONFEDERATIONS 2021= (MANQUE 8 PAYS)]#</v>
      </c>
      <c r="Q40" s="741"/>
      <c r="R40" s="742"/>
      <c r="S40" s="745" t="str">
        <f ca="1">SUBSTITUTE(IF(DANS.CONFEDERATIONS="#DEPASSE#",DANS.CONFEDERATIONS.VERIFIER,CONCATENATE("DANS ",DIF.CONFEDERATIONS)),"DANS #DEPASSE#","#DEPASSE#")</f>
        <v>DANS ''13.904H00''</v>
      </c>
      <c r="T40" s="905" t="str">
        <f ca="1">SUBSTITUTE(DANS.CONFEDERATIONS,"#DEPASSE","")</f>
        <v>DANS 579 JOURS= ''13.904H00'' ~</v>
      </c>
      <c r="U40" s="743" t="str">
        <f ca="1">UPPER(TRIM(SUBSTITUTE(SUBSTITUTE(SUBSTITUTE(SUBSTITUTE(SUBSTITUTE(SUBSTITUTE(SUBSTITUTE(SUBSTITUTE(SUBSTITUTE(SUBSTITUTE(SUBSTITUTE(SUBSTITUTE(SUBSTITUTE(SUBSTITUTE(SUBSTITUTE(SUBSTITUTE(TABLEAU!$AD$40,DANS.L1,""),DANS.CONFEDERATIONS,""),DANS.COUPE.FRANCE,""),DANS.COUPE.LIGUE,""),DANS.MONDIAL,""),DANS.GP,""),DANS.EURO,""),DANS.CHAMPIONS.LEAGUE,""),DANS.UEFA,""),"#",""),CONCATENATE("(A ",TABLEAU!$X$26,")="),""),CONCATENATE("(A ",TABLEAU!$X$27,")="),""),"L1","CHAMPIONNAT"),"(A ",CONCATENATE("(",DATE.RDV.TV," A ")),CONCATENATE(TABLEAU!$E$40," A ")," A "),"( A","(A")))</f>
        <v>(JEUDI 3 JUIN 2021 A 21H00): [CONFEDERATIONS 2021= (MANQUE 8 PAYS)]</v>
      </c>
      <c r="V40" s="744" t="str">
        <f ca="1">SUBSTITUTE(CONFEDERATIONS.DEP,CONCATENATE(NBA," "),"")</f>
        <v/>
      </c>
      <c r="W40" s="717" t="str">
        <f ca="1">UPPER(SUBSTITUTE(SUBSTITUTE(TABLEAU!$I$40,"&gt;",""),"&lt;",""))</f>
        <v>#DANS 579 JOURS= ''13.904H00'' ~ (JEUDI 3 JUIN 2021 A 21H00): [CONFEDERATIONS 2021= (MANQUE 8 PAYS)]#</v>
      </c>
      <c r="X40" s="752" t="str">
        <f ca="1">UPPER(SUBSTITUTE(IF(TABLEAU!$D$40&lt;0,CONCATENATE("DEPASSE DEPUIS ",0-TABLEAU!$D$40," JOURS"),""),"DEPUIS 1 JOURS","DEPUIS HIER"))</f>
        <v/>
      </c>
      <c r="Y40" s="2008" t="str">
        <f ca="1">SUBSTITUTE(SUBSTITUTE(SUBSTITUTE(SUBSTITUTE(SUBSTITUTE(SUBSTITUTE(SUBSTITUTE(SUBSTITUTE(TABLEAU!$W$40,"&gt;DEMAIN",""),"&gt;DANS 2 JOURS",""),"&gt;DANS 3 JOURS",""),"&gt;DANS 4 JOURS",""),"&gt;DANS 5 JOURS",""),"&gt;DANS 6 JOURS",""),"&gt;DANS 1 SEMAINE",""),CONCATENATE("(A ",TABLEAU!$X$20,")="),"")</f>
        <v>#DANS 579 JOURS= ''13.904H00'' ~ (JEUDI 3 JUIN 2021 A 21H00): [CONFEDERATIONS 2021= (MANQUE 8 PAYS)]#</v>
      </c>
      <c r="Z40" s="1658"/>
      <c r="AA40" s="609" t="str">
        <f>TABLEAU!$I$26</f>
        <v>MONDIAL</v>
      </c>
      <c r="AB40" s="723" t="str">
        <f ca="1">IF(DATE.MONDIAL=0,"AUJOURD'HUI",IF(DATE.MONDIAL&lt;0,"#DEPASSE#",CONCATENATE("DANS ",TABLEAU!$AQ$11)))</f>
        <v>DANS 1115 JOURS</v>
      </c>
      <c r="AC40" s="1414" t="str">
        <f ca="1">UPPER(TRIM(IF(TABLEAU!$L$40="#DEPASSE#",CONCATENATE(TABLEAU!$A$40,":",TABLEAU!$T$40),TABLEAU!$A$40)))</f>
        <v>CONFEDERATIONS</v>
      </c>
      <c r="AD40" s="742" t="str">
        <f ca="1">SUBSTITUTE(SUBSTITUTE(SUBSTITUTE(SUBSTITUTE(SUBSTITUTE(SUBSTITUTE(SUBSTITUTE(TABLEAU!$AF$40,CONCATENATE("(A ",TABLEAU!$X$19,")="),""),CONCATENATE("(A ",TABLEAU!$X$20,")="),""),CONCATENATE("(A ",TABLEAU!$X$21,")="),""),CONCATENATE("(A ",TABLEAU!$X$22,")="),""),CONCATENATE("(A ",TABLEAU!$X$23,")="),""),CONCATENATE("(A ",TABLEAU!$X$24,")="),""),CONCATENATE("(A ",TABLEAU!$X$25,")="),"")</f>
        <v>#DANS 579 JOURS= ''13.904H00'' ~ (JEUDI 3 JUIN 2021 A 21H00): [CONFEDERATIONS 2021= (MANQUE 8 PAYS)]#</v>
      </c>
      <c r="AE40" s="1415"/>
      <c r="AF40" s="63" t="str">
        <f ca="1">UPPER(TRIM(TABLEAU!$Y$40))</f>
        <v>#DANS 579 JOURS= ''13.904H00'' ~ (JEUDI 3 JUIN 2021 A 21H00): [CONFEDERATIONS 2021= (MANQUE 8 PAYS)]#</v>
      </c>
      <c r="AG40" s="60"/>
      <c r="AH40" s="850"/>
      <c r="AI40" s="1466" t="str">
        <f ca="1">IF(TABLEAU!$D$40&lt;&gt;0,"",TABLEAU!$M$40)</f>
        <v/>
      </c>
      <c r="AJ40" s="657"/>
      <c r="AK40" s="69"/>
      <c r="AL40" s="2188"/>
      <c r="AM40" s="754"/>
      <c r="AN40" s="1656" t="str">
        <f ca="1">TRIM(SUBSTITUTE(SUBSTITUTE(SUBSTITUTE(TABLEAU!$AC$70,"( ","("),TABLEAU!$AM$1,TABLEAU!$B$33),"##","# &amp; #"))</f>
        <v/>
      </c>
      <c r="AO40" s="1657"/>
      <c r="AP40" s="1657"/>
      <c r="AQ40" s="1657"/>
      <c r="AR40" s="1657"/>
      <c r="AS40" s="1657"/>
      <c r="AT40" s="1657"/>
      <c r="AU40" s="1657"/>
      <c r="AV40" s="1657"/>
      <c r="AW40" s="1657"/>
      <c r="AX40" s="1658"/>
      <c r="AY40" s="1162" t="str">
        <f ca="1">IF(DATE.CONFEDERATIONS&gt;0,"",IF(IF(MINUTE(HEURE.CONFEDERATIONS)&gt;9,CONCATENATE(HOUR(HEURE.CONFEDERATIONS),":",MINUTE(HEURE.CONFEDERATIONS)),CONCATENATE(HOUR(HEURE.CONFEDERATIONS),":0",MINUTE(HEURE.CONFEDERATIONS)))&gt;H.M,"",IF(HOUR(HEURE.CONFEDERATIONS)&gt;HOUR(HEURE.MAINTENANT),"",IF(HEURE.CONFEDERATIONS&gt;HEURE.MAINTENANT,"",HEURE.MAINTENANT-HEURE.CONFEDERATIONS))))</f>
        <v/>
      </c>
      <c r="AZ40" s="1528" t="str">
        <f ca="1">SUBSTITUTE(IF(TABLEAU!$AY$40="","",IF(AND(HOUR(TABLEAU!$AY$40)&gt;0,MINUTE(TABLEAU!$AY$40)&lt;10),CONCATENATE(" DEPUIS ",HOUR(TABLEAU!$AY$40),"H0",MINUTE(TABLEAU!$AY$40)),IF(AND(HOUR(TABLEAU!$AY$40)&gt;0,MINUTE(TABLEAU!$AY$40)&gt;9),CONCATENATE(" DEPUIS ",HOUR(TABLEAU!$AY$40),"H",MINUTE(TABLEAU!$AY$40)),CONCATENATE("DEPUIS"," 0",MINUTE(TABLEAU!$AY$40)," MIN"))))," 0"," ")</f>
        <v/>
      </c>
      <c r="BA40" s="1489"/>
    </row>
    <row r="41" spans="1:53" ht="24" customHeight="1" thickBot="1">
      <c r="A41" s="463" t="s">
        <v>120</v>
      </c>
      <c r="B41" s="1540" t="str">
        <f ca="1">UPPER(TRIM(SUBSTITUTE(SUBSTITUTE(SUBSTITUTE(SUBSTITUTE(SUBSTITUTE(SUBSTITUTE(SUBSTITUTE(SUBSTITUTE(SUBSTITUTE(SUBSTITUTE(SUBSTITUTE(SUBSTITUTE(SUBSTITUTE(SUBSTITUTE(SUBSTITUTE(SUBSTITUTE(SUBSTITUTE(SUBSTITUTE(SUBSTITUTE(SUBSTITUTE(TRIM(TABLEAU!$J$41),CONCATENATE(NBA," "),""),"[(","("),": :",":"),"# (",CONCATENATE("#",DANS.MONDIAL," (")),"##","#"),CONCATENATE(" ",YEAR(A)," ")," "),"# [",CONCATENATE("#DATE A DETERMINER [")),"(A",CONCATENATE("(",LOOKUP(WEEKDAY(JOUR.MONDIAL),SEMAINE)," ",DAY(JOUR.MONDIAL)," ",LOOKUP(MONTH(JOUR.MONDIAL),MOIS)," ",YEAR(JOUR.MONDIAL)," A ")),AQW,""),CONCATENATE(TABLEAU!$E$41," A ")," A "),"( A","(A"),CONCATENATE(YEAR(A),"A"),CONCATENATE(YEAR(A)," A")),CONCATENATE(DANS.MONDIAL,"#",SUBSTITUTE(SUBSTITUTE(DANS.MONDIAL,DIF.MONDIAL," ("),"JOURS=  (","JOURS (")),CONCATENATE("#",DANS.MONDIAL," (")),"DIA ","DI A "),"CHEA ","CHE A "),"'' (","'' ~ ("),CONCATENATE(" ",YEAR(A)),""),"#[MONDIAL",CONCATENATE("#",TABLEAU!$L$41," (A ",HEURE.MONDIAL.VERIFIER,")")),CONCATENATE(CVB,YEAR(A)," "),""),"~ ("," (")))</f>
        <v>#DANS 1115 JOURS= ''26.764H00'' (LUNDI 21 NOVEMBRE 2022 A 17H00): [MONDIAL 2022= (MANQUE 32 PAYS)]#</v>
      </c>
      <c r="C41" s="64"/>
      <c r="D41" s="602">
        <f ca="1">DATE.MONDIAL</f>
        <v>1115</v>
      </c>
      <c r="E41" s="1469" t="str">
        <f ca="1">UPPER(SUBSTITUTE(TRIM(IF(TABLEAU!$D$41=0,DATE.RDV.TV,IF(TABLEAU!$D$41=-1,LOOKUP(A-TABLEAU!$D$41,CALENDRIER),IF(TABLEAU!$D$41&lt;1,LOOKUP(A-TABLEAU!$D$41,CALENDRIER),IF(OR(TABLEAU!$L$41="#DEPASSE#",TABLEAU!$D$41&lt;0),CONCATENATE("#DEPASSE ",TABLEAU!$AZ$41," [",TABLEAU!$A$41,"]#"),IF(TABLEAU!$D$41&gt;6,"",LOOKUP(WEEKDAY(A+TABLEAU!$D$41),CALENDRIER))))))),"#DEPASSE DEPUIS 0 JOURS",""))</f>
        <v/>
      </c>
      <c r="F41" s="655" t="str">
        <f ca="1">IF(AND(DATE.MONDIAL=0,HEURE.MONDIAL.VERIFIER=HEURE.MAINTENANT.2),HEURE.MONDIAL.VERIFIER,IF(TABLEAU!$M$41="","",IF(TABLEAU!$L$41="TERMINE","",HEURE.MONDIAL.VERIFIER)))</f>
        <v>17H00</v>
      </c>
      <c r="G41" s="543" t="str">
        <f ca="1">TRIM(SUBSTITUTE(SUBSTITUTE(SUBSTITUTE(SUBSTITUTE(SUBSTITUTE(SUBSTITUTE(TABLEAU!$O$41,"##","#"),CONCATENATE(DANS.MONDIAL,"#",DANS.MONDIAL),DANS.MONDIAL),CONCATENATE(DANS.MONDIAL,DANS.MONDIAL),DANS.MONDIAL),"# (","("),CONCATENATE("]#",DANS.MONDIAL),"]#"),CVB,""))</f>
        <v>#DANS 1115 JOURS= ''26.764H00'' ~ (LUNDI 21 NOVEMBRE 2022 A 17H00): [MONDIAL 2022= (MANQUE 32 PAYS)]#</v>
      </c>
      <c r="H41" s="544" t="str">
        <f>CONCATENATE(DAY(JOUR.MONDIAL),"/",MONTH(JOUR.MONDIAL),"/",YEAR(JOUR.MONDIAL)," ",TEXT(HEURE.MONDIAL,"[H]:MM"))</f>
        <v>21/11/2022 17:00</v>
      </c>
      <c r="I41" s="604" t="str">
        <f ca="1">UPPER(TRIM(SUBSTITUTE(SUBSTITUTE(SUBSTITUTE(SUBSTITUTE(SUBSTITUTE(SUBSTITUTE(SUBSTITUTE(IF(AND(DATE.MONDIAL=0,HEURE.MONDIAL.VERIFIER=HEURE.MAINTENANT.2),TABLEAU!$J$41,SUBSTITUTE(SUBSTITUTE(SUBSTITUTE(SUBSTITUTE(SUBSTITUTE(TABLEAU!$G$41,"##","#"),"#DEPUIS","#DEPASSE DEPUIS"),CONCATENATE("(",YEAR(A)," "),"("),CONCATENATE(LOOKUP(MONTH(JOUR.MONDIAL),MOIS)," A "),CONCATENATE(LOOKUP(MONTH(JOUR.MONDIAL),MOIS)," ",YEAR(JOUR.MONDIAL)," A ")),"DEP.MONDIAL",DEP.MONDIAL)),CONCATENATE(TABLEAU!$E$41," A ")," A "),"( A","(A"),"JOURS (",CONCATENATE("JOURS= ",DIF.MONDIAL," (")),"DEMAIN (",CONCATENATE("DEMAIN=",DIF.MONDIAL," ~ (")),"'' (","'' ~ ("),"DEPUIS DEPUIS","DEPUIS"),"): MONDIAL","): [MONDIAL")))</f>
        <v>#DANS 1115 JOURS= ''26.764H00'' ~ (LUNDI 21 NOVEMBRE 2022 A 17H00): [MONDIAL 2022= (MANQUE 32 PAYS)]#</v>
      </c>
      <c r="J41" s="605" t="str">
        <f ca="1">UPPER(TRIM(SUBSTITUTE(SUBSTITUTE(SUBSTITUTE(SUBSTITUTE(SUBSTITUTE(SUBSTITUTE(SUBSTITUTE(SUBSTITUTE(SUBSTITUTE(SUBSTITUTE(SUBSTITUTE(SUBSTITUTE(SUBSTITUTE(SUBSTITUTE(SUBSTITUTE(SUBSTITUTE(SUBSTITUTE(IF(AND(DATE.MONDIAL=0,HEURE.MONDIAL.VERIFIER=HEURE.MAINTENANT.2),CONCATENATE("#MAINTENANT (A ",HEURE.MONDIAL.VERIFIER,"): [MONDIAL]#"),SUBSTITUTE(IF(DANS.MONDIAL.VERIFIER="#DEPASSE#",MONDIAL.DEP,SUBSTITUTE(SUBSTITUTE(SUBSTITUTE(SUBSTITUTE(SUBSTITUTE(SUBSTITUTE(TABLEAU!$I$41,"DANS.L1",DANS.L1),"DANS.EURO",DANS.EURO),"DANS.MONDIAL",DANS.MONDIAL),"##","#"),"# ("," ("),"##","#")),CONCATENATE(LOOKUP(MONTH(JOUR.MONDIAL),MOIS)," A "),CONCATENATE(LOOKUP(MONTH(JOUR.MONDIAL),MOIS)," ",YEAR(JOUR.MONDIAL)," A "))),CONCATENATE(DATE.RDV.TV," A "),"A "),"DEMAIN (",CONCATENATE("DEMAIN= ",DIF.MONDIAL," (")),"JOURS (",CONCATENATE("JOURS= ",DIF.MONDIAL," ~ (")),"'' (","'' ~ ("),"= #DEPASSE#","")," HIER ("," HIER ~ ("),"0 (","0 ~ ("),"1 (","1 ~ ("),"2 (","2 ~ ("),"3 (","3 ~ ("),"4 (","4 ~ ("),"5 (","5 ~ ("),"6 (","6 ~ ("),"7 (","7 ~ ("),"8 (","8 ~ ("),"9 (","9 ~ ("),"DANS DEMAIN","DEMAIN")))</f>
        <v>#DANS 1115 JOURS= ''26.764H00'' ~ (LUNDI 21 NOVEMBRE 2022 A 17H00): [MONDIAL 2022= (MANQUE 32 PAYS)]#</v>
      </c>
      <c r="K41" s="606"/>
      <c r="L41" s="607" t="str">
        <f ca="1">UPPER(SUBSTITUTE(IF(AND(DATE.MONDIAL=0,HEURE.MONDIAL.VERIFIER=HEURE.MAINTENANT.2),"",IF(DANS.MONDIAL.VERIFIER="#DEPASSE#",DANS.MONDIAL.VERIFIER,IF(TABLEAU!$D$41="","TERMINE",IF(TABLEAU!$D$41&lt;0,"A MODIFIER",IF(TABLEAU!$D$41=0,DANS.MONDIAL,IF(TABLEAU!$D$41=1,"DEMAIN",IF(TABLEAU!$D$41=7,"DANS 1 SEMAINE",IF(TABLEAU!$D$41&gt;1,CONCATENATE("DANS ",TABLEAU!$D$41," JOURS")))))))))," 0"," "))</f>
        <v>DANS 1115 JOURS</v>
      </c>
      <c r="M41" s="778">
        <f>HEURE.MONDIAL</f>
        <v>0.70833333333333337</v>
      </c>
      <c r="N41" s="842" t="str">
        <f ca="1">IF(TABLEAU!$O$41=DANS.GP,"¤¤¤",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O$41,"AAA","¤¤¤"),UPPER("A"),""),UPPER("B"),""),UPPER("C"),""),UPPER("D"),""),UPPER("E"),""),UPPER("F"),""),UPPER("G"),""),UPPER("H"),""),UPPER("I"),""),UPPER("J"),""),UPPER("K"),""),UPPER("L"),""),UPPER("M"),""),UPPER("N"),""),UPPER("O"),""),UPPER("P"),""),UPPER("Q"),""),UPPER("R"),""),UPPER("S"),""),UPPER("T"),""),UPPER("U"),""),UPPER("V"),""),UPPER("W"),""),UPPER("X"),""),UPPER("Y"),""),UPPER("Z"),""),"#",""),"'",""),"(",""),")",""),":",""),"[",""),"]",""),"-",""),"=",""),"/",""),"''",""),"~",""),".","")," ",""),0,""),1,""),2,""),3,""),4,""),5,""),6,""),7,""),8,""),9,""),"{",""),"°",""),"}",""),"+",""),"&amp;",""),",","")))</f>
        <v/>
      </c>
      <c r="O41" s="608" t="str">
        <f ca="1">UPPER(TRIM(SUBSTITUTE(SUBSTITUTE(SUBSTITUTE(SUBSTITUTE(SUBSTITUTE(SUBSTITUTE(SUBSTITUTE(SUBSTITUTE(SUBSTITUTE(SUBSTITUTE(SUBSTITUTE(SUBSTITUTE(SUBSTITUTE(SUBSTITUTE(SUBSTITUTE(SUBSTITUTE(SUBSTITUTE(SUBSTITUTE(SUBSTITUTE(SUBSTITUTE(SUBSTITUTE(SUBSTITUTE(IF(AND(DATE.MONDIAL=0,HEURE.MONDIAL.VERIFIER=HEURE.MAINTENANT.2),"",SUBSTITUTE(SUBSTITUTE(SUBSTITUTE(SUBSTITUTE(SUBSTITUTE(SUBSTITUTE(SUBSTITUTE(SUBSTITUTE(IF([8]!VAINQUEUR&lt;&gt;"",[8]!CHAMPION,SUBSTITUTE(SUBSTITUTE(SUBSTITUTE(SUBSTITUTE(SUBSTITUTE(CONCATENATE("#",[8]!PHRASE.REDUITE),"DANS.MONDIAL",DANS.MONDIAL),"(A ",CONCATENATE("(",LOOKUP(WEEKDAY(A+$D$41),CALENDRIER)," ",DAY(JOUR.MONDIAL)," ",LOOKUP(MONTH(JOUR.MONDIAL),MOIS)," ",YEAR(JOUR.MONDIAL)," A ")),"#(",CONCATENATE("#",DANS.MONDIAL,"(")),CONCATENATE(LOOKUP(MONTH(JOUR.MONDIAL),MOIS)," A "),CONCATENATE(LOOKUP(MONTH(JOUR.MONDIAL),MOIS)," ",YEAR(JOUR.MONDIAL)," A ")),CONCATENATE(NBA," "),"")),"##","#"),"=&gt;/","MANQUE PAYS"),DEP.MONDIAL,"DEP.MONDIAL"),"AAA",DANS.MONDIAL),"(/)","(MANQUE 32 PAYS)"),"0/0","MANQUE 32 PAYS"),"(A ",CONCATENATE("(",DATE.RDV.TV," A ")),"#DEPASSE DEPUIS #DEPASSE DEPUIS","#DEPASSE DEPUIS")),CONCATENATE(TABLEAU!$E$41," A ")," A ")," A "," A "),"( A","(A"),"  A"," A"),"DEMAIN (",CONCATENATE("DEMAIN= ",DIF.MONDIAL," ~ (")),"JOURS (",CONCATENATE("JOURS= ",DIF.MONDIAL," ~ (")),"DEMAIN= #DEPASSE# ~","DEPASSE DEPUIS HIER"),CONCATENATE(DAY(JOUR.MONDIAL)," ",LOOKUP(MONTH(JOUR.MONDIAL),MOIS),"A "),CONCATENATE(DAY(JOUR.MONDIAL)," ",LOOKUP(MONTH(JOUR.MONDIAL),MOIS)," A ")),")]","]"),"##","#"),"~ [",CONCATENATE("~ (",LOOKUP(WEEKDAY(JOUR.MONDIAL),CALENDRIER)," ",DAY(JOUR.MONDIAL)," ",LOOKUP(MONTH(JOUR.MONDIAL),MOIS)," A ",HEURE.MONDIAL.VERIFIER,"): [")),CONCATENATE(FICHIER.A.MODIFIER," [MONDIAL"),CONCATENATE(FICHIER.A.MODIFIER," (",LOOKUP(WEEKDAY(JOUR.MONDIAL),CALENDRIER)," ",DAY(JOUR.MONDIAL)," ",LOOKUP(MONTH(JOUR.MONDIAL),MOIS)," A ",HEURE.MONDIAL.VERIFIER,"): MONDIAL ")),"# [","#["),CONCATENATE("#[MONDIAL"),CONCATENATE("#",FICHIER.A.MODIFIER," (A ",TABLEAU!$F$41,"): [MONDIAL")),"]#",")]#"),"))",")"),"##DEPASSE#",CONCATENATE("#DEPASSE ",TABLEAU!$T$33))," VS ","/"),CONCATENATE(HEURE.MONDIAL.VERIFIER,")"),CONCATENATE(HEURE.MONDIAL.VERIFIER,")")),UPPER("AAA"),DANS.MONDIAL),CONCATENATE(" ",YEAR(A)),""),"DANS DEMAIN","DEMAIN")))</f>
        <v>#DANS 1115 JOURS= ''26.764H00'' ~ (LUNDI 21 NOVEMBRE 2022 A 17H00): [MONDIAL 2022= (MANQUE 32 PAYS)]#</v>
      </c>
      <c r="P41" s="746" t="str">
        <f ca="1">IF(TABLEAU!$A$33="MONDIAL",TABLEAU!$B$33,IF(TABLEAU!$A$34="MONDIAL",TABLEAU!$B$34,IF(TABLEAU!$A$35="MONDIAL",TABLEAU!$B$35,IF(TABLEAU!$A$36="MONDIAL",TABLEAU!$B$36,IF(TABLEAU!$A$37="MONDIAL",TABLEAU!$B$37,IF(TABLEAU!$A$38="MONDIAL",TABLEAU!$B$38,IF(TABLEAU!$A$39="MONDIAL",TABLEAU!$B$39,IF(TABLEAU!$A$40="MONDIAL",TABLEAU!$B$40,IF(TABLEAU!$A$41="MONDIAL",TABLEAU!$B$41)))))))))</f>
        <v>#DANS 1115 JOURS= ''26.764H00'' (LUNDI 21 NOVEMBRE 2022 A 17H00): [MONDIAL 2022= (MANQUE 32 PAYS)]#</v>
      </c>
      <c r="Q41" s="747"/>
      <c r="R41" s="748"/>
      <c r="S41" s="1441" t="str">
        <f ca="1">SUBSTITUTE(IF(DANS.MONDIAL="#DEPASSE#",DANS.MONDIAL.VERIFIER,CONCATENATE("DANS ",DIF.MONDIAL)),"DANS #DEPASSE#","#DEPASSE#")</f>
        <v>DANS ''26.764H00''</v>
      </c>
      <c r="T41" s="898" t="str">
        <f ca="1">SUBSTITUTE(DANS.MONDIAL,"#DEPASSE","")</f>
        <v>DANS 1115 JOURS= ''26.764H00'' ~</v>
      </c>
      <c r="U41" s="749" t="str">
        <f ca="1">UPPER(TRIM(SUBSTITUTE(SUBSTITUTE(SUBSTITUTE(SUBSTITUTE(SUBSTITUTE(SUBSTITUTE(SUBSTITUTE(SUBSTITUTE(SUBSTITUTE(SUBSTITUTE(SUBSTITUTE(SUBSTITUTE(SUBSTITUTE(SUBSTITUTE(SUBSTITUTE(SUBSTITUTE(TABLEAU!$AD$41,DANS.L1,""),DANS.CONFEDERATIONS,""),DANS.COUPE.FRANCE,""),DANS.COUPE.LIGUE,""),DANS.MONDIAL,""),DANS.GP,""),DANS.EURO,""),DANS.CHAMPIONS.LEAGUE,""),DANS.UEFA,""),"#",""),CONCATENATE("(A ",TABLEAU!$X$26,")="),""),CONCATENATE("(A ",TABLEAU!$X$27,")="),""),"L1","CHAMPIONNAT"),"(A ",CONCATENATE("(",DATE.RDV.TV," A ")),CONCATENATE(TABLEAU!$E$41," A ")," A "),"( A","(A")))</f>
        <v>(LUNDI 21 NOVEMBRE 2022 A 17H00): [MONDIAL 2022= (MANQUE 32 PAYS)]</v>
      </c>
      <c r="V41" s="750" t="str">
        <f ca="1">SUBSTITUTE(MONDIAL.DEP,CONCATENATE(NBA," "),"")</f>
        <v/>
      </c>
      <c r="W41" s="718" t="str">
        <f ca="1">UPPER(SUBSTITUTE(SUBSTITUTE(TABLEAU!$I$41,"&gt;",""),"&lt;",""))</f>
        <v>#DANS 1115 JOURS= ''26.764H00'' ~ (LUNDI 21 NOVEMBRE 2022 A 17H00): [MONDIAL 2022= (MANQUE 32 PAYS)]#</v>
      </c>
      <c r="X41" s="753" t="str">
        <f ca="1">UPPER(SUBSTITUTE(IF(TABLEAU!$D$41&lt;0,CONCATENATE("DEPASSE DEPUIS ",0-TABLEAU!$D$41," JOURS"),""),"DEPUIS 1 JOURS","DEPUIS HIER"))</f>
        <v/>
      </c>
      <c r="Y41" s="2068" t="str">
        <f ca="1">SUBSTITUTE(SUBSTITUTE(SUBSTITUTE(SUBSTITUTE(SUBSTITUTE(SUBSTITUTE(SUBSTITUTE(SUBSTITUTE(TABLEAU!$W$41,"&gt;DEMAIN",""),"&gt;DANS 2 JOURS",""),"&gt;DANS 3 JOURS",""),"&gt;DANS 4 JOURS",""),"&gt;DANS 5 JOURS",""),"&gt;DANS 6 JOURS",""),"&gt;DANS 1 SEMAINE",""),CONCATENATE("(A ",TABLEAU!$X$20,")="),"")</f>
        <v>#DANS 1115 JOURS= ''26.764H00'' ~ (LUNDI 21 NOVEMBRE 2022 A 17H00): [MONDIAL 2022= (MANQUE 32 PAYS)]#</v>
      </c>
      <c r="Z41" s="2069"/>
      <c r="AA41" s="600" t="str">
        <f>TABLEAU!$I$27</f>
        <v>UEFA</v>
      </c>
      <c r="AB41" s="724" t="str">
        <f ca="1">IF(DATE.UEFA=0,"AUJOURD'HUI",IF(DATE.UEFA&lt;0,"#DEPASSE#",CONCATENATE("DANS ",TABLEAU!$AQ$10)))</f>
        <v>DANS 124 JOURS</v>
      </c>
      <c r="AC41" s="1416" t="str">
        <f ca="1">UPPER(TRIM(IF(TABLEAU!$L$41="#DEPASSE#",CONCATENATE(TABLEAU!$A$41,":",TABLEAU!$T$41),TABLEAU!$A$41)))</f>
        <v>MONDIAL</v>
      </c>
      <c r="AD41" s="748" t="str">
        <f ca="1">SUBSTITUTE(SUBSTITUTE(SUBSTITUTE(SUBSTITUTE(SUBSTITUTE(SUBSTITUTE(SUBSTITUTE(TABLEAU!$AF$41,CONCATENATE("(A ",TABLEAU!$X$19,")="),""),CONCATENATE("(A ",TABLEAU!$X$20,")="),""),CONCATENATE("(A ",TABLEAU!$X$21,")="),""),CONCATENATE("(A ",TABLEAU!$X$22,")="),""),CONCATENATE("(A ",TABLEAU!$X$23,")="),""),CONCATENATE("(A ",TABLEAU!$X$24,")="),""),CONCATENATE("(A ",TABLEAU!$X$25,")="),"")</f>
        <v>#DANS 1115 JOURS= ''26.764H00'' ~ (LUNDI 21 NOVEMBRE 2022 A 17H00): [MONDIAL 2022= (MANQUE 32 PAYS)]#</v>
      </c>
      <c r="AE41" s="1417"/>
      <c r="AF41" s="65" t="str">
        <f ca="1">UPPER(TRIM(TABLEAU!$Y$41))</f>
        <v>#DANS 1115 JOURS= ''26.764H00'' ~ (LUNDI 21 NOVEMBRE 2022 A 17H00): [MONDIAL 2022= (MANQUE 32 PAYS)]#</v>
      </c>
      <c r="AG41" s="66"/>
      <c r="AH41" s="851"/>
      <c r="AI41" s="847" t="str">
        <f ca="1">IF(TABLEAU!$D$41&lt;&gt;0,"",TABLEAU!$M$41)</f>
        <v/>
      </c>
      <c r="AJ41" s="665"/>
      <c r="AK41" s="662"/>
      <c r="AL41" s="2189"/>
      <c r="AM41" s="757"/>
      <c r="AN41" s="1656"/>
      <c r="AO41" s="1657"/>
      <c r="AP41" s="1657"/>
      <c r="AQ41" s="1657"/>
      <c r="AR41" s="1657"/>
      <c r="AS41" s="1657"/>
      <c r="AT41" s="1657"/>
      <c r="AU41" s="1657"/>
      <c r="AV41" s="1657"/>
      <c r="AW41" s="1657"/>
      <c r="AX41" s="1658"/>
      <c r="AY41" s="1164" t="str">
        <f ca="1">IF(DATE.MONDIAL&gt;0,"",IF(IF(MINUTE(HEURE.MONDIAL)&gt;9,CONCATENATE(HOUR(HEURE.MONDIAL),":",MINUTE(HEURE.MONDIAL)),CONCATENATE(HOUR(HEURE.MONDIAL),":0",MINUTE(HEURE.MONDIAL)))&gt;H.M,"",IF(HOUR(HEURE.MONDIAL)&gt;HOUR(HEURE.MAINTENANT),"",IF(HEURE.MONDIAL&gt;HEURE.MAINTENANT,"",HEURE.MAINTENANT-HEURE.MONDIAL))))</f>
        <v/>
      </c>
      <c r="AZ41" s="1528" t="str">
        <f ca="1">SUBSTITUTE(IF(TABLEAU!$AY$41="","",IF(AND(HOUR(TABLEAU!$AY$41)&gt;0,MINUTE(TABLEAU!$AY$41)&lt;10),CONCATENATE(" DEPUIS ",HOUR(TABLEAU!$AY$41),"H0",MINUTE(TABLEAU!$AY$41)),IF(AND(HOUR(TABLEAU!$AY$41)&gt;0,MINUTE(TABLEAU!$AY$41)&gt;9),CONCATENATE(" DEPUIS ",HOUR(TABLEAU!$AY$41),"H",MINUTE(TABLEAU!$AY$41)),CONCATENATE("DEPUIS"," 0",MINUTE(TABLEAU!$AY$41)," MIN"))))," 0"," ")</f>
        <v/>
      </c>
      <c r="BA41" s="1489"/>
    </row>
    <row r="42" spans="1:53" ht="29.1" customHeight="1" thickTop="1">
      <c r="A42" s="866" t="str">
        <f ca="1">IF(HOUR(HEURE.MAINTENANT)&lt;22,"",IF(AND(HOUR(HEURE.MAINTENANT)&gt;18,RDV.5.DATE=B),CONCATENATE(TABLEAU!$B$49," &amp; ",TABLEAU!$B$50," &amp; ",TABLEAU!$B$51," &amp; ",TABLEAU!$B$52," &amp; ",TABLEAU!$B$43),IF(AND(HOUR(HEURE.MAINTENANT)&gt;18,RDV.4.DATE=B),CONCATENATE(TABLEAU!$B$49," &amp; ",TABLEAU!$B$50," &amp; ",TABLEAU!$B$51," &amp; ",TABLEAU!$B$52),IF(AND(HOUR(HEURE.MAINTENANT)&gt;18,RDV.3.DATE=B),CONCATENATE(TABLEAU!$B$49," &amp; ",TABLEAU!$B$50," &amp; ",TABLEAU!$B$51),IF(AND(HOUR(HEURE.MAINTENANT)&gt;18,RDV.2.DATE=B),CONCATENATE(TABLEAU!$B$49," &amp; ",TABLEAU!$B$50),IF(AND(HOUR(HEURE.MAINTENANT)&gt;18,RDV.1.DATE=B),TABLEAU!$B$49,""))))))</f>
        <v/>
      </c>
      <c r="B42" s="2024" t="str">
        <f ca="1">SUBSTITUTE(DATE.FINALE,"##","# &amp; #")</f>
        <v>~SAMEDI 2 NOVEMBRE 2019 [13:00:00]~ #DANS 3J= ''67H00'' ~ (5 NOV A 8H00): [COUPE OEUF]# &amp; #ARRET DU TABAC= ''29.742H00'' OU 1257 JOURS (3 ANS &amp; 5 MOIS &amp; 9 JOURS &amp; 6H00)# &amp; #DANS 7H45 (A 20H45): [CHAMPIONNAT]# &amp; #DANS 7H40 (A 20H40 SUR AB1): [SMACKDOWN]#</v>
      </c>
      <c r="C42" s="2025"/>
      <c r="D42" s="2025"/>
      <c r="E42" s="2025"/>
      <c r="F42" s="1518"/>
      <c r="G42" s="1989"/>
      <c r="H42" s="1872"/>
      <c r="I42" s="2024" t="str">
        <f ca="1">DATE.FINALE</f>
        <v>~SAMEDI 2 NOVEMBRE 2019 [13:00:00]~ #DANS 3J= ''67H00'' ~ (5 NOV A 8H00): [COUPE OEUF]# &amp; #ARRET DU TABAC= ''29.742H00'' OU 1257 JOURS (3 ANS &amp; 5 MOIS &amp; 9 JOURS &amp; 6H00)# &amp; #DANS 7H45 (A 20H45): [CHAMPIONNAT]# &amp; #DANS 7H40 (A 20H40 SUR AB1): [SMACKDOWN]#</v>
      </c>
      <c r="J42" s="2025"/>
      <c r="K42" s="2025"/>
      <c r="L42" s="2025"/>
      <c r="M42" s="2025"/>
      <c r="N42" s="2025"/>
      <c r="O42" s="2026"/>
      <c r="P42" s="2408" t="str">
        <f ca="1">DATE.FINALE</f>
        <v>~SAMEDI 2 NOVEMBRE 2019 [13:00:00]~ #DANS 3J= ''67H00'' ~ (5 NOV A 8H00): [COUPE OEUF]# &amp; #ARRET DU TABAC= ''29.742H00'' OU 1257 JOURS (3 ANS &amp; 5 MOIS &amp; 9 JOURS &amp; 6H00)# &amp; #DANS 7H45 (A 20H45): [CHAMPIONNAT]# &amp; #DANS 7H40 (A 20H40 SUR AB1): [SMACKDOWN]#</v>
      </c>
      <c r="Q42" s="2409"/>
      <c r="R42" s="2409"/>
      <c r="S42" s="2409"/>
      <c r="T42" s="2409"/>
      <c r="U42" s="2409"/>
      <c r="V42" s="2410"/>
      <c r="W42" s="2166"/>
      <c r="X42" s="15"/>
      <c r="Y42" s="2179" t="str">
        <f ca="1">SUBSTITUTE(SUBSTITUTE(SUBSTITUTE(SUBSTITUTE(CONCATENATE(DEMAIN,FERIE.4,TABLEAU!$AF$15),"##","# &amp; #"),CONCATENATE(TABLEAU!$AL$157," &amp; "),""),"##","# &amp; #"),CONCATENATE(FICHIER.A.MODIFIER," (A DANS"),"#DANS")</f>
        <v>#DANS 7H45 (A 20H45): [CHAMPIONNAT]# &amp; #DANS 7H40 (A 20H40 SUR AB1): [SMACKDOWN]#</v>
      </c>
      <c r="Z42" s="2180"/>
      <c r="AA42" s="1680" t="str">
        <f ca="1">DATE.FINALE</f>
        <v>~SAMEDI 2 NOVEMBRE 2019 [13:00:00]~ #DANS 3J= ''67H00'' ~ (5 NOV A 8H00): [COUPE OEUF]# &amp; #ARRET DU TABAC= ''29.742H00'' OU 1257 JOURS (3 ANS &amp; 5 MOIS &amp; 9 JOURS &amp; 6H00)# &amp; #DANS 7H45 (A 20H45): [CHAMPIONNAT]# &amp; #DANS 7H40 (A 20H40 SUR AB1): [SMACKDOWN]#</v>
      </c>
      <c r="AB42" s="1681"/>
      <c r="AC42" s="1681"/>
      <c r="AD42" s="1681"/>
      <c r="AE42" s="1812"/>
      <c r="AF42" s="1680" t="str">
        <f ca="1">IF(TABLEAU!$D$42&gt;1,"",TABLEAU!$I$42)</f>
        <v>~SAMEDI 2 NOVEMBRE 2019 [13:00:00]~ #DANS 3J= ''67H00'' ~ (5 NOV A 8H00): [COUPE OEUF]# &amp; #ARRET DU TABAC= ''29.742H00'' OU 1257 JOURS (3 ANS &amp; 5 MOIS &amp; 9 JOURS &amp; 6H00)# &amp; #DANS 7H45 (A 20H45): [CHAMPIONNAT]# &amp; #DANS 7H40 (A 20H40 SUR AB1): [SMACKDOWN]#</v>
      </c>
      <c r="AG42" s="1681"/>
      <c r="AH42" s="1681"/>
      <c r="AI42" s="1681"/>
      <c r="AJ42" s="666"/>
      <c r="AK42" s="250"/>
      <c r="AL42" s="1684" t="str">
        <f ca="1">UPPER(SUBSTITUTE(IF(SUM(TABLEAU!$AL$33:'TABLEAU'!$AL$41)=0,"",IF(SUM(TABLEAU!$AL$33:'TABLEAU'!$AL$41)=1,CONCATENATE("#1 PROG EST DEPASSE =",TABLEAU!$AI$33),CONCATENATE("#",SUM(TABLEAU!$AL$33:'TABLEAU'!$AL$41)," PROG SONT DEPASSE#"))),"=#DEPASSE ",""))</f>
        <v/>
      </c>
      <c r="AM42" s="1346" t="str">
        <f ca="1">IF(DATE.DEPASSE&gt;0,"",TABLEAU!$B$33)</f>
        <v>#DANS 7H45 (A 20H45): [CHAMPIONNAT]#</v>
      </c>
      <c r="AN42" s="1858" t="str">
        <f ca="1">TRIM(SUBSTITUTE(SUBSTITUTE(SUBSTITUTE(TABLEAU!$AC$74,"( ","("),TABLEAU!$AM$1,TABLEAU!$B$33),"##","# &amp; #"))</f>
        <v/>
      </c>
      <c r="AO42" s="1859"/>
      <c r="AP42" s="1859"/>
      <c r="AQ42" s="1859"/>
      <c r="AR42" s="1859"/>
      <c r="AS42" s="1859"/>
      <c r="AT42" s="1859"/>
      <c r="AU42" s="1859"/>
      <c r="AV42" s="1859"/>
      <c r="AW42" s="1859"/>
      <c r="AX42" s="1860"/>
      <c r="AY42" s="1491"/>
      <c r="AZ42" s="1527"/>
      <c r="BA42" s="1489"/>
    </row>
    <row r="43" spans="1:53" ht="21" customHeight="1">
      <c r="A43" s="72" t="str">
        <f ca="1">UPPER(SUBSTITUTE(SUBSTITUTE(SUBSTITUTE(SUBSTITUTE(SUBSTITUTE(TABLEAU!$G$102,"&gt;D","#D"),"&gt;DEPASSE ","DEPASSE "),"# {","# &amp; {"),"= M","= &gt;M"),"# &gt; &amp; &gt;","# &amp; #"))</f>
        <v>#DANS 7H45 (A 20H45): [CHAMPIONNAT]# &amp; #DANS 7H40 (A 20H40 SUR AB1): [SMACKDOWN]#</v>
      </c>
      <c r="B43" s="2024"/>
      <c r="C43" s="2025"/>
      <c r="D43" s="2025"/>
      <c r="E43" s="2025"/>
      <c r="F43" s="1518"/>
      <c r="G43" s="2381"/>
      <c r="H43" s="2382"/>
      <c r="I43" s="2024"/>
      <c r="J43" s="2025"/>
      <c r="K43" s="2025"/>
      <c r="L43" s="2025"/>
      <c r="M43" s="2025"/>
      <c r="N43" s="2025"/>
      <c r="O43" s="2026"/>
      <c r="P43" s="2408"/>
      <c r="Q43" s="2409"/>
      <c r="R43" s="2409"/>
      <c r="S43" s="2409"/>
      <c r="T43" s="2409"/>
      <c r="U43" s="2409"/>
      <c r="V43" s="2410"/>
      <c r="W43" s="2167"/>
      <c r="X43" s="450"/>
      <c r="Y43" s="2185" t="str">
        <f ca="1">UPPER(IF(TABLEAU!$Y$42="[","",IF(TABLEAU!$Y$42="##","",IF(TABLEAU!$Y$42="#{1 PROG}=","",SUBSTITUTE(SUBSTITUTE(SUBSTITUTE(SUBSTITUTE(SUBSTITUTE(TRIM(TABLEAU!$Y$42)," &amp; &amp;",""),"= &amp;","="),"# #","#"),"# #","#"),"&amp; D","&amp; #D")))))</f>
        <v>#DANS 7H45 (A 20H45): [CHAMPIONNAT]# &amp; #DANS 7H40 (A 20H40 SUR AB1): [SMACKDOWN]#</v>
      </c>
      <c r="Z43" s="2186"/>
      <c r="AA43" s="1680"/>
      <c r="AB43" s="1681"/>
      <c r="AC43" s="1681"/>
      <c r="AD43" s="1681"/>
      <c r="AE43" s="1812"/>
      <c r="AF43" s="1680"/>
      <c r="AG43" s="1681"/>
      <c r="AH43" s="1681"/>
      <c r="AI43" s="1681"/>
      <c r="AJ43" s="667"/>
      <c r="AK43" s="251"/>
      <c r="AL43" s="1685"/>
      <c r="AM43" s="1665" t="str">
        <f ca="1">SUBSTITUTE(IF(TABLEAU!$S$33="#DEPASSE#",TABLEAU!$B$33,""),CONCATENATE(" ",YEAR(A)),"")</f>
        <v/>
      </c>
      <c r="AN43" s="1858"/>
      <c r="AO43" s="1859"/>
      <c r="AP43" s="1859"/>
      <c r="AQ43" s="1859"/>
      <c r="AR43" s="1859"/>
      <c r="AS43" s="1859"/>
      <c r="AT43" s="1859"/>
      <c r="AU43" s="1859"/>
      <c r="AV43" s="1859"/>
      <c r="AW43" s="1859"/>
      <c r="AX43" s="1860"/>
      <c r="AY43" s="1491"/>
      <c r="AZ43" s="1527"/>
      <c r="BA43" s="1489"/>
    </row>
    <row r="44" spans="1:53" ht="20.100000000000001" customHeight="1">
      <c r="A44" s="72" t="str">
        <f ca="1">UPPER(SUBSTITUTE(SUBSTITUTE(SUBSTITUTE(SUBSTITUTE(SUBSTITUTE(SUBSTITUTE(SUBSTITUTE(SUBSTITUTE(SUBSTITUTE(SUBSTITUTE(TABLEAU!$W$98,"#&amp; {","#"),"##",""),"##","# &amp; #"),CONCATENATE(TODAY.TV," &amp; ",TODAY.TV),TODAY.TV),"##","# &amp; #"),TABLEAU!$A$217,TABLEAU!$D$227)," H"," 0H"),"0HIER","HIER"),"0HAMILTON","HAMILTON"),"EUROSD","EUROS# &amp; #D"))</f>
        <v>~SAMEDI 2 NOVEMBRE 2019 [13:00:00]~ #DANS 3J= ''67H00'' ~ (5 NOV (A 8H00): [COUPE OEUF]# &amp; #DANS 7H45 (A 20H45): [CHAMPIONNAT]# &amp; #DANS 7H40 (A 20H40 SUR AB1): [SMACKDOWN]#</v>
      </c>
      <c r="B44" s="2024"/>
      <c r="C44" s="2025"/>
      <c r="D44" s="2025"/>
      <c r="E44" s="2025"/>
      <c r="F44" s="1518"/>
      <c r="G44" s="2381"/>
      <c r="H44" s="2382"/>
      <c r="I44" s="2024"/>
      <c r="J44" s="2025"/>
      <c r="K44" s="2025"/>
      <c r="L44" s="2025"/>
      <c r="M44" s="2025"/>
      <c r="N44" s="2025"/>
      <c r="O44" s="2026"/>
      <c r="P44" s="2408"/>
      <c r="Q44" s="2409"/>
      <c r="R44" s="2409"/>
      <c r="S44" s="2409"/>
      <c r="T44" s="2409"/>
      <c r="U44" s="2409"/>
      <c r="V44" s="2410"/>
      <c r="W44" s="2167"/>
      <c r="X44" s="450"/>
      <c r="Y44" s="2177" t="str">
        <f ca="1">TRIM(SUBSTITUTE(SUBSTITUTE(SUBSTITUTE(SUBSTITUTE(SUBSTITUTE(SUBSTITUTE(TABLEAU!$Y$43,"::",":")," &amp; &amp;"," &amp;")," &amp;#","&amp;"),"&amp;  &amp;","&amp;"),"#&amp; #",""),"]D","]# &amp; #D"))</f>
        <v>#DANS 7H45 (A 20H45): [CHAMPIONNAT]# &amp; #DANS 7H40 (A 20H40 SUR AB1): [SMACKDOWN]#</v>
      </c>
      <c r="Z44" s="2178"/>
      <c r="AA44" s="1680"/>
      <c r="AB44" s="1681"/>
      <c r="AC44" s="1681"/>
      <c r="AD44" s="1681"/>
      <c r="AE44" s="1812"/>
      <c r="AF44" s="1680"/>
      <c r="AG44" s="1681"/>
      <c r="AH44" s="1681"/>
      <c r="AI44" s="1681"/>
      <c r="AJ44" s="667"/>
      <c r="AK44" s="251"/>
      <c r="AL44" s="1685"/>
      <c r="AM44" s="1666"/>
      <c r="AN44" s="1656" t="str">
        <f ca="1">TRIM(SUBSTITUTE(SUBSTITUTE(SUBSTITUTE(TABLEAU!$AC$78,"( ","("),TABLEAU!$AM$1,TABLEAU!$B$33),"##","# &amp; #"))</f>
        <v/>
      </c>
      <c r="AO44" s="1657"/>
      <c r="AP44" s="1657"/>
      <c r="AQ44" s="1657"/>
      <c r="AR44" s="1657"/>
      <c r="AS44" s="1657"/>
      <c r="AT44" s="1657"/>
      <c r="AU44" s="1657"/>
      <c r="AV44" s="1657"/>
      <c r="AW44" s="1657"/>
      <c r="AX44" s="1658"/>
      <c r="AY44" s="1491"/>
      <c r="AZ44" s="1527"/>
      <c r="BA44" s="1489"/>
    </row>
    <row r="45" spans="1:53" ht="20.100000000000001" customHeight="1" thickBot="1">
      <c r="A45" s="72" t="str">
        <f ca="1">UPPER(TRIM(SUBSTITUTE(SUBSTITUTE(SUBSTITUTE(SUBSTITUTE(SUBSTITUTE(SUBSTITUTE(SUBSTITUTE(TABLEAU!$A$92,"= &amp; DEPASSE","= "),"##","#"),"#DEPASSE",""),"# &amp; #"," &amp; "),"] &amp; ","]&lt; &amp; &gt;"),"&lt; &amp; &gt;DANS"," &amp; DANS"),"] &amp; DANS","]# &amp; #DANS")))</f>
        <v>#DANS 7H45 (A 20H45): [CHAMPIONNAT]# &amp; #DANS 7H40 (A 20H40 SUR AB1): [SMACKDOWN]#</v>
      </c>
      <c r="B45" s="2024"/>
      <c r="C45" s="2025"/>
      <c r="D45" s="2025"/>
      <c r="E45" s="2025"/>
      <c r="F45" s="1518"/>
      <c r="G45" s="2381"/>
      <c r="H45" s="2382"/>
      <c r="I45" s="2024"/>
      <c r="J45" s="2025"/>
      <c r="K45" s="2025"/>
      <c r="L45" s="2025"/>
      <c r="M45" s="2025"/>
      <c r="N45" s="2025"/>
      <c r="O45" s="2026"/>
      <c r="P45" s="2408"/>
      <c r="Q45" s="2409"/>
      <c r="R45" s="2409"/>
      <c r="S45" s="2409"/>
      <c r="T45" s="2409"/>
      <c r="U45" s="2409"/>
      <c r="V45" s="2410"/>
      <c r="W45" s="2167"/>
      <c r="X45" s="450"/>
      <c r="Y45" s="2175" t="str">
        <f ca="1">UPPER(TRIM(SUBSTITUTE(SUBSTITUTE(SUBSTITUTE(SUBSTITUTE(SUBSTITUTE(SUBSTITUTE(SUBSTITUTE(SUBSTITUTE(TABLEAU!$Y$44,"##","#"),"&gt;#","#"),"##","#")," #","#"),"&amp;#","&amp; #"),"] &amp; #","]&lt; &amp; &gt;"),"##","#"),"=#","= ")))</f>
        <v>#DANS 7H45 (A 20H45): [CHAMPIONNAT]# &amp; #DANS 7H40 (A 20H40 SUR AB1): [SMACKDOWN]#</v>
      </c>
      <c r="Z45" s="2176"/>
      <c r="AA45" s="1680"/>
      <c r="AB45" s="1681"/>
      <c r="AC45" s="1681"/>
      <c r="AD45" s="1681"/>
      <c r="AE45" s="1812"/>
      <c r="AF45" s="1680"/>
      <c r="AG45" s="1681"/>
      <c r="AH45" s="1681"/>
      <c r="AI45" s="1681"/>
      <c r="AJ45" s="667"/>
      <c r="AK45" s="251"/>
      <c r="AL45" s="1685"/>
      <c r="AM45" s="1666"/>
      <c r="AN45" s="1656"/>
      <c r="AO45" s="1657"/>
      <c r="AP45" s="1657"/>
      <c r="AQ45" s="1657"/>
      <c r="AR45" s="1657"/>
      <c r="AS45" s="1657"/>
      <c r="AT45" s="1657"/>
      <c r="AU45" s="1657"/>
      <c r="AV45" s="1657"/>
      <c r="AW45" s="1657"/>
      <c r="AX45" s="1658"/>
      <c r="AY45" s="1491"/>
      <c r="AZ45" s="1527"/>
      <c r="BA45" s="1489"/>
    </row>
    <row r="46" spans="1:53" ht="21.95" customHeight="1">
      <c r="A46" s="72" t="str">
        <f ca="1">UPPER(TRIM(SUBSTITUTE(SUBSTITUTE(SUBSTITUTE(SUBSTITUTE(SUBSTITUTE(SUBSTITUTE(TABLEAU!$Y$45,"&amp; &amp;",""),"] &amp; &lt;","]&lt;")," &lt;","&lt;"),"DANS 0 MIN","MAINTENANT"),"&gt; &amp; &lt;",""),"] &amp;","]&lt; &amp;")))</f>
        <v>#DANS 7H45 (A 20H45): [CHAMPIONNAT]# &amp; #DANS 7H40 (A 20H40 SUR AB1): [SMACKDOWN]#</v>
      </c>
      <c r="B46" s="2417"/>
      <c r="C46" s="2418"/>
      <c r="D46" s="2418"/>
      <c r="E46" s="2418"/>
      <c r="F46" s="1520"/>
      <c r="G46" s="2381"/>
      <c r="H46" s="2382"/>
      <c r="I46" s="2024"/>
      <c r="J46" s="2025"/>
      <c r="K46" s="2025"/>
      <c r="L46" s="2025"/>
      <c r="M46" s="2025"/>
      <c r="N46" s="2025"/>
      <c r="O46" s="2026"/>
      <c r="P46" s="2408"/>
      <c r="Q46" s="2409"/>
      <c r="R46" s="2409"/>
      <c r="S46" s="2409"/>
      <c r="T46" s="2409"/>
      <c r="U46" s="2409"/>
      <c r="V46" s="2410"/>
      <c r="W46" s="2167"/>
      <c r="X46" s="450"/>
      <c r="Y46" s="2181" t="str">
        <f ca="1">SUBSTITUTE(SUBSTITUTE(SUBSTITUTE(IF(TABLEAU!$Y$45="[",MODIF.2,CONCATENATE(TABLEAU!$Y$45,MODIF.2)),"##","# &amp; #"),TABLEAU!$AZ$47,TABLEAU!$B$33),TABLEAU!$AL$155,TABLEAU!$B$33)</f>
        <v>#DANS 7H45 (A 20H45): [CHAMPIONNAT]# &amp; #DANS 7H40 (A 20H40 SUR AB1): [SMACKDOWN]#</v>
      </c>
      <c r="Z46" s="2182"/>
      <c r="AA46" s="1680"/>
      <c r="AB46" s="1681"/>
      <c r="AC46" s="1681"/>
      <c r="AD46" s="1681"/>
      <c r="AE46" s="1812"/>
      <c r="AF46" s="1680"/>
      <c r="AG46" s="1681"/>
      <c r="AH46" s="1681"/>
      <c r="AI46" s="1681"/>
      <c r="AJ46" s="667"/>
      <c r="AK46" s="251"/>
      <c r="AL46" s="1685"/>
      <c r="AM46" s="1667"/>
      <c r="AN46" s="1861" t="str">
        <f ca="1">TRIM(SUBSTITUTE(SUBSTITUTE(SUBSTITUTE(TABLEAU!$AC$82,"( ","("),TABLEAU!$AM$1,TABLEAU!$B$33),"##","# &amp; #"))</f>
        <v/>
      </c>
      <c r="AO46" s="1862"/>
      <c r="AP46" s="1862"/>
      <c r="AQ46" s="1862"/>
      <c r="AR46" s="1862"/>
      <c r="AS46" s="1862"/>
      <c r="AT46" s="1862"/>
      <c r="AU46" s="1862"/>
      <c r="AV46" s="1862"/>
      <c r="AW46" s="1862"/>
      <c r="AX46" s="1863"/>
      <c r="AY46" s="1491"/>
      <c r="AZ46" s="1527"/>
      <c r="BA46" s="1489"/>
    </row>
    <row r="47" spans="1:53" ht="39.950000000000003" customHeight="1" thickBot="1">
      <c r="A47" s="865"/>
      <c r="B47" s="2355" t="str">
        <f ca="1">TABLEAU!$B$32</f>
        <v/>
      </c>
      <c r="C47" s="2356"/>
      <c r="D47" s="2356"/>
      <c r="E47" s="2356"/>
      <c r="F47" s="2357"/>
      <c r="G47" s="2419" t="str">
        <f ca="1">TABLEAU!$B$47</f>
        <v/>
      </c>
      <c r="H47" s="2420"/>
      <c r="I47" s="2216" t="str">
        <f ca="1">TABLEAU!$B$32</f>
        <v/>
      </c>
      <c r="J47" s="2217"/>
      <c r="K47" s="2217"/>
      <c r="L47" s="2217"/>
      <c r="M47" s="2217"/>
      <c r="N47" s="2217"/>
      <c r="O47" s="2218"/>
      <c r="P47" s="2151" t="str">
        <f ca="1">TABLEAU!$B$32</f>
        <v/>
      </c>
      <c r="Q47" s="2152"/>
      <c r="R47" s="2152"/>
      <c r="S47" s="2152"/>
      <c r="T47" s="2152"/>
      <c r="U47" s="2152"/>
      <c r="V47" s="2153"/>
      <c r="W47" s="2168"/>
      <c r="X47" s="450"/>
      <c r="Y47" s="2183"/>
      <c r="Z47" s="2184"/>
      <c r="AA47" s="1682"/>
      <c r="AB47" s="1683"/>
      <c r="AC47" s="1683"/>
      <c r="AD47" s="1683"/>
      <c r="AE47" s="1813"/>
      <c r="AF47" s="1682"/>
      <c r="AG47" s="1683"/>
      <c r="AH47" s="1683"/>
      <c r="AI47" s="1683"/>
      <c r="AJ47" s="668"/>
      <c r="AK47" s="252"/>
      <c r="AL47" s="1686"/>
      <c r="AM47" s="1546" t="str">
        <f ca="1">IF(COUNTBLANK(TABLEAU!$N$33:'TABLEAU'!$N$41)=9,"",CONCATENATE("#",COUNTBLANK(TABLEAU!$N$33:'TABLEAU'!$N$41)," ERREUR DANS LES DATES#"))</f>
        <v/>
      </c>
      <c r="AN47" s="1864"/>
      <c r="AO47" s="1865"/>
      <c r="AP47" s="1865"/>
      <c r="AQ47" s="1865"/>
      <c r="AR47" s="1865"/>
      <c r="AS47" s="1865"/>
      <c r="AT47" s="1865"/>
      <c r="AU47" s="1865"/>
      <c r="AV47" s="1865"/>
      <c r="AW47" s="1865"/>
      <c r="AX47" s="1866"/>
      <c r="AY47" s="1492"/>
      <c r="AZ47" s="2579" t="str">
        <f ca="1">IF(FICHIER.A.MODIFIER="#DEPASSE#",CONCATENATE(TABLEAU!$B$33," &amp; ",TABLEAU!$B$33),"ALLEZ L'OM")</f>
        <v>ALLEZ L'OM</v>
      </c>
      <c r="BA47" s="2580"/>
    </row>
    <row r="48" spans="1:53" ht="90.6" customHeight="1" thickTop="1" thickBot="1">
      <c r="A48" s="468" t="str">
        <f ca="1">TRIM(SUBSTITUTE(SUBSTITUTE(SUBSTITUTE(SUBSTITUTE(SUBSTITUTE(SUBSTITUTE(SUBSTITUTE(SUBSTITUTE(SUBSTITUTE(TABLEAU!$A$100,"] &amp; ","]# &amp; #"),"# &amp; #"," &amp; "),"&amp; DEPASSE","&amp; "),"&amp; #DEPASSE ","&amp; #"),"] (","] &amp; ("),"] {","] &amp; {"),"{1 RDV}= ",""),"[DEPASSE","DEPASSE"),"EUROS &amp; D","EUROS# &amp; #D"))</f>
        <v/>
      </c>
      <c r="B48" s="432" t="str">
        <f ca="1">UPPER(JH)</f>
        <v>~SAMEDI 2 NOVEMBRE 2019 [13:00:00]~</v>
      </c>
      <c r="C48" s="464" t="str">
        <f>UPPER("DATES")</f>
        <v>DATES</v>
      </c>
      <c r="D48" s="128" t="str">
        <f>UPPER("HEURES")</f>
        <v>HEURES</v>
      </c>
      <c r="E48" s="129" t="str">
        <f>UPPER("TYPE DU RDV")</f>
        <v>TYPE DU RDV</v>
      </c>
      <c r="F48" s="67" t="str">
        <f ca="1">UPPER(SUBSTITUTE(IF(COUNTBLANK(TABLEAU!$F$49:'TABLEAU'!$F$53)=0,"",CONCATENATE("#DEMAIN {",4-COUNTBLANK(TABLEAU!$F$49:'TABLEAU'!$F$53)," RDV}= ")),"#DEMAIN {0 RDV}=",""))</f>
        <v xml:space="preserve">#DEMAIN {-1 RDV}= </v>
      </c>
      <c r="G48" s="2353"/>
      <c r="H48" s="2354"/>
      <c r="I48" s="2428" t="str">
        <f ca="1">UPPER(SUBSTITUTE(SUBSTITUTE(SUBSTITUTE(SUBSTITUTE(SUBSTITUTE(SUBSTITUTE(SUBSTITUTE(SUBSTITUTE(SUBSTITUTE(SUBSTITUTE(SUBSTITUTE(TRIM(IF(TABLEAU!$A$91="","",CONCATENATE("#",NBR.RDV,TABLEAU!$A$91,"#"))),"] DANS","] &amp; DANS"),"&gt;[&lt;",""),"] {","]# &amp; #{"),"[ ",""),"#[#","")," H"," 0H"),"= [","= "),"EUROS &amp; D","EUROS# &amp; #D"),"DANS 0","DANS "),"[DEPASSE","DEPASSE"),"0HIER","HIER"))</f>
        <v/>
      </c>
      <c r="J48" s="2429"/>
      <c r="K48" s="2429"/>
      <c r="L48" s="2429"/>
      <c r="M48" s="2429"/>
      <c r="N48" s="2429"/>
      <c r="O48" s="2430"/>
      <c r="P48" s="2333" t="str">
        <f ca="1">RDV.SUITE</f>
        <v/>
      </c>
      <c r="Q48" s="2334"/>
      <c r="R48" s="2334"/>
      <c r="S48" s="2334"/>
      <c r="T48" s="2334"/>
      <c r="U48" s="2334"/>
      <c r="V48" s="2335"/>
      <c r="W48" s="906" t="str">
        <f ca="1">UPPER(SUBSTITUTE(SUBSTITUTE(SUBSTITUTE(SUBSTITUTE(IF(TABLEAU!$R$98="OK","",IF(TABLEAU!$R$98=1,TABLEAU!$B$49,IF(TABLEAU!$R$98=2,CONCATENATE(TABLEAU!$B$49," &amp; ",TABLEAU!$B$50),IF(TABLEAU!$R$98=3,CONCATENATE(TABLEAU!$B$49," &amp; ",TABLEAU!$B$50," &amp; ",TABLEAU!$B$51),IF(TABLEAU!$R$98=4,CONCATENATE(TABLEAU!$B$49," &amp; ",TABLEAU!$B$50," &amp; ",TABLEAU!$B$51," &amp; ",TABLEAU!$B$53)))))),"DEPASSE}##DEPASSE","DEPASSE="),"##","= "),"] &amp; (","]# &amp; #(")," H"," 0H"))</f>
        <v/>
      </c>
      <c r="X48" s="450"/>
      <c r="Y48" s="1814" t="str">
        <f ca="1">UPPER(SUBSTITUTE(CONCATENATE("~",LOOKUP(WEEKDAY(A),SEMAINE)," ",DAY(A)," ",LOOKUP(MONTH(TODAY()),MOIS)," ",YEAR(TODAY())," [",H.M.3,":",TABLEAU!$M$10,"]~"),":0]",":00]"))</f>
        <v>~SAMEDI 2 NOVEMBRE 2019 [13:00:00]~</v>
      </c>
      <c r="Z48" s="1815"/>
      <c r="AA48" s="1816" t="str">
        <f ca="1">TABLEAU!$AF$2</f>
        <v>~SAMEDI 2 NOVEMBRE 2019 [13:00:00]~ #DANS 3J= ''67H00'' ~ (5 NOV A 8H00): [COUPE OEUF]# &amp; #DANS 7H45 (A 20H45): [CHAMPIONNAT]# &amp; #DANS 7H40 (A 20H40 SUR AB1): [SMACKDOWN]#</v>
      </c>
      <c r="AB48" s="1817"/>
      <c r="AC48" s="1817"/>
      <c r="AD48" s="1817"/>
      <c r="AE48" s="1818"/>
      <c r="AF48" s="2030" t="str">
        <f ca="1">UPPER(SUBSTITUTE(SUBSTITUTE(SUBSTITUTE(SUBSTITUTE(SUBSTITUTE(TABLEAU!$AF$1,"#("," &amp; ("),CONCATENATE(YEAR(A)," "),""),"= #","= ")," &amp;  &amp; "," &amp; "),"] &amp; (","]# &amp; #("))</f>
        <v/>
      </c>
      <c r="AG48" s="2031"/>
      <c r="AH48" s="2031"/>
      <c r="AI48" s="2032"/>
      <c r="AJ48" s="130"/>
      <c r="AK48" s="130"/>
      <c r="AL48" s="1668" t="str">
        <f ca="1">IF(FICHIER.A.MODIFIER="#DEPASSE#",TABLEAU!$B$33,"")</f>
        <v/>
      </c>
      <c r="AM48" s="1669"/>
      <c r="AN48" s="1669"/>
      <c r="AO48" s="1669"/>
      <c r="AP48" s="1669"/>
      <c r="AQ48" s="1669"/>
      <c r="AR48" s="1669"/>
      <c r="AS48" s="1669"/>
      <c r="AT48" s="1669"/>
      <c r="AU48" s="1669"/>
      <c r="AV48" s="1669"/>
      <c r="AW48" s="1669"/>
      <c r="AX48" s="1670"/>
      <c r="AY48" s="1489"/>
      <c r="AZ48" s="1687"/>
      <c r="BA48" s="1689"/>
    </row>
    <row r="49" spans="1:53" ht="55.5" customHeight="1" thickTop="1">
      <c r="A49" s="469" t="str">
        <f ca="1">IF(RDV.1="","",IF(RDV.1="DEPASSE","",IF(TABLEAU!$F$102&lt;&gt;"",TABLEAU!$K$102,IF(TABLEAU!$B$49="#DEPASSE#",DEP.1,DIFFERENCE.1))))</f>
        <v/>
      </c>
      <c r="B49" s="1418" t="str">
        <f ca="1">UPPER(IF(OR(TABLEAU!$C$49="",TABLEAU!$D$49="",TABLEAU!$E$49=""),"",TRIM(SUBSTITUTE(SUBSTITUTE(SUBSTITUTE(SUBSTITUTE(SUBSTITUTE(SUBSTITUTE(SUBSTITUTE(SUBSTITUTE(SUBSTITUTE(SUBSTITUTE(SUBSTITUTE(SUBSTITUTE(SUBSTITUTE(IF(OR(RDV.1.DATE="",RDV.1.HEURE="",TYPE.1=""),"",SUBSTITUTE(SUBSTITUTE(SUBSTITUTE(SUBSTITUTE(SUBSTITUTE(SUBSTITUTE(SUBSTITUTE(SUBSTITUTE(SUBSTITUTE(SUBSTITUTE(IF(TABLEAU!$P$49="#DEPASSE#",CONCATENATE("#",DANS.1," ",DEP.DATE.1,PHRASE.RDV.1,"#"),SUBSTITUTE(SUBSTITUTE(SUBSTITUTE(SUBSTITUTE(SUBSTITUTE(SUBSTITUTE(SUBSTITUTE(SUBSTITUTE(SUBSTITUTE(SUBSTITUTE(SUBSTITUTE(SUBSTITUTE(SUBSTITUTE(TRIM(TABLEAU!$P$49),CONCATENATE(0," ",TYPE.1),CONCATENATE("0'' ~ ",TYPE.1)),CONCATENATE(1," ",TYPE.1),CONCATENATE("1'' ~ ",TYPE.1)),CONCATENATE(2," ",TYPE.1),CONCATENATE("2'' ~ ",TYPE.1)),CONCATENATE(3," ",TYPE.1),CONCATENATE("3'' ~ ",TYPE.1)),CONCATENATE(4," ",TYPE.1),CONCATENATE("4'' ~ ",TYPE.1)),CONCATENATE(5," ",TYPE.1),CONCATENATE("5'' ~ ",TYPE.1)),CONCATENATE(6," ",TYPE.1),CONCATENATE("6'' ~ ",TYPE.1)),CONCATENATE(7," ",TYPE.1),CONCATENATE("7'' ~ ",TYPE.1)),CONCATENATE(8," ",TYPE.1),CONCATENATE("8'' ~ ",TYPE.1)),CONCATENATE(9," ",TYPE.1),CONCATENATE("9'' ~ ",TYPE.1)),"])]","])"),"[#","["),"#]#","]#")),"H (","H00 ("),CONCATENATE(CVB,YEAR(A)," "),""),"DANS 00 MIN","MAINTENANT"),"DANS 0","DANS "),CONCATENATE(DEP.DATE.1,TYPE.1," ",DEP.DATE.1,TYPE.1),CONCATENATE(DEP.DATE.1,TYPE.1)),"]]","]"),"##",""),"# [","#["),"DEMAIN","#DEMAIN"),"# ","#")),"##","#"),"DEPASSE DEPUIS MIN","MAINTENANT"),"DEPASSE (",CONCATENATE("DEPASSE DEPUIS ",A-RDV.1.DATE," JOURS (")),"DEPUIS 1 JOURS","DEPUIS HIER"),"H0 ","H00"),YEAR(A),""),"RESTERA: RESTERA:","RESTERA:"),CONCATENATE("&amp; #",[4]!BILAN),CONCATENATE(" &amp; ",[4]!BILAN)),"#DEPASSE DEPUIS 0 MIN","#MAINTENANT")," DES 0"," DES "),"#]","#"),"EUROS]","EUROS"),"##","#"))))</f>
        <v>#DANS 3 JOURS (MARDI 5 NOVEMBRE A 8H00): [COUPE OEUF]= 0,48 EUROS RESTERA: 176,29 EUROS#</v>
      </c>
      <c r="C49" s="727">
        <f>IF(SUM([4]!ENVIE)=0,"",[4]!DATE.FIN.1)</f>
        <v>43774</v>
      </c>
      <c r="D49" s="728">
        <f>IF(SUM([4]!ENVIE)=0,"",[4]!HEURE.FIN.1)</f>
        <v>0.33333333333333331</v>
      </c>
      <c r="E49" s="729" t="str">
        <f>UPPER(CONCATENATE("[",[4]!EN.COURS,"]= ",SUBSTITUTE([4]TABLEAU!$V$97,"€"," EUROS"),[4]!RESTANT.DU))</f>
        <v>[COUPE OEUF]= 0,48 EUROS RESTERA: 176,29 EUROS</v>
      </c>
      <c r="F49" s="68" t="str">
        <f ca="1">UPPER(TRIM(IF(OR(TABLEAU!$C$50&lt;&gt;B,TABLEAU!$C$50="",TABLEAU!$D$50="",TABLEAU!$E$50=""),"",TABLEAU!$B$50)))</f>
        <v/>
      </c>
      <c r="G49" s="1429">
        <f ca="1">IF(TABLEAU!$C$49="","ZZZ",TABLEAU!$C$49-TODAY())</f>
        <v>3</v>
      </c>
      <c r="H49" s="960" t="str">
        <f>IF(TABLEAU!$E$49="","",TABLEAU!$E$49)</f>
        <v>[COUPE OEUF]= 0,48 EUROS RESTERA: 176,29 EUROS</v>
      </c>
      <c r="I49" s="2310" t="str">
        <f ca="1">UPPER(TRIM(SUBSTITUTE(SUBSTITUTE(SUBSTITUTE(SUBSTITUTE(SUBSTITUTE(SUBSTITUTE(SUBSTITUTE(SUBSTITUTE(SUBSTITUTE(SUBSTITUTE(SUBSTITUTE(IF(TABLEAU!$C$49&gt;A,"",IF(TABLEAU!$A$49="DEPASSE","",TABLEAU!$B$49)),"#",""),"1 (","1 ~ ("),"2 (","2 ~ ("),"3 (","3 ~ ("),"4 (","4 ~ ("),"5 (","5 ~ ("),"6 (","6 ~ ("),"7 (","7 ~ ("),"8 (","8 ~ ("),"9 (","9 ~ ("),"0 (","0 ~ (")))</f>
        <v/>
      </c>
      <c r="J49" s="2311"/>
      <c r="K49" s="2311"/>
      <c r="L49" s="2311"/>
      <c r="M49" s="2311"/>
      <c r="N49" s="2311"/>
      <c r="O49" s="2312"/>
      <c r="P49" s="2275" t="str">
        <f ca="1">IF(OR(TABLEAU!$C$49="",TABLEAU!$D$49="",TABLEAU!$E$49=""),"",UPPER(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IF(TABLEAU!$K$102="DEPASSE",CONCATENATE("#DEPASSE DEPUIS ",MINU.1," (A ",TABLEAU!$J$102,"): ",TABLEAU!$E$49,"#"),SUBSTITUTE(SUBSTITUTE(SUBSTITUTE(SUBSTITUTE(SUBSTITUTE(SUBSTITUTE(SUBSTITUTE(SUBSTITUTE(IF(OR(TABLEAU!$C$49="",TABLEAU!$D$49="",TABLEAU!$E$49=""),"",SUBSTITUTE(SUBSTITUTE(SUBSTITUTE(SUBSTITUTE(SUBSTITUTE(SUBSTITUTE(SUBSTITUTE(SUBSTITUTE(SUBSTITUTE(SUBSTITUTE(SUBSTITUTE(SUBSTITUTE(SUBSTITUTE(IF(RDV.1.DATE&gt;A,CONCATENATE("#",DANS.1,"#"),IF(OR(TYPE.1="",RDV.1.DATE="",RDV.1.HEURE=""),"",IF(RDV.1="DEPASSE","#DEPASSE#",IF(RDV2.1&lt;&gt;"AUJOURD'HUI",SUBSTITUTE(CONCATENATE("#",DANS.1,"#")," #","#"),IF(TABLEAU!$K$102&lt;&gt;"",CONCATENATE("#DEPASSE DEPUIS ",MINU.1,PHRASE.RDV.1,"#"),CONCATENATE("#",PHRASE.RDV.1,"#")))))),"]]","]"),")#]#",")]#"),"[[","["),"&amp;#","&amp; #"),"]#]#","]#"),"[#[","["),"(A 1H05): [PPW DE CATCH]","(A 1H05 SUR AB$1): [PPW DE CATCH]"),"])]","])"),"EUROS]","EUROS")," &amp; ","# &amp; #"),"##","#"),"#DEPASSE DEPUIS  (",CONCATENATE("#",TABLEAU!$C$107," (")),"# (",CONCATENATE("#DANS ",TABLEAU!$O$102," ("))),"DANS  (",CONCATENATE("DANS ",TABLEAU!$R$102," ("))," ~ "," "),"##","#"),"# "," "),"=  [","= ["),"#DANS #DEPASSE","#DEPASSE"),"#DEPASSE DEPUIS #DEPASSE#DANS","#DEPASSE DEPUIS"),"#DEPASSE DEPUIS #DEPASSE#DEPASSE",CONCATENATE("#DEPASSE DEPUIS ",TABLEAU!$O$102))),CONCATENATE("(",LOOKUP(WEEKDAY(RDV.1.DATE),SEMAINE)," ",DAY(RDV.1.DATE)," ",LOOKUP(MONTH(RDV.1.DATE),MOIS)," ",YEAR(RDV.1.DATE)," A ",TABLEAU!$J$102,") (",LOOKUP(WEEKDAY(RDV.1.DATE),SEMAINE)," ",DAY(RDV.1.DATE)," ",LOOKUP(MONTH(RDV.1.DATE),MOIS)," ",YEAR(RDV.1.DATE)," A ",TABLEAU!$J$102),CONCATENATE("(",LOOKUP(WEEKDAY(RDV.1.DATE),SEMAINE)," ",DAY(RDV.1.DATE)," ",LOOKUP(MONTH(RDV.1.DATE),MOIS)," ",YEAR(RDV.1.DATE)," A ",TABLEAU!$J$102)),"] &amp; (","]# &amp; #("),"# (A"," (A"),"DANS  [",CONCATENATE("DANS ",TABLEAU!$O$102," ["))," H"," 0H"),"DEPASSE DEPUIS PROCHAINEMENT",CONCATENATE("DANS ",TABLEAU!$O$102)),"DEPASSE DEPUIS SUIVANT",CONCATENATE("DANS ",TABLEAU!$O$102)),"DANS DEPASSE",TABLEAU!$S102),"] &amp; #","]# &amp; #"),"##","#"),"DEPASSE DEPUIS  [",CONCATENATE("DANS ",TABLEAU!$O$102," (A ",TABLEAU!$J$102,"): [")),CONCATENATE(LOOKUP(WEEKDAY(RDV.1.DATE),SEMAINE)," ",DAY(A)," ",MOIS.MAINTENANT.2," ",YEAR(TODAY())," "),"")," JOURS "," JOURS ["),"[[","["),"JOURS [(","JOURS ("),"JOURS [",CONCATENATE("JOURS ",TABLEAU!$D$118,"[")),CONCATENATE(": ",TABLEAU!$E$49),CONCATENATE(": [",TABLEAU!$E$49,"]")),"[[","["),"]]","]"),")= [",") ~ ["),"DANS 00 MIN","MAINTENANT"),"DANS 0","DANS "),")#",")]#"),"DANS= [",CONCATENATE([4]!JHMD," ~ [")),"EUROS]","EUROS"),"): [(","): ("),CONCATENATE("(A ",TABLEAU!$D$98,"H",RDV.1.MIN,"): ("),"~ ("),"#=","#DANS")," () ~"," ~"),"#]#","#")))</f>
        <v>#DANS 3 JOURS (MARDI 5 NOVEMBRE 2019 A 8H00): [COUPE OEUF]= 0,48 EUROS RESTERA: 176,29 EUROS#</v>
      </c>
      <c r="Q49" s="2276"/>
      <c r="R49" s="2276"/>
      <c r="S49" s="2276"/>
      <c r="T49" s="2276"/>
      <c r="U49" s="2276"/>
      <c r="V49" s="2277"/>
      <c r="W49" s="907" t="str">
        <f ca="1">IF(RDV.1.DATE&lt;&gt;A,"",IF(RDV.1.DATE=A,IF(TABLEAU!$B$49="#DEPASSE",TABLEAU!$B$49,"")))</f>
        <v/>
      </c>
      <c r="X49" s="908" t="str">
        <f>UPPER(IF(TABLEAU!$C$49="","",IF(DAY(TABLEAU!$C$49)="","",IF(DAY(TABLEAU!$C$49)=1,"1ER",DAY(TABLEAU!$C$49)))))</f>
        <v>5</v>
      </c>
      <c r="Y49" s="2164" t="str">
        <f ca="1">IF(TABLEAU!$A$49="","",TABLEAU!$B$49)</f>
        <v/>
      </c>
      <c r="Z49" s="2165"/>
      <c r="AA49" s="2169" t="str">
        <f ca="1">IF(COUNTIF(TABLEAU!$B$49:'TABLEAU'!$B$53,"#DEPASSE#")=0,"",IF(COUNTIF(TABLEAU!$B$49:'TABLEAU'!$B$53,"#DEPASSE#")=1,"#1 RDV EST DEPASSE",IF(COUNTIF(TABLEAU!$B$49:'TABLEAU'!$B$53,"#DEPASSE#")&gt;1,CONCATENATE("#",COUNTIF(TABLEAU!$B$49:'TABLEAU'!$B$53,"#DEPASSE#")," RDV SONT DEPASSE"))))</f>
        <v/>
      </c>
      <c r="AB49" s="2170"/>
      <c r="AC49" s="2170"/>
      <c r="AD49" s="2170"/>
      <c r="AE49" s="2171"/>
      <c r="AF49" s="2033"/>
      <c r="AG49" s="2034"/>
      <c r="AH49" s="2034"/>
      <c r="AI49" s="2035"/>
      <c r="AJ49" s="658"/>
      <c r="AK49" s="658"/>
      <c r="AL49" s="1671"/>
      <c r="AM49" s="1672"/>
      <c r="AN49" s="1672"/>
      <c r="AO49" s="1672"/>
      <c r="AP49" s="1672"/>
      <c r="AQ49" s="1672"/>
      <c r="AR49" s="1672"/>
      <c r="AS49" s="1672"/>
      <c r="AT49" s="1672"/>
      <c r="AU49" s="1672"/>
      <c r="AV49" s="1672"/>
      <c r="AW49" s="1672"/>
      <c r="AX49" s="1673"/>
      <c r="AY49" s="1489"/>
      <c r="AZ49" s="1762"/>
      <c r="BA49" s="1764"/>
    </row>
    <row r="50" spans="1:53" ht="54.95" customHeight="1">
      <c r="A50" s="80" t="str">
        <f ca="1">IF(RDV.2="","",IF(RDV.2="DEPASSE","",IF(TABLEAU!$F$108&lt;&gt;"",TABLEAU!$K$108,IF(TABLEAU!$B$50="#DEPASSE#",DEP.2,DIFFERENCE.2))))</f>
        <v/>
      </c>
      <c r="B50" s="956" t="str">
        <f>UPPER(IF(OR(TABLEAU!$C$50="",TABLEAU!$D$50="",TABLEAU!$E$50=""),"",TRIM(SUBSTITUTE(SUBSTITUTE(SUBSTITUTE(SUBSTITUTE(SUBSTITUTE(SUBSTITUTE(SUBSTITUTE(SUBSTITUTE(SUBSTITUTE(SUBSTITUTE(SUBSTITUTE(SUBSTITUTE(SUBSTITUTE(IF(OR(RDV.2.DATE="",RDV.2.HEURE="",TYPE.2=""),"",SUBSTITUTE(SUBSTITUTE(SUBSTITUTE(SUBSTITUTE(SUBSTITUTE(SUBSTITUTE(SUBSTITUTE(SUBSTITUTE(SUBSTITUTE(SUBSTITUTE(IF(TABLEAU!$P$50="#DEPASSE#",CONCATENATE("#",DANS.2," ",DEP.DATE.2,PHRASE.RDV.2,"#"),SUBSTITUTE(SUBSTITUTE(SUBSTITUTE(SUBSTITUTE(SUBSTITUTE(SUBSTITUTE(SUBSTITUTE(SUBSTITUTE(SUBSTITUTE(SUBSTITUTE(SUBSTITUTE(SUBSTITUTE(SUBSTITUTE(TRIM(TABLEAU!$P$50),CONCATENATE(0," ",TYPE.2),CONCATENATE("0'' ~ ",TYPE.2)),CONCATENATE(1," ",TYPE.2),CONCATENATE("1'' ~ ",TYPE.2)),CONCATENATE(2," ",TYPE.2),CONCATENATE("2'' ~ ",TYPE.2)),CONCATENATE(3," ",TYPE.2),CONCATENATE("3'' ~ ",TYPE.2)),CONCATENATE(4," ",TYPE.2),CONCATENATE("4'' ~ ",TYPE.2)),CONCATENATE(5," ",TYPE.2),CONCATENATE("5'' ~ ",TYPE.2)),CONCATENATE(6," ",TYPE.2),CONCATENATE("6'' ~ ",TYPE.2)),CONCATENATE(7," ",TYPE.2),CONCATENATE("7'' ~ ",TYPE.2)),CONCATENATE(8," ",TYPE.2),CONCATENATE("8'' ~ ",TYPE.2)),CONCATENATE(9," ",TYPE.2),CONCATENATE("9'' ~ ",TYPE.2)),"])]","])"),"[#","["),"#]#","]#")),"H (","H00 ("),CONCATENATE(CVB,YEAR(A)," "),""),"DANS 00 MIN","MAINTENANT"),"DANS 0","DANS "),CONCATENATE(DEP.DATE.2,TYPE.2," ",DEP.DATE.2,TYPE.2),CONCATENATE(DEP.DATE.2,TYPE.2)),"]]","]"),"##",""),"# [","#["),"DEMAIN","#DEMAIN"),"# ","#")),"##","#"),"DEPASSE DEPUIS MIN","MAINTENANT"),"DEPASSE (",CONCATENATE("DEPASSE DEPUIS ",A-RDV.2.DATE," JOURS (")),"DEPUIS 1 JOURS","DEPUIS HIER"),"H0 ","H00"),YEAR(A),""),"RESTERA: RESTERA:","RESTERA:"),CONCATENATE("&amp; #",[4]!BILAN),CONCATENATE(" &amp; ",[4]!BILAN)),"#DEPASSE DEPUIS 0 MIN","#MAINTENANT")," DES 0"," DES "),"#]","#"),"EUROS]","EUROS"),"##","#"))))</f>
        <v/>
      </c>
      <c r="C50" s="957"/>
      <c r="D50" s="958"/>
      <c r="E50" s="959"/>
      <c r="F50" s="1561" t="str">
        <f ca="1">UPPER(TRIM(IF(OR(TABLEAU!$C$49&lt;&gt;B,TABLEAU!$C$49="",TABLEAU!$D$49="",TABLEAU!$E$49=""),"",TABLEAU!$B$49)))</f>
        <v/>
      </c>
      <c r="G50" s="844" t="str">
        <f ca="1">IF(TABLEAU!$C$50="","ZZZ",TABLEAU!$C$50-TODAY())</f>
        <v>ZZZ</v>
      </c>
      <c r="H50" s="845" t="str">
        <f>IF(TABLEAU!$E$50="","",TABLEAU!$E$50)</f>
        <v/>
      </c>
      <c r="I50" s="2299" t="str">
        <f ca="1">UPPER(TRIM(SUBSTITUTE(SUBSTITUTE(SUBSTITUTE(SUBSTITUTE(SUBSTITUTE(SUBSTITUTE(SUBSTITUTE(SUBSTITUTE(SUBSTITUTE(SUBSTITUTE(SUBSTITUTE(IF(TABLEAU!$C$50&gt;A,"",IF(TABLEAU!$A$50="DEPASSE","",TABLEAU!$B$50)),"#",""),"1 (","1 ~ ("),"2 (","2 ~ ("),"3 (","3 ~ ("),"4 (","4 ~ ("),"5 (","5 ~ ("),"6 (","6 ~ ("),"7 (","7 ~ ("),"8 (","8 ~ ("),"9 (","9 ~ ("),"0 (","0 ~ (")))</f>
        <v/>
      </c>
      <c r="J50" s="2279"/>
      <c r="K50" s="2279"/>
      <c r="L50" s="2279"/>
      <c r="M50" s="2279"/>
      <c r="N50" s="2279"/>
      <c r="O50" s="2280"/>
      <c r="P50" s="2278" t="str">
        <f ca="1">IF(OR(TABLEAU!$C$50="",TABLEAU!$D$50="",TABLEAU!$E$50=""),"",UPPER(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IF(TABLEAU!$K$103="DEPASSE",CONCATENATE("#DEPASSE DEPUIS ",MINU.2," (A ",TABLEAU!$J$103,"): ",TABLEAU!$E$50,"#"),SUBSTITUTE(SUBSTITUTE(SUBSTITUTE(SUBSTITUTE(SUBSTITUTE(SUBSTITUTE(SUBSTITUTE(SUBSTITUTE(IF(OR(TABLEAU!$C$50="",TABLEAU!$D$50="",TABLEAU!$E$50=""),"",SUBSTITUTE(SUBSTITUTE(SUBSTITUTE(SUBSTITUTE(SUBSTITUTE(SUBSTITUTE(SUBSTITUTE(SUBSTITUTE(SUBSTITUTE(SUBSTITUTE(SUBSTITUTE(SUBSTITUTE(SUBSTITUTE(IF(RDV.2.DATE&gt;A,CONCATENATE("#",DANS.2,"#"),IF(OR(TYPE.2="",RDV.2.DATE="",RDV.2.HEURE=""),"",IF(RDV.2="DEPASSE","#DEPASSE#",IF(RDV2.2&lt;&gt;"AUJOURD'HUI",SUBSTITUTE(CONCATENATE("#",DANS.2,"#")," #","#"),IF(TABLEAU!$K$103&lt;&gt;"",CONCATENATE("#DEPASSE DEPUIS ",MINU.2,PHRASE.RDV.2,"#"),CONCATENATE("#",PHRASE.RDV.2,"#")))))),"]]","]"),")#]#",")]#"),"[[","["),"&amp;#","&amp; #"),"]#]#","]#"),"[#[","["),"(A 1H05): [PPW DE CATCH]","(A 1H05 SUR AB$1): [PPW DE CATCH]"),"])]","])"),"EUROS]","EUROS")," &amp; ","# &amp; #"),"##","#"),"#DEPASSE DEPUIS  (",CONCATENATE("#",TABLEAU!$C$108," (")),"# (",CONCATENATE("#DANS ",TABLEAU!$O$103," ("))),"DANS  (",CONCATENATE("DANS ",TABLEAU!$R$103," ("))," ~ "," "),"##","#"),"# "," "),"=  [","= ["),"#DANS #DEPASSE","#DEPASSE"),"#DEPASSE DEPUIS #DEPASSE#DANS","#DEPASSE DEPUIS"),"#DEPASSE DEPUIS #DEPASSE#DEPASSE",CONCATENATE("#DEPASSE DEPUIS ",TABLEAU!$O$103))),CONCATENATE("(",LOOKUP(WEEKDAY(RDV.2.DATE),SEMAINE)," ",DAY(RDV.2.DATE)," ",LOOKUP(MONTH(RDV.2.DATE),MOIS)," ",YEAR(RDV.2.DATE)," A ",TABLEAU!$J$103,") (",LOOKUP(WEEKDAY(RDV.2.DATE),SEMAINE)," ",DAY(RDV.2.DATE)," ",LOOKUP(MONTH(RDV.2.DATE),MOIS)," ",YEAR(RDV.2.DATE)," A ",TABLEAU!$J$103),CONCATENATE("(",LOOKUP(WEEKDAY(RDV.2.DATE),SEMAINE)," ",DAY(RDV.2.DATE)," ",LOOKUP(MONTH(RDV.2.DATE),MOIS)," ",YEAR(RDV.2.DATE)," A ",TABLEAU!$J$103)),"] &amp; (","]# &amp; #("),"# (A"," (A"),"DANS  [",CONCATENATE("DANS ",TABLEAU!$O$103," ["))," H"," 0H"),"DEPASSE DEPUIS PROCHAINEMENT",CONCATENATE("DANS ",TABLEAU!$O$103)),"DEPASSE DEPUIS SUIVANT",CONCATENATE("DANS ",TABLEAU!$O$103)),"DANS DEPASSE",TABLEAU!$S103),"] &amp; #","]# &amp; #"),"##","#"),"DEPASSE DEPUIS  [",CONCATENATE("DANS ",TABLEAU!$O$103," (A ",TABLEAU!$J$103,"): [")),CONCATENATE(LOOKUP(WEEKDAY(RDV.2.DATE),SEMAINE)," ",DAY(A)," ",MOIS.MAINTENANT.2," ",YEAR(TODAY())," "),"")," JOURS "," JOURS ["),"[[","["),"JOURS [(","JOURS ("),"JOURS [",CONCATENATE("JOURS ",TABLEAU!$D$119,"[")),CONCATENATE(": ",TABLEAU!$E$50),CONCATENATE(": [",TABLEAU!$E$50,"]")),"[[","["),"]]","]"),")= [",") ~ ["),"DANS 00 MIN","MAINTENANT"),"DANS 0","DANS "),")#",")]#"),"DANS= [",CONCATENATE([4]!JHMD," ~ [")),"EUROS]","EUROS"),"): [(","): ("),CONCATENATE("(A ",TABLEAU!$D$98,"H",RDV.2.MIN,"): ("),"~ ("),"#=","#DANS")," () ~"," ~"),"#]#","#")))</f>
        <v/>
      </c>
      <c r="Q50" s="2279"/>
      <c r="R50" s="2279"/>
      <c r="S50" s="2279"/>
      <c r="T50" s="2279"/>
      <c r="U50" s="2279"/>
      <c r="V50" s="2280"/>
      <c r="W50" s="910" t="str">
        <f ca="1">IF(RDV.2.DATE&lt;&gt;A,"",IF(RDV.2.DATE=A,IF(TABLEAU!$B$50="#DEPASSE",TABLEAU!$B$50,"")))</f>
        <v/>
      </c>
      <c r="X50" s="909" t="str">
        <f>UPPER(IF(TABLEAU!$C$50="","",IF(DAY(TABLEAU!$C$50)="","",IF(DAY(TABLEAU!$C$50)=1,"1ER",DAY(TABLEAU!$C$50)))))</f>
        <v/>
      </c>
      <c r="Y50" s="2158" t="str">
        <f ca="1">IF(TABLEAU!$A$50="","",TABLEAU!$B$50)</f>
        <v/>
      </c>
      <c r="Z50" s="2159"/>
      <c r="AA50" s="2172"/>
      <c r="AB50" s="2173"/>
      <c r="AC50" s="2173"/>
      <c r="AD50" s="2173"/>
      <c r="AE50" s="2174"/>
      <c r="AF50" s="2033"/>
      <c r="AG50" s="2034"/>
      <c r="AH50" s="2034"/>
      <c r="AI50" s="2035"/>
      <c r="AJ50" s="659"/>
      <c r="AK50" s="659"/>
      <c r="AL50" s="1671"/>
      <c r="AM50" s="1672"/>
      <c r="AN50" s="1672"/>
      <c r="AO50" s="1672"/>
      <c r="AP50" s="1672"/>
      <c r="AQ50" s="1672"/>
      <c r="AR50" s="1672"/>
      <c r="AS50" s="1672"/>
      <c r="AT50" s="1672"/>
      <c r="AU50" s="1672"/>
      <c r="AV50" s="1672"/>
      <c r="AW50" s="1672"/>
      <c r="AX50" s="1673"/>
      <c r="AY50" s="1489"/>
      <c r="AZ50" s="1762"/>
      <c r="BA50" s="1764"/>
    </row>
    <row r="51" spans="1:53" ht="54.95" customHeight="1">
      <c r="A51" s="469" t="str">
        <f ca="1">IF(RDV.3="","",IF(RDV.3="DEPASSE","",IF(TABLEAU!$F$114&lt;&gt;"",TABLEAU!$K$114,IF(TABLEAU!$B$51="#DEPASSE#",DEP.3,DIFFERENCE.3))))</f>
        <v/>
      </c>
      <c r="B51" s="980" t="str">
        <f>UPPER(IF(OR(TABLEAU!$C$51="",TABLEAU!$D$51="",TABLEAU!$E$51=""),"",TRIM(SUBSTITUTE(SUBSTITUTE(SUBSTITUTE(SUBSTITUTE(SUBSTITUTE(SUBSTITUTE(SUBSTITUTE(SUBSTITUTE(SUBSTITUTE(SUBSTITUTE(SUBSTITUTE(SUBSTITUTE(SUBSTITUTE(IF(OR(RDV.3.DATE="",RDV.3.HEURE="",TYPE.3=""),"",SUBSTITUTE(SUBSTITUTE(SUBSTITUTE(SUBSTITUTE(SUBSTITUTE(SUBSTITUTE(SUBSTITUTE(SUBSTITUTE(SUBSTITUTE(SUBSTITUTE(IF(TABLEAU!$P$51="#DEPASSE#",CONCATENATE("#",DANS.3," ",DEP.DATE.3,PHRASE.RDV.3,"#"),SUBSTITUTE(SUBSTITUTE(SUBSTITUTE(SUBSTITUTE(SUBSTITUTE(SUBSTITUTE(SUBSTITUTE(SUBSTITUTE(SUBSTITUTE(SUBSTITUTE(SUBSTITUTE(SUBSTITUTE(SUBSTITUTE(TRIM(TABLEAU!$P$51),CONCATENATE(0," ",TYPE.3),CONCATENATE("0'' ~ ",TYPE.3)),CONCATENATE(1," ",TYPE.3),CONCATENATE("1'' ~ ",TYPE.3)),CONCATENATE(2," ",TYPE.3),CONCATENATE("2'' ~ ",TYPE.3)),CONCATENATE(3," ",TYPE.3),CONCATENATE("3'' ~ ",TYPE.3)),CONCATENATE(4," ",TYPE.3),CONCATENATE("4'' ~ ",TYPE.3)),CONCATENATE(5," ",TYPE.3),CONCATENATE("5'' ~ ",TYPE.3)),CONCATENATE(6," ",TYPE.3),CONCATENATE("6'' ~ ",TYPE.3)),CONCATENATE(7," ",TYPE.3),CONCATENATE("7'' ~ ",TYPE.3)),CONCATENATE(8," ",TYPE.3),CONCATENATE("8'' ~ ",TYPE.3)),CONCATENATE(9," ",TYPE.3),CONCATENATE("9'' ~ ",TYPE.3)),"])]","])"),"[#","["),"#]#","]#")),"H (","H00 ("),CONCATENATE(CVB,YEAR(A)," "),""),"DANS 00 MIN","MAINTENANT"),"DANS 0","DANS "),CONCATENATE(DEP.DATE.3,TYPE.3," ",DEP.DATE.3,TYPE.3),CONCATENATE(DEP.DATE.3,TYPE.3)),"]]","]"),"##",""),"# [","#["),"DEMAIN","#DEMAIN"),"# ","#")),"##","#"),"DEPASSE DEPUIS MIN","MAINTENANT"),"DEPASSE (",CONCATENATE("DEPASSE DEPUIS ",A-RDV.3.DATE," JOURS (")),"DEPUIS 1 JOURS","DEPUIS HIER"),"H0 ","H00"),YEAR(A),""),"RESTERA: RESTERA:","RESTERA:"),CONCATENATE("&amp; #",[4]!BILAN),CONCATENATE(" &amp; ",[4]!BILAN)),"#DEPASSE DEPUIS 0 MIN","#MAINTENANT")," DES 0"," DES "),"#]","#"),"EUROS]","EUROS"),"##","#"))))</f>
        <v/>
      </c>
      <c r="C51" s="730"/>
      <c r="D51" s="731"/>
      <c r="E51" s="653"/>
      <c r="F51" s="1507" t="str">
        <f ca="1">UPPER(TRIM(IF(OR(TABLEAU!$C$51&lt;&gt;B,TABLEAU!$C$51="",TABLEAU!$D$51="",TABLEAU!$E$51=""),"",TABLEAU!$B$51)))</f>
        <v/>
      </c>
      <c r="G51" s="844" t="str">
        <f ca="1">IF(TABLEAU!$C$51="","ZZZ",TABLEAU!$C$51-TODAY())</f>
        <v>ZZZ</v>
      </c>
      <c r="H51" s="845" t="str">
        <f>IF(TABLEAU!$E$51="","",TABLEAU!$E$51)</f>
        <v/>
      </c>
      <c r="I51" s="2299" t="str">
        <f ca="1">UPPER(TRIM(SUBSTITUTE(SUBSTITUTE(SUBSTITUTE(SUBSTITUTE(SUBSTITUTE(SUBSTITUTE(SUBSTITUTE(SUBSTITUTE(SUBSTITUTE(SUBSTITUTE(SUBSTITUTE(IF(TABLEAU!$C$51&gt;A,"",IF(TABLEAU!$A$51="DEPASSE","",TABLEAU!$B$51)),"#",""),"1 (","1 ~ ("),"2 (","2 ~ ("),"3 (","3 ~ ("),"4 (","4 ~ ("),"5 (","5 ~ ("),"6 (","6 ~ ("),"7 (","7 ~ ("),"8 (","8 ~ ("),"9 (","9 ~ ("),"0 (","0 ~ (")))</f>
        <v/>
      </c>
      <c r="J51" s="2279"/>
      <c r="K51" s="2279"/>
      <c r="L51" s="2279"/>
      <c r="M51" s="2279"/>
      <c r="N51" s="2279"/>
      <c r="O51" s="2280"/>
      <c r="P51" s="2278" t="str">
        <f ca="1">IF(OR(TABLEAU!$C$51="",TABLEAU!$D$51="",TABLEAU!$E$51=""),"",UPPER(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IF(TABLEAU!$K$104="DEPASSE",CONCATENATE("#DEPASSE DEPUIS ",MINU.3," (A ",TABLEAU!$J$104,"): ",TABLEAU!$E$51,"#"),SUBSTITUTE(SUBSTITUTE(SUBSTITUTE(SUBSTITUTE(SUBSTITUTE(SUBSTITUTE(SUBSTITUTE(SUBSTITUTE(IF(OR(TABLEAU!$C$51="",TABLEAU!$D$51="",TABLEAU!$E$51=""),"",SUBSTITUTE(SUBSTITUTE(SUBSTITUTE(SUBSTITUTE(SUBSTITUTE(SUBSTITUTE(SUBSTITUTE(SUBSTITUTE(SUBSTITUTE(SUBSTITUTE(SUBSTITUTE(SUBSTITUTE(SUBSTITUTE(IF(RDV.3.DATE&gt;A,CONCATENATE("#",DANS.3,"#"),IF(OR(TYPE.3="",RDV.3.DATE="",RDV.3.HEURE=""),"",IF(RDV.3="DEPASSE","#DEPASSE#",IF(RDV2.3&lt;&gt;"AUJOURD'HUI",SUBSTITUTE(CONCATENATE("#",DANS.3,"#")," #","#"),IF(TABLEAU!$K$104&lt;&gt;"",CONCATENATE("#DEPASSE DEPUIS ",MINU.3,PHRASE.RDV.3,"#"),CONCATENATE("#",PHRASE.RDV.3,"#")))))),"]]","]"),")#]#",")]#"),"[[","["),"&amp;#","&amp; #"),"]#]#","]#"),"[#[","["),"(A 1H05): [PPW DE CATCH]","(A 1H05 SUR AB$1): [PPW DE CATCH]"),"])]","])"),"EUROS]","EUROS")," &amp; ","# &amp; #"),"##","#"),"#DEPASSE DEPUIS  (",CONCATENATE("#",TABLEAU!$C$109," (")),"# (",CONCATENATE("#DANS ",TABLEAU!$O$104," ("))),"DANS  (",CONCATENATE("DANS ",TABLEAU!$R$104," ("))," ~ "," "),"##","#"),"# "," "),"=  [","= ["),"#DANS #DEPASSE","#DEPASSE"),"#DEPASSE DEPUIS #DEPASSE#DANS","#DEPASSE DEPUIS"),"#DEPASSE DEPUIS #DEPASSE#DEPASSE",CONCATENATE("#DEPASSE DEPUIS ",TABLEAU!$O$104))),CONCATENATE("(",LOOKUP(WEEKDAY(RDV.3.DATE),SEMAINE)," ",DAY(RDV.3.DATE)," ",LOOKUP(MONTH(RDV.3.DATE),MOIS)," ",YEAR(RDV.3.DATE)," A ",TABLEAU!$J$104,") (",LOOKUP(WEEKDAY(RDV.3.DATE),SEMAINE)," ",DAY(RDV.3.DATE)," ",LOOKUP(MONTH(RDV.3.DATE),MOIS)," ",YEAR(RDV.3.DATE)," A ",TABLEAU!$J$104),CONCATENATE("(",LOOKUP(WEEKDAY(RDV.3.DATE),SEMAINE)," ",DAY(RDV.3.DATE)," ",LOOKUP(MONTH(RDV.3.DATE),MOIS)," ",YEAR(RDV.3.DATE)," A ",TABLEAU!$J$104)),"] &amp; (","]# &amp; #("),"# (A"," (A"),"DANS  [",CONCATENATE("DANS ",TABLEAU!$O$104," ["))," H"," 0H"),"DEPASSE DEPUIS PROCHAINEMENT",CONCATENATE("DANS ",TABLEAU!$O$104)),"DEPASSE DEPUIS SUIVANT",CONCATENATE("DANS ",TABLEAU!$O$104)),"DANS DEPASSE",TABLEAU!$S104),"] &amp; #","]# &amp; #"),"##","#"),"DEPASSE DEPUIS  [",CONCATENATE("DANS ",TABLEAU!$O$104," (A ",TABLEAU!$J$104,"): [")),CONCATENATE(LOOKUP(WEEKDAY(RDV.3.DATE),SEMAINE)," ",DAY(A)," ",MOIS.MAINTENANT.2," ",YEAR(TODAY())," "),"")," JOURS "," JOURS ["),"[[","["),"JOURS [(","JOURS ("),"JOURS [",CONCATENATE("JOURS ",TABLEAU!$D$120,"[")),CONCATENATE(": ",TABLEAU!$E$51),CONCATENATE(": [",TABLEAU!$E$51,"]")),"[[","["),"]]","]"),")= [",") ~ ["),"DANS 00 MIN","MAINTENANT"),"DANS 0","DANS "),")#",")]#"),"DANS= [",CONCATENATE([4]!JHMD," ~ [")),"EUROS]","EUROS"),"): [(","): ("),CONCATENATE("(A ",TABLEAU!$D$98,"H",RDV.3.MIN,"): ("),"~ ("),"#=","#DANS")," () ~"," ~"),"#]#","#")))</f>
        <v/>
      </c>
      <c r="Q51" s="2279"/>
      <c r="R51" s="2279"/>
      <c r="S51" s="2279"/>
      <c r="T51" s="2279"/>
      <c r="U51" s="2279"/>
      <c r="V51" s="2280"/>
      <c r="W51" s="910" t="str">
        <f ca="1">IF(RDV.3.DATE&lt;&gt;A,"",IF(RDV.3.DATE=A,IF(TABLEAU!$B$51="#DEPASSE",TABLEAU!$B$51,"")))</f>
        <v/>
      </c>
      <c r="X51" s="909" t="str">
        <f>UPPER(IF(TABLEAU!$C$51="","",IF(DAY(TABLEAU!$C$51)="","",IF(DAY(TABLEAU!$C$51)=1,"1ER",DAY(TABLEAU!$C$51)))))</f>
        <v/>
      </c>
      <c r="Y51" s="2158" t="str">
        <f ca="1">IF(TABLEAU!$A$51="","",TABLEAU!$B$51)</f>
        <v/>
      </c>
      <c r="Z51" s="2159"/>
      <c r="AA51" s="2172"/>
      <c r="AB51" s="2173"/>
      <c r="AC51" s="2173"/>
      <c r="AD51" s="2173"/>
      <c r="AE51" s="2174"/>
      <c r="AF51" s="2033"/>
      <c r="AG51" s="2034"/>
      <c r="AH51" s="2034"/>
      <c r="AI51" s="2035"/>
      <c r="AJ51" s="659"/>
      <c r="AK51" s="659"/>
      <c r="AL51" s="1671"/>
      <c r="AM51" s="1672"/>
      <c r="AN51" s="1672"/>
      <c r="AO51" s="1672"/>
      <c r="AP51" s="1672"/>
      <c r="AQ51" s="1672"/>
      <c r="AR51" s="1672"/>
      <c r="AS51" s="1672"/>
      <c r="AT51" s="1672"/>
      <c r="AU51" s="1672"/>
      <c r="AV51" s="1672"/>
      <c r="AW51" s="1672"/>
      <c r="AX51" s="1673"/>
      <c r="AY51" s="1489"/>
      <c r="AZ51" s="1762"/>
      <c r="BA51" s="1764"/>
    </row>
    <row r="52" spans="1:53" ht="54.95" customHeight="1">
      <c r="A52" s="469" t="str">
        <f ca="1">IF(RDV.4="","",IF(RDV.4="DEPASSE","",IF(TABLEAU!$F$120&lt;&gt;"",TABLEAU!$K$120,IF(TABLEAU!$B$52="#DEPASSE#",DEP.4,DIFFERENCE.4))))</f>
        <v/>
      </c>
      <c r="B52" s="525" t="str">
        <f>UPPER(IF(OR(TABLEAU!$C$52="",TABLEAU!$D$52="",TABLEAU!$E$52=""),"",TRIM(SUBSTITUTE(SUBSTITUTE(SUBSTITUTE(SUBSTITUTE(SUBSTITUTE(SUBSTITUTE(SUBSTITUTE(SUBSTITUTE(SUBSTITUTE(SUBSTITUTE(SUBSTITUTE(SUBSTITUTE(SUBSTITUTE(IF(OR(RDV.4.DATE="",RDV.4.HEURE="",TYPE.4=""),"",SUBSTITUTE(SUBSTITUTE(SUBSTITUTE(SUBSTITUTE(SUBSTITUTE(SUBSTITUTE(SUBSTITUTE(SUBSTITUTE(SUBSTITUTE(SUBSTITUTE(IF(TABLEAU!$P$52="#DEPASSE#",CONCATENATE("#",DANS.4," ",DEP.DATE.4,PHRASE.RDV.4,"#"),SUBSTITUTE(SUBSTITUTE(SUBSTITUTE(SUBSTITUTE(SUBSTITUTE(SUBSTITUTE(SUBSTITUTE(SUBSTITUTE(SUBSTITUTE(SUBSTITUTE(SUBSTITUTE(SUBSTITUTE(SUBSTITUTE(TRIM(TABLEAU!$P$52),CONCATENATE(0," ",TYPE.4),CONCATENATE("0'' ~ ",TYPE.4)),CONCATENATE(1," ",TYPE.4),CONCATENATE("1'' ~ ",TYPE.4)),CONCATENATE(2," ",TYPE.4),CONCATENATE("2'' ~ ",TYPE.4)),CONCATENATE(3," ",TYPE.4),CONCATENATE("3'' ~ ",TYPE.4)),CONCATENATE(4," ",TYPE.4),CONCATENATE("4'' ~ ",TYPE.4)),CONCATENATE(5," ",TYPE.4),CONCATENATE("5'' ~ ",TYPE.4)),CONCATENATE(6," ",TYPE.4),CONCATENATE("6'' ~ ",TYPE.4)),CONCATENATE(7," ",TYPE.4),CONCATENATE("7'' ~ ",TYPE.4)),CONCATENATE(8," ",TYPE.4),CONCATENATE("8'' ~ ",TYPE.4)),CONCATENATE(9," ",TYPE.4),CONCATENATE("9'' ~ ",TYPE.4)),"])]","])"),"[#","["),"#]#","]#")),"H (","H00 ("),CONCATENATE(CVB,YEAR(A)," "),""),"DANS 00 MIN","MAINTENANT"),"DANS 0","DANS "),CONCATENATE(DEP.DATE.4,TYPE.4," ",DEP.DATE.4,TYPE.4),CONCATENATE(DEP.DATE.4,TYPE.4)),"]]","]"),"##",""),"# [","#["),"DEMAIN","#DEMAIN"),"# ","#")),"##","#"),"DEPASSE DEPUIS MIN","MAINTENANT"),"DEPASSE (",CONCATENATE("DEPASSE DEPUIS ",A-RDV.4.DATE," JOURS (")),"DEPUIS 1 JOURS","DEPUIS HIER"),"H0 ","H00"),YEAR(A),""),"RESTERA: RESTERA:","RESTERA:"),CONCATENATE("&amp; #",[4]!BILAN),CONCATENATE(" &amp; ",[4]!BILAN)),"#DEPASSE DEPUIS 0 MIN","#MAINTENANT")," DES 0"," DES "),"#]","#"),"EUROS]","EUROS"),"##","#"))))</f>
        <v/>
      </c>
      <c r="C52" s="730"/>
      <c r="D52" s="731"/>
      <c r="E52" s="959"/>
      <c r="F52" s="1452" t="str">
        <f ca="1">UPPER(TRIM(IF(OR(TABLEAU!$C$52&lt;&gt;B,TABLEAU!$C$52="",TABLEAU!$D$52="",TABLEAU!$E$52=""),"",TABLEAU!$B$52)))</f>
        <v/>
      </c>
      <c r="G52" s="844" t="str">
        <f ca="1">IF(TABLEAU!$C$52="","ZZZ",TABLEAU!$C$52-TODAY())</f>
        <v>ZZZ</v>
      </c>
      <c r="H52" s="845" t="str">
        <f>IF(TABLEAU!$E$52="","",TABLEAU!$E$52)</f>
        <v/>
      </c>
      <c r="I52" s="2299" t="str">
        <f ca="1">UPPER(TRIM(SUBSTITUTE(SUBSTITUTE(SUBSTITUTE(SUBSTITUTE(SUBSTITUTE(SUBSTITUTE(SUBSTITUTE(SUBSTITUTE(SUBSTITUTE(SUBSTITUTE(SUBSTITUTE(IF(TABLEAU!$C$52&gt;A,"",IF(TABLEAU!$A$52="DEPASSE","",TABLEAU!$B$52)),"#",""),"1 (","1 ~ ("),"2 (","2 ~ ("),"3 (","3 ~ ("),"4 (","4 ~ ("),"5 (","5 ~ ("),"6 (","6 ~ ("),"7 (","7 ~ ("),"8 (","8 ~ ("),"9 (","9 ~ ("),"0 (","0 ~ (")))</f>
        <v/>
      </c>
      <c r="J52" s="2279"/>
      <c r="K52" s="2279"/>
      <c r="L52" s="2279"/>
      <c r="M52" s="2279"/>
      <c r="N52" s="2279"/>
      <c r="O52" s="2280"/>
      <c r="P52" s="2278" t="str">
        <f ca="1">IF(OR(TABLEAU!$C$52="",TABLEAU!$D$52="",TABLEAU!$E$52=""),"",UPPER(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IF(TABLEAU!$K$105="DEPASSE",CONCATENATE("#DEPASSE DEPUIS ",MINU.4," (A ",TABLEAU!$J$105,"): ",TABLEAU!$E$52,"#"),SUBSTITUTE(SUBSTITUTE(SUBSTITUTE(SUBSTITUTE(SUBSTITUTE(SUBSTITUTE(SUBSTITUTE(SUBSTITUTE(IF(OR(TABLEAU!$C$52="",TABLEAU!$D$52="",TABLEAU!$E$52=""),"",SUBSTITUTE(SUBSTITUTE(SUBSTITUTE(SUBSTITUTE(SUBSTITUTE(SUBSTITUTE(SUBSTITUTE(SUBSTITUTE(SUBSTITUTE(SUBSTITUTE(SUBSTITUTE(SUBSTITUTE(SUBSTITUTE(IF(RDV.4.DATE&gt;A,CONCATENATE("#",DANS.4,"#"),IF(OR(TYPE.4="",RDV.4.DATE="",RDV.4.HEURE=""),"",IF(RDV.4="DEPASSE","#DEPASSE#",IF(RDV2.4&lt;&gt;"AUJOURD'HUI",SUBSTITUTE(CONCATENATE("#",DANS.4,"#")," #","#"),IF(TABLEAU!$K$105&lt;&gt;"",CONCATENATE("#DEPASSE DEPUIS ",MINU.4,PHRASE.RDV.4,"#"),CONCATENATE("#",PHRASE.RDV.4,"#")))))),"]]","]"),")#]#",")]#"),"[[","["),"&amp;#","&amp; #"),"]#]#","]#"),"[#[","["),"(A 1H05): [PPW DE CATCH]","(A 1H05 SUR AB$1): [PPW DE CATCH]"),"])]","])"),"EUROS]","EUROS")," &amp; ","# &amp; #"),"##","#"),"#DEPASSE DEPUIS  (",CONCATENATE("#",TABLEAU!$C$110," (")),"# (",CONCATENATE("#DANS ",TABLEAU!$O$105," ("))),"DANS  (",CONCATENATE("DANS ",TABLEAU!$R$105," ("))," ~ "," "),"##","#"),"# "," "),"=  [","= ["),"#DANS #DEPASSE","#DEPASSE"),"#DEPASSE DEPUIS #DEPASSE#DANS","#DEPASSE DEPUIS"),"#DEPASSE DEPUIS #DEPASSE#DEPASSE",CONCATENATE("#DEPASSE DEPUIS ",TABLEAU!$O$105))),CONCATENATE("(",LOOKUP(WEEKDAY(RDV.4.DATE),SEMAINE)," ",DAY(RDV.4.DATE)," ",LOOKUP(MONTH(RDV.4.DATE),MOIS)," ",YEAR(RDV.4.DATE)," A ",TABLEAU!$J$105,") (",LOOKUP(WEEKDAY(RDV.4.DATE),SEMAINE)," ",DAY(RDV.4.DATE)," ",LOOKUP(MONTH(RDV.4.DATE),MOIS)," ",YEAR(RDV.4.DATE)," A ",TABLEAU!$J$105),CONCATENATE("(",LOOKUP(WEEKDAY(RDV.4.DATE),SEMAINE)," ",DAY(RDV.4.DATE)," ",LOOKUP(MONTH(RDV.4.DATE),MOIS)," ",YEAR(RDV.4.DATE)," A ",TABLEAU!$J$105)),"] &amp; (","]# &amp; #("),"# (A"," (A"),"DANS  [",CONCATENATE("DANS ",TABLEAU!$O$105," ["))," H"," 0H"),"DEPASSE DEPUIS PROCHAINEMENT",CONCATENATE("DANS ",TABLEAU!$O$105)),"DEPASSE DEPUIS SUIVANT",CONCATENATE("DANS ",TABLEAU!$O$105)),"DANS DEPASSE",TABLEAU!$S105),"] &amp; #","]# &amp; #"),"##","#"),"DEPASSE DEPUIS  [",CONCATENATE("DANS ",TABLEAU!$O$105," (A ",TABLEAU!$J$105,"): [")),CONCATENATE(LOOKUP(WEEKDAY(RDV.4.DATE),SEMAINE)," ",DAY(A)," ",MOIS.MAINTENANT.2," ",YEAR(TODAY())," "),"")," JOURS "," JOURS ["),"[[","["),"JOURS [(","JOURS ("),"JOURS [",CONCATENATE("JOURS ",TABLEAU!$D$121,"[")),CONCATENATE(": ",TABLEAU!$E$52),CONCATENATE(": [",TABLEAU!$E$52,"]")),"[[","["),"]]","]"),")= [",") ~ ["),"DANS 00 MIN","MAINTENANT"),"DANS 0","DANS "),")#",")]#"),"DANS= [",CONCATENATE([4]!JHMD," ~ [")),"EUROS]","EUROS"),"): [(","): ("),CONCATENATE("(A ",TABLEAU!$D$98,"H",RDV.4.MIN,"): ("),"~ ("),"#=","#DANS")," () ~"," ~"),"#]#","#")))</f>
        <v/>
      </c>
      <c r="Q52" s="2279"/>
      <c r="R52" s="2279"/>
      <c r="S52" s="2279"/>
      <c r="T52" s="2279"/>
      <c r="U52" s="2279"/>
      <c r="V52" s="2280"/>
      <c r="W52" s="911" t="str">
        <f ca="1">IF(RDV.4.DATE&lt;&gt;A,"",IF(RDV.4.DATE=A,IF(TABLEAU!$B$52="#DEPASSE",TABLEAU!$B$52,"")))</f>
        <v/>
      </c>
      <c r="X52" s="909"/>
      <c r="Y52" s="2160" t="str">
        <f ca="1">IF(TABLEAU!$A$52="","",TABLEAU!$B$52)</f>
        <v/>
      </c>
      <c r="Z52" s="2161"/>
      <c r="AA52" s="2172"/>
      <c r="AB52" s="2173"/>
      <c r="AC52" s="2173"/>
      <c r="AD52" s="2173"/>
      <c r="AE52" s="2174"/>
      <c r="AF52" s="2033"/>
      <c r="AG52" s="2034"/>
      <c r="AH52" s="2034"/>
      <c r="AI52" s="2035"/>
      <c r="AJ52" s="659"/>
      <c r="AK52" s="659"/>
      <c r="AL52" s="1671"/>
      <c r="AM52" s="1672"/>
      <c r="AN52" s="1672"/>
      <c r="AO52" s="1672"/>
      <c r="AP52" s="1672"/>
      <c r="AQ52" s="1672"/>
      <c r="AR52" s="1672"/>
      <c r="AS52" s="1672"/>
      <c r="AT52" s="1672"/>
      <c r="AU52" s="1672"/>
      <c r="AV52" s="1672"/>
      <c r="AW52" s="1672"/>
      <c r="AX52" s="1673"/>
      <c r="AY52" s="1489"/>
      <c r="AZ52" s="1762"/>
      <c r="BA52" s="1764"/>
    </row>
    <row r="53" spans="1:53" ht="54.95" customHeight="1" thickBot="1">
      <c r="A53" s="469" t="str">
        <f ca="1">IF(RDV.5="","",IF(RDV.5="DEPASSE","",IF(TABLEAU!$F$126&lt;&gt;"",TABLEAU!$K$126,IF(TABLEAU!$B$53="#DEPASSE#",DEP.5,DIFFERENCE.5))))</f>
        <v/>
      </c>
      <c r="B53" s="980" t="str">
        <f>UPPER(IF(OR(TABLEAU!$C$53="",TABLEAU!$D$53="",TABLEAU!$E$53=""),"",TRIM(SUBSTITUTE(SUBSTITUTE(SUBSTITUTE(SUBSTITUTE(SUBSTITUTE(SUBSTITUTE(SUBSTITUTE(SUBSTITUTE(SUBSTITUTE(SUBSTITUTE(SUBSTITUTE(SUBSTITUTE(SUBSTITUTE(IF(OR(RDV.5.DATE="",RDV.5.HEURE="",TYPE.5=""),"",SUBSTITUTE(SUBSTITUTE(SUBSTITUTE(SUBSTITUTE(SUBSTITUTE(SUBSTITUTE(SUBSTITUTE(SUBSTITUTE(SUBSTITUTE(SUBSTITUTE(IF(TABLEAU!$P$53="#DEPASSE#",CONCATENATE("#",DANS.5," ",DEP.DATE.5,PHRASE.RDV.5,"#"),SUBSTITUTE(SUBSTITUTE(SUBSTITUTE(SUBSTITUTE(SUBSTITUTE(SUBSTITUTE(SUBSTITUTE(SUBSTITUTE(SUBSTITUTE(SUBSTITUTE(SUBSTITUTE(SUBSTITUTE(SUBSTITUTE(TRIM(TABLEAU!$P$53),CONCATENATE(0," ",TYPE.5),CONCATENATE("0'' ~ ",TYPE.5)),CONCATENATE(1," ",TYPE.5),CONCATENATE("1'' ~ ",TYPE.5)),CONCATENATE(2," ",TYPE.5),CONCATENATE("2'' ~ ",TYPE.5)),CONCATENATE(3," ",TYPE.5),CONCATENATE("3'' ~ ",TYPE.5)),CONCATENATE(4," ",TYPE.5),CONCATENATE("4'' ~ ",TYPE.5)),CONCATENATE(5," ",TYPE.5),CONCATENATE("5'' ~ ",TYPE.5)),CONCATENATE(6," ",TYPE.5),CONCATENATE("6'' ~ ",TYPE.5)),CONCATENATE(7," ",TYPE.5),CONCATENATE("7'' ~ ",TYPE.5)),CONCATENATE(8," ",TYPE.5),CONCATENATE("8'' ~ ",TYPE.5)),CONCATENATE(9," ",TYPE.5),CONCATENATE("9'' ~ ",TYPE.5)),"])]","])"),"[#","["),"#]#","]#")),"H (","H00 ("),CONCATENATE(CVB,YEAR(A)," "),""),"DANS 00 MIN","MAINTENANT"),"DANS 0","DANS "),CONCATENATE(DEP.DATE.5,TYPE.5," ",DEP.DATE.5,TYPE.5),CONCATENATE(DEP.DATE.5,TYPE.5)),"]]","]"),"##",""),"# [","#["),"DEMAIN","#DEMAIN"),"# ","#")),"##","#"),"DEPASSE DEPUIS MIN","MAINTENANT"),"DEPASSE (",CONCATENATE("DEPASSE DEPUIS ",A-RDV.5.DATE," JOURS (")),"DEPUIS 1 JOURS","DEPUIS HIER"),"H0 ","H00"),YEAR(A),""),"RESTERA: RESTERA:","RESTERA:"),CONCATENATE("&amp; #",[4]!BILAN),CONCATENATE(" &amp; ",[4]!BILAN)),"#DEPASSE DEPUIS 0 MIN","#MAINTENANT")," DES 0"," DES "),"#]","#"),"EUROS]","EUROS"),"##","#"))))</f>
        <v/>
      </c>
      <c r="C53" s="730"/>
      <c r="D53" s="731"/>
      <c r="E53" s="1442"/>
      <c r="F53" s="843" t="str">
        <f ca="1">UPPER(TRIM(IF(OR(TABLEAU!$C$53&lt;&gt;B,TABLEAU!$C$53="",TABLEAU!$D$53="",TABLEAU!$E$53=""),"",TABLEAU!$B$53)))</f>
        <v/>
      </c>
      <c r="G53" s="1440" t="str">
        <f ca="1">IF(TABLEAU!$C$53="","ZZZ",TABLEAU!$C$53-TODAY())</f>
        <v>ZZZ</v>
      </c>
      <c r="H53" s="903" t="str">
        <f>IF(TABLEAU!$E$53="","",TABLEAU!$E$53)</f>
        <v/>
      </c>
      <c r="I53" s="2405" t="str">
        <f ca="1">UPPER(TRIM(SUBSTITUTE(SUBSTITUTE(SUBSTITUTE(SUBSTITUTE(SUBSTITUTE(SUBSTITUTE(SUBSTITUTE(SUBSTITUTE(SUBSTITUTE(SUBSTITUTE(SUBSTITUTE(IF(TABLEAU!$C$53&gt;A,"",IF(TABLEAU!$A$53="DEPASSE","",TABLEAU!$B$53)),"#",""),"1 (","1 ~ ("),"2 (","2 ~ ("),"3 (","3 ~ ("),"4 (","4 ~ ("),"5 (","5 ~ ("),"6 (","6 ~ ("),"7 (","7 ~ ("),"8 (","8 ~ ("),"9 (","9 ~ ("),"0 (","0 ~ (")))</f>
        <v/>
      </c>
      <c r="J53" s="2406"/>
      <c r="K53" s="2406"/>
      <c r="L53" s="2406"/>
      <c r="M53" s="2406"/>
      <c r="N53" s="2406"/>
      <c r="O53" s="2407"/>
      <c r="P53" s="2411" t="str">
        <f ca="1">IF(OR(TABLEAU!$C$53="",TABLEAU!$D$53="",TABLEAU!$E$53=""),"",UPPER(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IF(TABLEAU!$K$106="DEPASSE",CONCATENATE("#DEPASSE DEPUIS ",MINU.5," (A ",TABLEAU!$J$106,"): ",TABLEAU!$E$53,"#"),SUBSTITUTE(SUBSTITUTE(SUBSTITUTE(SUBSTITUTE(SUBSTITUTE(SUBSTITUTE(SUBSTITUTE(SUBSTITUTE(IF(OR(TABLEAU!$C$53="",TABLEAU!$D$53="",TABLEAU!$E$53=""),"",SUBSTITUTE(SUBSTITUTE(SUBSTITUTE(SUBSTITUTE(SUBSTITUTE(SUBSTITUTE(SUBSTITUTE(SUBSTITUTE(SUBSTITUTE(SUBSTITUTE(SUBSTITUTE(SUBSTITUTE(SUBSTITUTE(IF(RDV.5.DATE&gt;A,CONCATENATE("#",DANS.5,"#"),IF(OR(TYPE.5="",RDV.5.DATE="",RDV.5.HEURE=""),"",IF(RDV.5="DEPASSE","#DEPASSE#",IF(RDV2.5&lt;&gt;"AUJOURD'HUI",SUBSTITUTE(CONCATENATE("#",DANS.5,"#")," #","#"),IF(TABLEAU!$K$106&lt;&gt;"",CONCATENATE("#DEPASSE DEPUIS ",MINU.5,PHRASE.RDV.5,"#"),CONCATENATE("#",PHRASE.RDV.5,"#")))))),"]]","]"),")#]#",")]#"),"[[","["),"&amp;#","&amp; #"),"]#]#","]#"),"[#[","["),"(A 1H05): [PPW DE CATCH]","(A 1H05 SUR AB$1): [PPW DE CATCH]"),"])]","])"),"EUROS]","EUROS")," &amp; ","# &amp; #"),"##","#"),"#DEPASSE DEPUIS  (",CONCATENATE("#",TABLEAU!$C$111," (")),"# (",CONCATENATE("#DANS ",TABLEAU!$O$106," ("))),"DANS  (",CONCATENATE("DANS ",TABLEAU!$R$106," ("))," ~ "," "),"##","#"),"# "," "),"=  [","= ["),"#DANS #DEPASSE","#DEPASSE"),"#DEPASSE DEPUIS #DEPASSE#DANS","#DEPASSE DEPUIS"),"#DEPASSE DEPUIS #DEPASSE#DEPASSE",CONCATENATE("#DEPASSE DEPUIS ",TABLEAU!$O$106))),CONCATENATE("(",LOOKUP(WEEKDAY(RDV.5.DATE),SEMAINE)," ",DAY(RDV.5.DATE)," ",LOOKUP(MONTH(RDV.5.DATE),MOIS)," ",YEAR(RDV.5.DATE)," A ",TABLEAU!$J$106,") (",LOOKUP(WEEKDAY(RDV.5.DATE),SEMAINE)," ",DAY(RDV.5.DATE)," ",LOOKUP(MONTH(RDV.5.DATE),MOIS)," ",YEAR(RDV.5.DATE)," A ",TABLEAU!$J$106),CONCATENATE("(",LOOKUP(WEEKDAY(RDV.5.DATE),SEMAINE)," ",DAY(RDV.5.DATE)," ",LOOKUP(MONTH(RDV.5.DATE),MOIS)," ",YEAR(RDV.5.DATE)," A ",TABLEAU!$J$106)),"] &amp; (","]# &amp; #("),"# (A"," (A"),"DANS  [",CONCATENATE("DANS ",TABLEAU!$O$106," ["))," H"," 0H"),"DEPASSE DEPUIS PROCHAINEMENT",CONCATENATE("DANS ",TABLEAU!$O$106)),"DEPASSE DEPUIS SUIVANT",CONCATENATE("DANS ",TABLEAU!$O$106)),"DANS DEPASSE",TABLEAU!$S106),"] &amp; #","]# &amp; #"),"##","#"),"DEPASSE DEPUIS  [",CONCATENATE("DANS ",TABLEAU!$O$106," (A ",TABLEAU!$J$106,"): [")),CONCATENATE(LOOKUP(WEEKDAY(RDV.5.DATE),SEMAINE)," ",DAY(A)," ",MOIS.MAINTENANT.2," ",YEAR(TODAY())," "),"")," JOURS "," JOURS ["),"[[","["),"JOURS [(","JOURS ("),"JOURS [",CONCATENATE("JOURS ",TABLEAU!$D$122,"[")),CONCATENATE(": ",TABLEAU!$E$53),CONCATENATE(": [",TABLEAU!$E$53,"]")),"[[","["),"]]","]"),")= [",") ~ ["),"DANS 00 MIN","MAINTENANT"),"DANS 0","DANS "),")#",")]#"),"DANS= [",CONCATENATE([4]!JHMD," ~ [")),"EUROS]","EUROS"),"): [(","): ("),CONCATENATE("(A ",TABLEAU!$D$98,"H",RDV.5.MIN,"): ("),"~ ("),"#=","#DANS")," () ~"," ~"),"#]#","#")))</f>
        <v/>
      </c>
      <c r="Q53" s="2412"/>
      <c r="R53" s="2412"/>
      <c r="S53" s="2412"/>
      <c r="T53" s="2412"/>
      <c r="U53" s="2412"/>
      <c r="V53" s="2413"/>
      <c r="W53" s="1419" t="str">
        <f ca="1">IF(RDV.5.DATE&lt;&gt;A,"",IF(RDV.5.DATE=A,IF(TABLEAU!$B$53="#DEPASSE",TABLEAU!$B$53,"")))</f>
        <v/>
      </c>
      <c r="X53" s="1420" t="str">
        <f>UPPER(IF(TABLEAU!$C$53="","",IF(DAY(TABLEAU!$C$53)="","",IF(DAY(TABLEAU!$C$53)=1,"1ER",DAY(TABLEAU!$C$53)))))</f>
        <v/>
      </c>
      <c r="Y53" s="2156" t="str">
        <f ca="1">IF(TABLEAU!$A$53="","",TABLEAU!$B$53)</f>
        <v/>
      </c>
      <c r="Z53" s="2157"/>
      <c r="AA53" s="2172"/>
      <c r="AB53" s="2173"/>
      <c r="AC53" s="2173"/>
      <c r="AD53" s="2173"/>
      <c r="AE53" s="2174"/>
      <c r="AF53" s="2036"/>
      <c r="AG53" s="2037"/>
      <c r="AH53" s="2037"/>
      <c r="AI53" s="2038"/>
      <c r="AJ53" s="660"/>
      <c r="AK53" s="660"/>
      <c r="AL53" s="1674"/>
      <c r="AM53" s="1675"/>
      <c r="AN53" s="1675"/>
      <c r="AO53" s="1675"/>
      <c r="AP53" s="1675"/>
      <c r="AQ53" s="1675"/>
      <c r="AR53" s="1675"/>
      <c r="AS53" s="1675"/>
      <c r="AT53" s="1675"/>
      <c r="AU53" s="1675"/>
      <c r="AV53" s="1675"/>
      <c r="AW53" s="1675"/>
      <c r="AX53" s="1676"/>
      <c r="AY53" s="1493"/>
      <c r="AZ53" s="1690"/>
      <c r="BA53" s="1692"/>
    </row>
    <row r="54" spans="1:53" ht="32.1" customHeight="1" thickTop="1" thickBot="1">
      <c r="A54" s="1548" t="str">
        <f>SUBSTITUTE(SUBSTITUTE(SUBSTITUTE(IF(OR(TABLEAU!$C54,TABLEAU!$D54=""),"",SUBSTITUTE(SUBSTITUTE(SUBSTITUTE(SUBSTITUTE(SUBSTITUTE(SUBSTITUTE(SUBSTITUTE(SUBSTITUTE(SUBSTITUTE(SUBSTITUTE(SUBSTITUTE(SUBSTITUTE(SUBSTITUTE(SUBSTITUTE(SUBSTITUTE(SUBSTITUTE(SUBSTITUTE(SUBSTITUTE(SUBSTITUTE(SUBSTITUTE(SUBSTITUTE(SUBSTITUTE(SUBSTITUTE(SUBSTITUTE(IF(TABLEAU!$C54="","",SUBSTITUTE(IF(TABLEAU!$AE54="",TABLEAU!$U54,TABLEAU!$AE54),CONCATENATE(CVB,YEAR(A)," "),""))," #"," "),"] &amp; D","]# &amp; #D")," &amp; (A",CONCATENATE("# &amp; #",TABLEAU!$H54,"A")),"&amp; DEPASSE","&amp; #DEPASSE"),"## &amp; #A","# &amp; #(A"),"DANS MAINTENANT","MAINTENANT"),CONCATENATE(" H",TABLEAU!$N54),CONCATENATE(" ",TABLEAU!$N54," MIN"))," 0"," "),"] &amp;D","]# &amp; #D"),"}  MIN","} H"),"# &amp; D","# &amp; #D"),CONCATENATE("#MAINTENANT (A ",TABLEAU!$Z54,"): MAINTENANT"),"#MAINTENANT"),TABLEAU!$AB$2,""),TABLEAU!$AM$5,"")," MINAMILTON","HAMILTON"),CONCATENATE(TABLEAU!$Z54," ",TABLEAU!$Z54),TABLEAU!$Z54),"DEPUIS  MINIER","DEPUIS HIER"),"MINONGRIE","HONGRIE"),"#DANS (#DEPASSE","#DEPASSE"),CONCATENATE(" ",YEAR(A)),""),"]= [","= ["),")])",")]"),"#DEPASSE DEPUISDANS","#DANS"),"(A 1A ):",CONCATENATE("(A ",HOUR(TABLEAU!$D54),"H",TABLEAU!$F54,"):"))),"SUR "," SUR "),"  SUR "," SUR "),CONCATENATE("DEPASSE DEPUIS ",TABLEAU!$M54," (A DANS"),"DANS")</f>
        <v/>
      </c>
      <c r="B54" s="2227" t="str">
        <f ca="1">IF(A.VERIFIER&lt;&gt;"",A.VERIFIER,SUBSTITUTE(IF(TABLEAU!$A$208="",CONCATENATE(JH," ",TABLEAU!$AN$21),TABLEAU!$A$208),"0HIER","HIER"))</f>
        <v>#DANS 7H45 (A 20H45): [CHAMPIONNAT]# &amp; #DANS 7H40 (A 20H40 SUR AB1): [SMACKDOWN]#</v>
      </c>
      <c r="C54" s="2228"/>
      <c r="D54" s="2228"/>
      <c r="E54" s="2229"/>
      <c r="F54" s="1521"/>
      <c r="G54" s="651" t="str">
        <f ca="1">UPPER(SUBSTITUTE(SUBSTITUTE(SUBSTITUTE(SUBSTITUTE(SUBSTITUTE(SUBSTITUTE(SUBSTITUTE(SUBSTITUTE(SUBSTITUTE(SUBSTITUTE(SUBSTITUTE(SUBSTITUTE(SUBSTITUTE(SUBSTITUTE(SUBSTITUTE(SUBSTITUTE(SUBSTITUTE(SUBSTITUTE(SUBSTITUTE(SUBSTITUTE(SUBSTITUTE(SUBSTITUTE(IF(TABLEAU!$P$54="#DEPASSE#",TABLEAU!$J$54,IF(TABLEAU!$C$54="","",TRIM(SUBSTITUTE(SUBSTITUTE(SUBSTITUTE(SUBSTITUTE(SUBSTITUTE(SUBSTITUTE(IF(TABLEAU!$I$54=SUBSTITUTE(DEPP,"#",""),DEPP,SUBSTITUTE(SUBSTITUTE(SUBSTITUTE(SUBSTITUTE(SUBSTITUTE(SUBSTITUTE(SUBSTITUTE(SUBSTITUTE(SUBSTITUTE(SUBSTITUTE(SUBSTITUTE(SUBSTITUTE(SUBSTITUTE(SUBSTITUTE(SUBSTITUTE(SUBSTITUTE(SUBSTITUTE(SUBSTITUTE(TABLEAU!$AB$54,CONCATENATE(TABLEAU!$K$54," A "),CONCATENATE(TABLEAU!$K$54," (A ")),"JANVIER (","JANVIER "),"FEVRIER (","FEVRIER "),"MARS (","MARS "),"AVRIL (","AVRIL "),"MAI (","MAI "),"JUIN (","JUIN "),"JUILLET (","JUILLET "),"AOUT (","AOUT "),"SEPTEMBRE (","SEPTEMBRE "),"OCTOBRE (","OCTOBRE "),"NOVEMBRE (","NOVEMBRE "),"DECEMBRE (","DECEMBRE "),CONCATENATE(" &amp; ",TABLEAU!$K$54," (")," &amp; "),CONCATENATE(" &amp;",TABLEAU!$L$54,"(")," &amp; ")," &amp; ("," &amp; "),CONCATENATE(TABLEAU!$K$54," (A ",TABLEAU!$AC$54,"): HIER"),"DEPASSE DEPUIS HIER")," &amp; A"," &amp; (A")),"((","("),CONCATENATE(DATE.RDV.TV," ("),""),CONCATENATE(DATE.RDV.TV," A "),"A "),CONCATENATE(YEAR(A)," (A"),"A"),CONCATENATE(TABLEAU!$L$54," DEPASSE"),"DEPASSE"),CONCATENATE("DEPASSE",TABLEAU!$L$54,"(",LOOKUP(WEEKDAY(VENDREDI.DATE),SEMAINE)," ",DAY(VENDREDI.DATE)," ",LOOKUP(MONTH(VENDREDI.DATE),MOIS)," A"),"DEPASSE DEPUIS")))),"#&amp; ","# &amp; #"),"DANS (A","MAINTENANT (A"),"DANS (MATCH","DANS MATCH"),"#&amp; D","# &amp; #D"),CONCATENATE("(DEMAIN= ",DIF.L1," ~ "),""),CONCATENATE("(DEMAIN= ",DIF.LDC," ~ "),""),CONCATENATE("(DEMAIN= ",DIF.UEFA," ~ "),""),CONCATENATE("(DEMAIN= ",DIF.FRANCE," ~ "),""),CONCATENATE("(DEMAIN= ",DIF.LIGUE," ~ "),""),CONCATENATE("(DEMAIN= ",DIF.GP," ~ "),""),CONCATENATE("(DEMAIN= ",DIF.MONDIAL," ~ "),""),CONCATENATE("(DEMAIN= ",DIF.EURO," ~ "),""),CONCATENATE("(DEMAIN= ",DIF.CONFEDERATIONS," ~ "),""),TABLEAU!$AN$20,TABLEAU!$AN$24),CONCATENATE(TABLEAU!$K$3," A"),"A"),"MARDI A","A"),"MERCREDI A","A"),"JEUDI A","A"),"VENDREDI A","A"),"SAMEDI A","A"),"DIMANCHE A","A"),"00H","0H"))</f>
        <v/>
      </c>
      <c r="H54" s="651" t="str">
        <f ca="1">UPPER(SUBSTITUTE(SUBSTITUTE(SUBSTITUTE(SUBSTITUTE(SUBSTITUTE(SUBSTITUTE(SUBSTITUTE(SUBSTITUTE(SUBSTITUTE(SUBSTITUTE(SUBSTITUTE(SUBSTITUTE(SUBSTITUTE(SUBSTITUTE(SUBSTITUTE(SUBSTITUTE(SUBSTITUTE(SUBSTITUTE(SUBSTITUTE(SUBSTITUTE(SUBSTITUTE(IF(TABLEAU!$P$54="#DEPASSE#",TABLEAU!$J$54,IF(TABLEAU!$C$54="","",TRIM(SUBSTITUTE(SUBSTITUTE(SUBSTITUTE(SUBSTITUTE(SUBSTITUTE(SUBSTITUTE(SUBSTITUTE(IF(TABLEAU!$L$54="#DEPASSE DEPUIS ",MODIF,IF(TABLEAU!$I$54=SUBSTITUTE(DEPP,"#",""),DEPP,SUBSTITUTE(SUBSTITUTE(SUBSTITUTE(SUBSTITUTE(SUBSTITUTE(SUBSTITUTE(SUBSTITUTE(SUBSTITUTE(SUBSTITUTE(SUBSTITUTE(SUBSTITUTE(SUBSTITUTE(SUBSTITUTE(SUBSTITUTE(SUBSTITUTE(SUBSTITUTE(SUBSTITUTE(SUBSTITUTE(TABLEAU!$AB$54,CONCATENATE(TABLEAU!$K$54," A "),CONCATENATE(TABLEAU!$K$54," (A ")),"JANVIER (","JANVIER "),"FEVRIER (","FEVRIER "),"MARS (","MARS "),"AVRIL (","AVRIL "),"MAI (","MAI "),"JUIN (","JUIN "),"JUILLET (","JUILLET "),"AOUT (","AOUT "),"SEPTEMBRE (","SEPTEMBRE "),"OCTOBRE (","OCTOBRE "),"NOVEMBRE (","NOVEMBRE "),"DECEMBRE (","DECEMBRE "),CONCATENATE(" &amp; ",TABLEAU!$K$54," (")," &amp; "),CONCATENATE(" &amp;",TABLEAU!$L$54,"(")," &amp; ")," &amp; ("," &amp; "),CONCATENATE(TABLEAU!$K$54," (A ",TABLEAU!$AC$54,"): HIER"),"DEPASSE DEPUIS HIER")," &amp; A"," &amp; (A"))),"(A ",CONCATENATE("(",DATE.RDV.TV," A ")),"((","("),CONCATENATE(DATE.RDV.TV," ("),""),CONCATENATE(DATE.RDV.TV," A "),"A "),CONCATENATE(YEAR(A)," (A"),"A"),CONCATENATE(TABLEAU!$L$54," (DEPASSE"),"DEPASSE"),CONCATENATE("DEPASSE",TABLEAU!$L$54,"(",LOOKUP(WEEKDAY(SAMEDI.DATE),SEMAINE)," ",DAY(SAMEDI.DATE)," ",LOOKUP(MONTH(SAMEDI.DATE),MOIS)," A"),"DEPASSE DEPUIS")))),"#&amp; ","# &amp; #"),"DANS (A","MAINTENANT (A"),"DANS (MATCH","DANS MATCH"),CONCATENATE("(DEMAIN= ",DIF.L1," ~ "),""),CONCATENATE("(DEMAIN= ",DIF.LDC," ~ "),""),CONCATENATE("(DEMAIN= ",DIF.UEFA," ~ "),""),CONCATENATE("(DEMAIN= ",DIF.FRANCE," ~ "),""),CONCATENATE("(DEMAIN= ",DIF.LIGUE," ~ "),""),CONCATENATE("(DEMAIN= ",DIF.GP," ~ "),""),CONCATENATE("(DEMAIN= ",DIF.MONDIAL," ~ "),""),CONCATENATE("(DEMAIN= ",DIF.EURO," ~ "),""),CONCATENATE("(DEMAIN= ",DIF.CONFEDERATIONS," ~ "),""),TABLEAU!$AN$20,TABLEAU!$AN$24),CONCATENATE(TABLEAU!$K$3," A"),"A"),"MARDI A","A"),"MERCREDI A","A"),"JEUDI A","A"),"VENDREDI A","A"),"SAMEDI A","A"),"DIMANCHE A","A"),"00H","0H"))</f>
        <v/>
      </c>
      <c r="I54" s="2227" t="str">
        <f ca="1">UPPER(SUBSTITUTE(SUBSTITUTE(SUBSTITUTE(DATE.FINALE,TABAC,""),"~  &amp;","~")," &amp;  &amp; "," &amp; "))</f>
        <v>~SAMEDI 2 NOVEMBRE 2019 [13:00:00]~ #DANS 3J= ''67H00'' ~ (5 NOV A 8H00): [COUPE OEUF]# &amp; #DANS 7H45 (A 20H45): [CHAMPIONNAT]# &amp; #DANS 7H40 (A 20H40 SUR AB1): [SMACKDOWN]#</v>
      </c>
      <c r="J54" s="2228"/>
      <c r="K54" s="2228"/>
      <c r="L54" s="2228"/>
      <c r="M54" s="2228"/>
      <c r="N54" s="2228"/>
      <c r="O54" s="2229"/>
      <c r="P54" s="2227" t="str">
        <f ca="1">UPPER(TABLEAU!$I$54)</f>
        <v>~SAMEDI 2 NOVEMBRE 2019 [13:00:00]~ #DANS 3J= ''67H00'' ~ (5 NOV A 8H00): [COUPE OEUF]# &amp; #DANS 7H45 (A 20H45): [CHAMPIONNAT]# &amp; #DANS 7H40 (A 20H40 SUR AB1): [SMACKDOWN]#</v>
      </c>
      <c r="Q54" s="2228"/>
      <c r="R54" s="2228"/>
      <c r="S54" s="2228"/>
      <c r="T54" s="2228"/>
      <c r="U54" s="2228"/>
      <c r="V54" s="2229"/>
      <c r="W54" s="877">
        <f ca="1">28-COUNTBLANK(DEP)</f>
        <v>0</v>
      </c>
      <c r="X54" s="454"/>
      <c r="Y54" s="2162"/>
      <c r="Z54" s="2163"/>
      <c r="AA54" s="1828" t="str">
        <f ca="1">UPPER(TRIM(TABLEAU!$B$54))</f>
        <v>#DANS 7H45 (A 20H45): [CHAMPIONNAT]# &amp; #DANS 7H40 (A 20H40 SUR AB1): [SMACKDOWN]#</v>
      </c>
      <c r="AB54" s="1829"/>
      <c r="AC54" s="1829"/>
      <c r="AD54" s="1829"/>
      <c r="AE54" s="1830"/>
      <c r="AF54" s="2039"/>
      <c r="AG54" s="2040"/>
      <c r="AH54" s="2041"/>
      <c r="AI54" s="677">
        <f ca="1">COUNTIF(TABLEAU!$AL$55:'TABLEAU'!$AL$82,"&amp;")</f>
        <v>0</v>
      </c>
      <c r="AJ54" s="71"/>
      <c r="AK54" s="71">
        <f ca="1">COUNTIF(TABLEAU!$AK$55:'TABLEAU'!$AK$82,"&amp;&amp;&amp;")</f>
        <v>0</v>
      </c>
      <c r="AL54" s="989">
        <f ca="1">COUNTIF(TABLEAU!$AL$55:'TABLEAU'!$AL$82,"¤¤")</f>
        <v>0</v>
      </c>
      <c r="AM54" s="1483">
        <f ca="1">28-COUNTBLANK(TABLEAU!$AN$55:'TABLEAU'!$AN$82)</f>
        <v>0</v>
      </c>
      <c r="AN54" s="1677" t="str">
        <f ca="1">UPPER(SUBSTITUTE(SUBSTITUTE(SUBSTITUTE(SUBSTITUTE(IF(COUNTBLANK(TABLEAU!$AN$55:'TABLEAU'!$AN$82)=28,"",SUBSTITUTE(TRIM(SUBSTITUTE(IF(TABLEAU!$AM$54=0,"",IF(TABLEAU!$AM$54=1,CONCATENATE("#1 PROG EST DEPASSE= ",TABLEAU!$AN$55,TABLEAU!$AN$56,TABLEAU!$AN$57,TABLEAU!$AN$58,TABLEAU!$AN$59,TABLEAU!$AN$60,TABLEAU!$AN$61,TABLEAU!$AN$62,TABLEAU!$AN$63,TABLEAU!$AN$64,TABLEAU!$AN$65,TABLEAU!$AN$66,TABLEAU!$AN$67,TABLEAU!$AN$68,TABLEAU!$AN$69,TABLEAU!$AN$70,TABLEAU!$AN$71,TABLEAU!$AN$72,TABLEAU!$AN$73,TABLEAU!$AN$74,TABLEAU!$AN$75,TABLEAU!$AN$76,TABLEAU!$AN$77,TABLEAU!$AN$78,TABLEAU!$AN$79,TABLEAU!$AN$80,TABLEAU!$AN$81,TABLEAU!$AN$82),CONCATENATE(TABLEAU!$AM$54," PROG SONT DEPASSE= ",TABLEAU!$AN$55,TABLEAU!$AN$56,TABLEAU!$AN$57,TABLEAU!$AN$58,TABLEAU!$AN$59,TABLEAU!$AN$60,TABLEAU!$AN$61,TABLEAU!$AN$62,TABLEAU!$AN$63,TABLEAU!$AN$64,TABLEAU!$AN$65,TABLEAU!$AN$66,TABLEAU!$AN$67,TABLEAU!$AN$68,TABLEAU!$AN$69,TABLEAU!$AN$70,TABLEAU!$AN$71,TABLEAU!$AN$72,TABLEAU!$AN$73,TABLEAU!$AN$74,TABLEAU!$AN$75,TABLEAU!$AN$76,TABLEAU!$AN$77,TABLEAU!$AN$78,TABLEAU!$AN$79,TABLEAU!$AN$80,TABLEAU!$AN$81,TABLEAU!$AN$82))),"= #DEPASSE","")),"##","# &amp; #")),CONCATENATE(TABLEAU!$AM$1," &amp; ",TABLEAU!$B$33),TABLEAU!$B$33)," EST DEPASSE= #DEPASSE","")," SONT DEPASSE= #DEPASSE"," SONT DEPASSE"),"#1 PROG EST DEPASSE= 0",""))</f>
        <v/>
      </c>
      <c r="AO54" s="1678"/>
      <c r="AP54" s="1678"/>
      <c r="AQ54" s="1678"/>
      <c r="AR54" s="1678"/>
      <c r="AS54" s="1678"/>
      <c r="AT54" s="1678"/>
      <c r="AU54" s="1678"/>
      <c r="AV54" s="1678"/>
      <c r="AW54" s="1678"/>
      <c r="AX54" s="1679"/>
      <c r="AY54" s="1242">
        <f ca="1">SUM(TABLEAU!$AY$55:'TABLEAU'!$AY$82)</f>
        <v>0</v>
      </c>
      <c r="AZ54" s="2568"/>
      <c r="BA54" s="2569"/>
    </row>
    <row r="55" spans="1:53" ht="12" customHeight="1">
      <c r="A55" s="1508" t="str">
        <f ca="1">IF(TABLEAU!$B$55="","",IF(OR(TABLEAU!$AL$55="¤¤",TABLEAU!$P$55&lt;&gt;""),"#DEPASSE#",SUBSTITUTE(IF(OR(LUNDI.1="",TABLEAU!$C$55=""),"",IF(AND(TODAY=TABLEAU!$K$3,HOUR((H.M))&gt;HOUR(LUNDI.1),MINUTE((H.M))&gt;MINUTE(LUNDI.1)),"",IF(TODAY&lt;&gt;TABLEAU!$K$3,"",IF(HOUR(TABLEAU!$I$55)&gt;0,CONCATENATE("DANS ",HOUR(TABLEAU!$I$55),"H",TABLEAU!$N$55),CONCATENATE("DANS ",HOUR(TABLEAU!$I$55),"H",TABLEAU!$N$55," MIN")))))," 0H"," ")))</f>
        <v/>
      </c>
      <c r="B55" s="1511" t="str">
        <f ca="1">SUBSTITUTE(SUBSTITUTE(SUBSTITUTE(IF(OR(TABLEAU!$C55,TABLEAU!$D55=""),"",SUBSTITUTE(SUBSTITUTE(SUBSTITUTE(SUBSTITUTE(SUBSTITUTE(SUBSTITUTE(SUBSTITUTE(SUBSTITUTE(SUBSTITUTE(SUBSTITUTE(SUBSTITUTE(SUBSTITUTE(SUBSTITUTE(SUBSTITUTE(SUBSTITUTE(SUBSTITUTE(SUBSTITUTE(SUBSTITUTE(SUBSTITUTE(SUBSTITUTE(SUBSTITUTE(SUBSTITUTE(SUBSTITUTE(SUBSTITUTE(IF(TABLEAU!$C55="","",SUBSTITUTE(IF(TABLEAU!$AE55="",TABLEAU!$U55,TABLEAU!$AE55),CONCATENATE(CVB,YEAR(A)," "),""))," #"," "),"] &amp; D","]# &amp; #D")," &amp; (A",CONCATENATE("# &amp; #",TABLEAU!$H55,"A")),"&amp; DEPASSE","&amp; #DEPASSE"),"## &amp; #A","# &amp; #(A"),"DANS MAINTENANT","MAINTENANT"),CONCATENATE(" H",TABLEAU!$N55),CONCATENATE(" ",TABLEAU!$N55," MIN"))," 0"," "),"] &amp;D","]# &amp; #D"),"}  MIN","} H"),"# &amp; D","# &amp; #D"),CONCATENATE("#MAINTENANT (A ",TABLEAU!$Z55,"): MAINTENANT"),"#MAINTENANT"),TABLEAU!$AB$2,""),TABLEAU!$AM$5,"")," MINAMILTON","HAMILTON"),CONCATENATE(TABLEAU!$Z55," ",TABLEAU!$Z55),TABLEAU!$Z55),"DEPUIS  MINIER","DEPUIS HIER"),"MINONGRIE","HONGRIE"),"#DANS (#DEPASSE","#DEPASSE"),CONCATENATE(" ",YEAR(A)),""),"]= [","= ["),")])",")]"),"#DEPASSE DEPUISDANS","#DANS"),"(A 1A ):",CONCATENATE("(A ",HOUR(TABLEAU!$D55),"H",TABLEAU!$F55,"):"))),"SUR "," SUR "),"  SUR "," SUR "),CONCATENATE("DEPASSE DEPUIS ",TABLEAU!$M55," (A DANS"),"DANS")</f>
        <v>#DANS 2 JOURS (LUNDI 4 NOVEMBRE A 18H50 SUR TFX): [TELE-REALITE]#</v>
      </c>
      <c r="C55" s="629" t="s">
        <v>169</v>
      </c>
      <c r="D55" s="630">
        <v>0.78472222222222221</v>
      </c>
      <c r="E55" s="2632">
        <f>IF(TABLEAU!$D55="","",IF(TABLEAU!$D55="23:59","",HOUR(TABLEAU!$D55)))</f>
        <v>18</v>
      </c>
      <c r="F55" s="2633" t="str">
        <f>IF(OR(TABLEAU!$D$55="",TABLEAU!$D$55="23:59"),"59",IF(MINUTE(TABLEAU!$D$55)&lt;10,CONCATENATE("0",MINUTE(TABLEAU!$D$55)),CONCATENATE(MINUTE(TABLEAU!$D$55))))</f>
        <v>50</v>
      </c>
      <c r="G55" s="573" t="str">
        <f ca="1">UPPER(SUBSTITUTE(SUBSTITUTE(SUBSTITUTE(IF(TABLEAU!$D$55="","",SUBSTITUTE(SUBSTITUTE(SUBSTITUTE(SUBSTITUTE(SUBSTITUTE(SUBSTITUTE(SUBSTITUTE(SUBSTITUTE(SUBSTITUTE(SUBSTITUTE(SUBSTITUTE(SUBSTITUTE(SUBSTITUTE(SUBSTITUTE(SUBSTITUTE(IF(OR(TABLEAU!$D$55="",TABLEAU!$C$55=""),"",IF(AND(TODAY=TABLEAU!$K$3,HOUR((H.M))&gt;HOUR(TABLEAU!$D$55),MINUTE((H.M))&gt;MINUTE(TABLEAU!$D$55)),CONCATENATE("#DEPASSE DEPUIS",TABLEAU!$M$55," ",TABLEAU!$C$55,"#"),IF(TABLEAU!$P$55&lt;&gt;"",CONCATENATE("#DEPASSE DEPUIS",TABLEAU!$M$55," ",TABLEAU!$C$55,"#"),IF(TODAY&lt;&gt;TABLEAU!$K$3,CONCATENATE("#",LUNDI.DANS," (LUNDI ",DAY(LUNDI.DATE)," ",LOOKUP(MONTH(LUNDI.DATE),MOIS)," A ",HOUR(TABLEAU!$D$55),"H",TABLEAU!$F$55,"): ",TABLEAU!$C$55,"#"),CONCATENATE("#",TABLEAU!$L$55," (A ",TABLEAU!$Z$55,"): ",SUBSTITUTE(TABLEAU!$C$55,"#",""),"#"))))),CONCATENATE(LOOKUP(MONTH(LUNDI.DATE),MOIS)," (A"),CONCATENATE(LOOKUP(MONTH(LUNDI.DATE),MOIS)," A")),"##","#"),CONCATENATE("#DEPASSE DEPUIS  (A ): ",TABLEAU!$C$55,"#"),""),CONCATENATE("(A ",TABLEAU!$E$55,"H",TABLEAU!$X$55,"): "),""),CONCATENATE(TABLEAU!$L$55," DEPUIS"),"DEPASSE DEPUIS"),CONCATENATE("A ",HOUR(TABLEAU!$D$55),"H",TABLEAU!$F$55,"): (A ",HOUR(TABLEAU!$D$55),"H",TABLEAU!$F$55),CONCATENATE("A ",HOUR(TABLEAU!$D$55),"H",TABLEAU!$F$55)),"#DEPASSEDEPASSE","#DEPASSE"),"# (",CONCATENATE("#",TABLEAU!$H$55)),CONCATENATE("A ",SUBSTITUTE(TABLEAU!$M$33,":","H"),"): ~ (A ",SUBSTITUTE(TABLEAU!$M$33,":","H")),CONCATENATE("A ",SUBSTITUTE(TABLEAU!$M$33,":","H"))),CONCATENATE("#DEPASSE ",TABLEAU!$M$55,"#D"),"#D")," D"," #D"),"#DEPUIS","DEPUIS"),"COURS ","COURS# "),"#DE ","DE "),"GP #D","GP D")),"# &amp; #",CONCATENATE("# &amp; #DEPASSE DEPUIS",TABLEAU!$M$55," ")),"] &amp; (",CONCATENATE("]# &amp; DANS ",TABLEAU!$AH$55," ("))," 0"," "))</f>
        <v>#DANS 2 JOURS (LUNDI 4 NOVEMBRE A 18H50 SUR TFX): [TELE-REALITE]#</v>
      </c>
      <c r="H55" s="547" t="str">
        <f ca="1">SUBSTITUTE(IF(OR(DATE.RDV.TV&lt;&gt;TABLEAU!$K$3,TABLEAU!$C$55=""),"",IF(HOUR(TABLEAU!$I$55)=0,CONCATENATE("DANS ",TABLEAU!$N$55," MIN ("),CONCATENATE("DANS ",HOUR(TABLEAU!$I$55),"H",TABLEAU!$N$55," ("))),"DANS  MIN (","")</f>
        <v/>
      </c>
      <c r="I55" s="263" t="str">
        <f ca="1">IF(OR(TODAY&lt;&gt;TABLEAU!$K$3,TABLEAU!$C$55=""),"",IF(OR(TABLEAU!$D$55="",TABLEAU!$P$55="#DEPASSE#",TODAY&lt;&gt;TABLEAU!$K$3),0,IF(HOUR((H.M))&gt;HOUR(TABLEAU!$D$55),0,TABLEAU!$D$55-H.M)))</f>
        <v/>
      </c>
      <c r="J55" s="264" t="str">
        <f ca="1">SUBSTITUTE(SUBSTITUTE(SUBSTITUTE(IF(TABLEAU!$I$55="","",SUBSTITUTE(SUBSTITUTE(SUBSTITUTE(SUBSTITUTE(SUBSTITUTE(SUBSTITUTE(SUBSTITUTE(SUBSTITUTE(SUBSTITUTE(SUBSTITUTE(SUBSTITUTE(SUBSTITUTE(SUBSTITUTE(SUBSTITUTE(SUBSTITUTE(SUBSTITUTE(SUBSTITUTE(SUBSTITUTE(SUBSTITUTE(SUBSTITUTE(IF(DATE.DEPASSE&lt;0,TABLEAU!$U$55,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G55,"  "," "),CONCATENATE("(A ",TABLEAU!$Z$55,"): (A ",TABLEAU!$Z$55),CONCATENATE("(A ",TABLEAU!$Z$55)),CONCATENATE("#DEPASSE",TABLEAU!$M$55,"#DEPASSE",TABLEAU!$M$55),CONCATENATE("#DEPASSE",TABLEAU!$M$55)),CONCATENATE("#DEPASSE",TABLEAU!$L$55,"DEPASSE"),"#DEPASSE"),CONCATENATE(TABLEAU!$L$55," (A ",TABLEAU!$Z$55,"): DEPUIS"),"DEPASSE DEPUIS")," 1 "," 1ER "),"DEPASSE DEPUIS DEPASSE DEPUIS","DEPASSE DEPUIS"),CONCATENATE("DEPASSE ",TRIM(TABLEAU!$L$55)," DEPASSE ",TRIM(TABLEAU!$L$55)),CONCATENATE("DEPASSE ",TRIM(TABLEAU!$L$55))),"1ER MIN","1 MIN"),"1ER ERREUR","1 ERREUR"),CONCATENATE("(A ",TABLEAU!$Z$55,"): (A ",TABLEAU!$E$55,":",TABLEAU!$F$55),CONCATENATE("(A ",TABLEAU!$Z$55))," (A ):",""),"DEPASSE DEPUIS (",TABLEAU!$H$55),"] &amp; D","]# &amp; #D"),CONCATENATE("#DEPASSE",TABLEAU!$M$55,"DEPASSE"),"#DEPASSE")," [","): ["),"):):","):"),"DEPUIS ",TABLEAU!$L$55),CONCATENATE(SUBSTITUTE(TABLEAU!$M$55,"DEPUIS ",""))," "),"DEPUIS",CONCATENATE(TABLEAU!$M$55," (",LUNDI.VERIFIER," A ")),SUBSTITUTE(TABLEAU!$M$55,"DEPUIS","A"),""),"DEPASSE  ","DEPASSE"),"  A "," A"),"  "," "),TRIM(SUBSTITUTE(TABLEAU!$M$55," DEPUIS ","A ")),"EEE"),"EEE",CONCATENATE("A ",TABLEAU!$Z$55)),CONCATENATE("DEPASSE ",TABLEAU!$L$55,"HIER"),"DEPASSE DEPUIS HIER"),"DEPASSEDEPASSE","DEPASSE DEPUIS "),CONCATENATE(" A ",TABLEAU!$Z$59," (A ",TABLEAU!$Z$59),CONCATENATE(" A ",TABLEAU!$Z$59)),CONCATENATE("A ",TABLEAU!$Z$55," ",TABLEAU!$C$55),TABLEAU!$C$55),CONCATENATE(MOIS.MAINTENANT.2," (A"),CONCATENATE(MOIS.MAINTENANT.2," A")),"#DEPASSE #DEPASSEDEPUIS","#DEPASSE DEPUIS"),"A (A","A"),CONCATENATE(TABLEAU!$L$55," DEPASSE"),"DEPASSE"),"DEPASSE (",CONCATENATE("DEPASSE DEPUIS ",TABLEAU!$Q$55," (")),"''MIN","MIN"),"=):","]="),CONCATENATE("#DEPASSE ",TABLEAU!$Q$55),CONCATENATE("#DEPASSE DEPUIS ",TABLEAU!$Q$55)),"DEPASSE","DEPASSE DEPUIS"),"DEPUIS DEPUIS","DEPUIS")),"US A","USA"),CONCATENATE("DEPASSE DEPUIS ",TABLEAU!$Q$55,"DEPASSE DEPUIS ",TABLEAU!$Q$55),CONCATENATE("DEPASSE DEPUIS ",TABLEAU!$Q$55)),CONCATENATE("#DEPASSE DEPUIS ",TABLEAU!$Q$55," #DEPASSE DEPUIS ",TABLEAU!$Q$55),CONCATENATE("#DEPASSE DEPUIS ",TABLEAU!$Q$55)),"#DEPASSE DEPUIS #DEPASSE DEPUIS","#DEPASSE DEPUIS"),CONCATENATE("): ",LUNDI.DANS," (A ",TABLEAU!$E$55,"H",TABLEAU!$F$55),"")," &amp; D"," &amp; #D"),CONCATENATE(LUNDI.DANS," (LUNDI ",DAY(LUNDI.DATE)," ",LOOKUP(MONTH(LUNDI.DATE),MOIS)," A ",TABLEAU!$E$55,"H",TABLEAU!$F$55,"): DANS"),"DANS"),CONCATENATE(LUNDI.DANS," (LUNDI ",DAY(LUNDI.DATE)," ",LOOKUP(MONTH(LUNDI.DATE),MOIS)," A ",TABLEAU!$E$55,"H",TABLEAU!$F$55,"): ",LUNDI.DANS,"= ",TABLEAU!$AN$23,"(A ",TABLEAU!$E$55,"H",TABLEAU!$F$55),CONCATENATE(LUNDI.DANS,"= ",TABLEAU!$AN$23," (LUNDI ",DAY(LUNDI.DATE)," ",LOOKUP(MONTH(LUNDI.DATE),MOIS)," A ",TABLEAU!$E$55,"H",TABLEAU!$F$55)),CONCATENATE(LUNDI.DANS," (LUNDI ",DAY(LUNDI.DATE)," ",LOOKUP(MONTH(LUNDI.DATE),MOIS)," A ",TABLEAU!$E$55,"H",TABLEAU!$F$55,"): DANS"),"DANS"),"# (",CONCATENATE("#",TABLEAU!$H$55)),"DANS 0","DANS "),"# ~ ",CONCATENATE("#",FICHIER.A.MODIFIER," ~ ")),CONCATENATE("A ",SUBSTITUTE(TABLEAU!$M$33,":","H"),"): ~ (A ",SUBSTITUTE(TABLEAU!$M$33,":","H")),CONCATENATE("A ",SUBSTITUTE(TABLEAU!$M$33,":","H"))),CONCATENATE("(A ",TABLEAU!$Z$55,"): ~ (A"),"(A"),"DANS 0 MIN","MAINTENANT"),"DEPUIS(",CONCATENATE("DEPUIS ",TABLEAU!$M$55," (")),"DEPUIS DEPUIS  (A",CONCATENATE("DEPUIS ",TABLEAU!$M$55," (A")),"(A 1 ",CONCATENATE("(A ",TABLEAU!$E$55,":00")),"#A",CONCATENATE("#DANS ",HOUR(TABLEAU!$I$55),"H",TABLEAU!$N$55," (A")),"DEPUIS DEPUIS",CONCATENATE("DEPUIS ",TABLEAU!$M$55))),"]#D","]# &amp; #D"),"DEPUIS =",CONCATENATE("DEPUIS ",TABLEAU!$M$55)),"DANS  MAINTENANT","MAINTENANT")</f>
        <v/>
      </c>
      <c r="K55" s="187" t="str">
        <f ca="1">TRIM(SUBSTITUTE(SUBSTITUTE(SUBSTITUTE(SUBSTITUTE(SUBSTITUTE(SUBSTITUTE(SUBSTITUTE(SUBSTITUTE(SUBSTITUTE(TABLEAU!$O$55,CONCATENATE("): (",TABLEAU!$W$55),""),CONCATENATE("A ",TABLEAU!$E$55,"H",TABLEAU!$X$55,"): ("),""),"(SUR",CONCATENATE("(A ",TABLEAU!$E$55,"H",TABLEAU!$X$55," SUR"))," &amp; (",CONCATENATE(" &amp; ",TABLEAU!$L$55," (")),"AUJOURD'HUI",""),"##","#"),"1ER MIN","1 MIN"),CONCATENATE("DEPASSE ",TRIM(TABLEAU!$L$55)," DEPASSE"),"DEPASSE")," (A ):",""))</f>
        <v/>
      </c>
      <c r="L55" s="265" t="str">
        <f ca="1">UPPER(IF(TABLEAU!$P$55&lt;&gt;"","",IF(TABLEAU!$P$55="","",IF(TABLEAU!$AM$55&lt;&gt;"","#DEPASSE DEPUIS ",IF(TODAY&lt;&gt;TABLEAU!$K$3,"",IF(COUNTIF(ENCOURS,"#EN COURS#")&lt;&gt;0,"MAINTENANT",SUBSTITUTE(SUBSTITUTE(SUBSTITUTE(IF(OR(TABLEAU!$C$55="",TABLEAU!$D$55=""),"",IF(HOUR(TABLEAU!$I$55)=0,CONCATENATE("DANS ",TABLEAU!$N$55," MIN"),CONCATENATE("DANS ",HOUR(TABLEAU!$I$55),"H",TABLEAU!$N$55))),"DANS 0","DANS "),"DANS  MIN",TABLEAU!$M$55),"DANS 0 MIN","MAINTENANT")))))))</f>
        <v/>
      </c>
      <c r="M55" s="265" t="str">
        <f ca="1">IF(TODAY&lt;&gt;TABLEAU!$K$3,"",SUBSTITUTE(IF(TABLEAU!$D$55="","",IF(TABLEAU!$AF$55=" ","",IF(TABLEAU!$D$55-H.M&gt;0,"",IF(AND(HOUR(TABLEAU!$AF$55)&gt;0,MINUTE(TABLEAU!$AF$55)&lt;10),CONCATENATE(" ",HOUR(TABLEAU!$AF$55),"H0",MINUTE(TABLEAU!$AF$55)),IF(AND(HOUR(TABLEAU!$AF$55)&gt;0,MINUTE(TABLEAU!$AF$55)&gt;9),CONCATENATE(" ",HOUR(TABLEAU!$AF$55),"H",MINUTE(TABLEAU!$AF$55)),CONCATENATE(" 0",MINUTE(TABLEAU!$AF$55)," MIN"))))))," 0",""))</f>
        <v/>
      </c>
      <c r="N55" s="266" t="str">
        <f ca="1">IF(TABLEAU!$D$55="","",IF(OR(TABLEAU!$C$55="",TODAY&lt;&gt;TABLEAU!$K$3),"",IF(TABLEAU!$P$55="#DEPASSE#","",IF(HOUR((H.M))&gt;HOUR(TABLEAU!$D$55),"",IF(MINUTE(TABLEAU!$I$55)&lt;10,CONCATENATE("0",MINUTE(TABLEAU!$I$55)),MINUTE(TABLEAU!$I$55))))))</f>
        <v/>
      </c>
      <c r="O55" s="188" t="str">
        <f ca="1">UPPER(SUBSTITUTE(SUBSTITUTE(SUBSTITUTE(SUBSTITUTE(SUBSTITUTE(SUBSTITUTE(SUBSTITUTE(SUBSTITUTE(SUBSTITUTE(TABLEAU!$J$55,"DANS 0H","DANS "),"DANS 0","DANS "),CONCATENATE("(A ",TABLEAU!$E$55,"H",TABLEAU!$X$55,"): (",LOOKUP(WEEKDAY(LUNDI.DATE),SEMAINE)," ",DAY(LUNDI.DATE)," ",LOOKUP(MONTH(LUNDI.DATE),MOIS)," A 20H00): "),CONCATENATE(TABLEAU!$L$55," (A ",TABLEAU!$E$55,"H",TABLEAU!$X$55,")")),"DEPUIS 0","DEPUIS "),"&amp; A","&amp; (A"),CONCATENATE("(",NBA),""),"#DEPASSE DEPUIS (A","(A"),"DANS  MAINTENANT","MAINTENANT"),"] &amp; #","]# &amp; #"))</f>
        <v/>
      </c>
      <c r="P55" s="177" t="str">
        <f ca="1">IF(OR(TABLEAU!$D$55="",TODAY&lt;&gt;TABLEAU!$K$3),"",IF(AND(HOUR((H.M))=HOUR(TABLEAU!$D$55),MINUTE((H.M))&gt;MINUTE(TABLEAU!$D$55)),"#DEPASSE#",IF(HOUR((H.M))&gt;HOUR(TABLEAU!$D$55),"#DEPASSE#","")))</f>
        <v/>
      </c>
      <c r="Q55" s="178" t="str">
        <f ca="1">IF(OR(TABLEAU!$P$55="",TABLEAU!$S$55=""),"",IF(AND(HOUR(TABLEAU!$S$55)&gt;0,MINUTE(TABLEAU!$S$55)&lt;10),CONCATENATE(HOUR(TABLEAU!$S$55),"H0",MINUTE(TABLEAU!$S$55)),IF(AND(HOUR(TABLEAU!$S$55)=0,MINUTE(TABLEAU!$S$55)&lt;10),CONCATENATE(MINUTE(TABLEAU!$S$55)," MIN"),IF(AND(HOUR(TABLEAU!$S$55)&gt;0,MINUTE(TABLEAU!$S$55)&gt;9),CONCATENATE(HOUR(TABLEAU!$S$55),"H",MINUTE(TABLEAU!$S$55)),CONCATENATE(MINUTE(TABLEAU!$S$55)," MIN")))))</f>
        <v/>
      </c>
      <c r="R55" s="178" t="str">
        <f ca="1">UPPER(IF(OR(TABLEAU!$C$55="",TODAY&lt;&gt;TABLEAU!$K$3),"",IF(OR(TABLEAU!$D$55="",TABLEAU!$D$55="23:59",TABLEAU!$C$55=""),"",IF(AND(TODAY=TABLEAU!$K$3,HOUR(TABLEAU!$I$55)&lt;1,MINUTE(TABLEAU!$I$55)&lt;5,TABLEAU!$I$55&lt;&gt;"",TABLEAU!$I$55&lt;&gt;0),"BIENTOT",""))))</f>
        <v/>
      </c>
      <c r="S55" s="617" t="str">
        <f ca="1">IF(TABLEAU!$D$55="","",IF(TODAY&lt;&gt;TABLEAU!$K$3,"",IF((H.M)&gt;TABLEAU!$D$55,"",(H.M)-TABLEAU!$D$55)))</f>
        <v/>
      </c>
      <c r="T55" s="2149">
        <f ca="1">IF(TODAY="JEUDI",A+4,IF(TODAY="VENDREDI",A+3,IF(TODAY="SAMEDI",A+2,IF(TODAY="DIMANCHE",A+1,IF(TODAY=TABLEAU!$K$3,A,IF(TODAY="MARDI",A+6,IF(TODAY="MERCREDI",A+5)))))))</f>
        <v>43773</v>
      </c>
      <c r="U55" s="187" t="str">
        <f ca="1">UPPER(TRIM(SUBSTITUTE(SUBSTITUTE(SUBSTITUTE(SUBSTITUTE(SUBSTITUTE(SUBSTITUTE(SUBSTITUTE(SUBSTITUTE(SUBSTITUTE(SUBSTITUTE(SUBSTITUTE(SUBSTITUTE(SUBSTITUTE(SUBSTITUTE(SUBSTITUTE(SUBSTITUTE(SUBSTITUTE(SUBSTITUTE(IF(TABLEAU!$D$55="","",SUBSTITUTE(SUBSTITUTE(SUBSTITUTE(SUBSTITUTE(SUBSTITUTE(SUBSTITUTE(SUBSTITUTE(SUBSTITUTE(SUBSTITUTE(SUBSTITUTE(SUBSTITUTE(SUBSTITUTE(SUBSTITUTE(SUBSTITUTE(SUBSTITUTE(IF(OR(TABLEAU!$C$55="",TABLEAU!$D$55=""),"",IF(AND(TODAY=TABLEAU!$K$3,TABLEAU!$P$55&lt;&gt;""),CONCATENATE("#DEPASSE DEPUIS ",TABLEAU!$M$55," ",TABLEAU!$W$55,"#"),CONCATENATE("#",LUNDI.DANS," ",TABLEAU!$H$55,TABLEAU!$C$55,"#"))),": =",":"),CONCATENATE(NBA,"("),""),CONCATENATE(LOOKUP(MONTH(LUNDI.DATE),MOIS)," (A"),CONCATENATE(LOOKUP(MONTH(LUNDI.DATE),MOIS)," A")),"1ER MIN","1 MIN"),"((","("),"##","#"),"# ","#"),CONCATENATE("#",TABLEAU!$H$55,"DEPUIS"),"#DEPASSE DEPUIS"),"DEMAIN (",CONCATENATE("DEMAIN (LUNDI ",DAY(LUNDI.DATE)," ",LOOKUP(MONTH(LUNDI.DATE),MOIS)," ")),"JOURS (A ",CONCATENATE("JOURS (LUNDI ",DAY(LUNDI.DATE)," ",LOOKUP(MONTH(LUNDI.DATE),MOIS)," A ")),"(A","(LUNDI A"),"DANS 00 MIN","DANS "),"DANS 0","DANS "),"#&amp;","# &amp; "),"JOURS [",CONCATENATE("JOURS (",LOOKUP(WEEKDAY(LUNDI.DATE),SEMAINE)," ",DAY(LUNDI.DATE)," ",LOOKUP(MONTH(LUNDI.DATE),MOIS)," A ",HOUR(TABLEAU!$D$55),"H",TABLEAU!$F$55,"): ["))),CONCATENATE(LUNDI.DANS," ",LUNDI.DANS),CONCATENATE(" ",LUNDI.DANS)),"# ","#"),"#&amp; #","# &amp; #"),"US A","USA"),"(~ ("," ~ ("),"LUNDI A ","A "),CONCATENATE("#",TABLEAU!$H$55,TABLEAU!$W$55),TABLEAU!$W$55),"DEMAINDANS","DEMAIN DANS"),"''(","'' ("),CONCATENATE("#DANS ",TRIM(TABLEAU!$AH$55)," (#DEPASSE "),"#DEPASSE "),"]#D","]# &amp; #D"),"(MATCH","MATCH"),"COURS &amp; D","COURS# &amp; #D"),"#&amp; ","# &amp; #"),"# &amp; # ","# &amp; #"),CONCATENATE("#DEPASSE DEPUIS ",TABLEAU!$M$55," #"),"#"),"# &amp; ##","# &amp; #"),"DANS  (MAINTENANT","MAINTENANT")))</f>
        <v>#DANS 2 JOURS (LUNDI 4 NOVEMBRE A 18H50 SUR TFX): [TELE-REALITE]#</v>
      </c>
      <c r="V55" s="188" t="str">
        <f ca="1">UPPER(TRIM(SUBSTITUTE(SUBSTITUTE(IF(OR(TABLEAU!$C$55="",TABLEAU!$D$55="",LUNDI.DANS&lt;&gt;""),"",TABLEAU!$J$55),JOUR.PLUS,""),"DANS  MAINTENANT","MAINTENANT")))</f>
        <v/>
      </c>
      <c r="W55" s="219" t="str">
        <f>UPPER(IF(TABLEAU!$C$55=0,"",TABLEAU!$C$55))</f>
        <v>(A 18H50 SUR TFX): [TELE-REALITE]</v>
      </c>
      <c r="X55" s="819"/>
      <c r="Y55" s="228" t="str">
        <f ca="1">IF(OR(TODAY&lt;&gt;TABLEAU!$K$3,TABLEAU!$C$55=""),"",IF(OR(TABLEAU!$C$55="",TABLEAU!$D$55=""),"",HOUR(TABLEAU!$D$55)))</f>
        <v/>
      </c>
      <c r="Z55" s="228" t="str">
        <f ca="1">IF(TABLEAU!$AM$55&lt;&gt;""," ",IF(OR(TODAY&lt;&gt;"LUNDI",TABLEAU!$C$55="",TABLEAU!$D$55="")," ",IF(MINUTE(TABLEAU!$D$55)&lt;10,CONCATENATE(HOUR(TABLEAU!$D$55),"H0",MINUTE(TABLEAU!$D$55)),IF(MINUTE(TABLEAU!$D$55)&gt;9,CONCATENATE(HOUR(TABLEAU!$D$55),"H",MINUTE(TABLEAU!$D$55))))))</f>
        <v xml:space="preserve"> </v>
      </c>
      <c r="AA55" s="238" t="str">
        <f ca="1">TRIM(SUBSTITUTE(SUBSTITUTE(SUBSTITUTE(SUBSTITUTE(IF(TABLEAU!$P$55="#DEPASSE#",TABLEAU!$AB$55,TABLEAU!$U$55),"# ","#"),"#&amp; #","# &amp; #"),"DANS (MAINTENANT","MAINTENANT"),SUBSTITUTE(SUBSTITUTE(CONCATENATE("#",TABLEAU!$H$55,"",TABLEAU!$H$55)," 0"," ")," 0"," "),SUBSTITUTE(TABLEAU!$H$55," 0"," ")))</f>
        <v>DANS 2 JOURS (LUNDI 4 NOVEMBRE A 18H50 SUR TFX): [TELE-REALITE]</v>
      </c>
      <c r="AB55" s="228" t="str">
        <f ca="1">UPPER(TRIM(SUBSTITUTE(SUBSTITUTE(SUBSTITUTE(SUBSTITUTE(SUBSTITUTE(SUBSTITUTE(TABLEAU!$K$55,CONCATENATE(LOOKUP(MONTH(A),MOIS)," (A"),CONCATENATE(LOOKUP(MONTH(A),MOIS)," A ")),CONCATENATE(LOOKUP(MONTH(A)+1,MOIS)," (A"),CONCATENATE(LOOKUP(MONTH(A)+1,MOIS)," A ")),CONCATENATE("(",YEAR(LUNDI.DATE)),""),"] &amp; DANS","]# &amp; #DANS"),"DANS MAINTENANT","MAINTENANT"),SUBSTITUTE(CONCATENATE("#",SUBSTITUTE(TABLEAU!$H$55,"(",""),"#",TABLEAU!$H$55)," 0"," "),SUBSTITUTE(TABLEAU!$H$55," 0"," "))))</f>
        <v/>
      </c>
      <c r="AC55" s="678" t="str">
        <f ca="1">SUBSTITUTE(IF(AND(TABLEAU!$P$55="#DEPASSE#",TABLEAU!$U$55=TABLEAU!$AM$1),TABLEAU!$B$33,IF(TABLEAU!$P$55="#DEPASSE#",TABLEAU!$U$55,"")),CONCATENATE(DATE.RDV.TV," A "),"A ")</f>
        <v/>
      </c>
      <c r="AD55" s="1822" t="str">
        <f ca="1">CONCATENATE(LOOKUP(WEEKDAY(LUNDI.DATE),SEMAINE)," ",DAY(LUNDI.DATE)," ",LOOKUP(MONTH(LUNDI.DATE),MOIS)," ")</f>
        <v xml:space="preserve">LUNDI 4 NOVEMBRE </v>
      </c>
      <c r="AE55" s="873" t="str">
        <f ca="1">UPPER(TRIM(SUBSTITUTE(SUBSTITUTE(SUBSTITUTE(SUBSTITUTE(SUBSTITUTE(SUBSTITUTE(SUBSTITUTE(SUBSTITUTE(SUBSTITUTE(SUBSTITUTE(SUBSTITUTE(SUBSTITUTE(SUBSTITUTE(SUBSTITUTE(SUBSTITUTE(SUBSTITUTE(SUBSTITUTE(SUBSTITUTE(SUBSTITUTE(SUBSTITUTE(SUBSTITUTE(SUBSTITUTE(SUBSTITUTE(SUBSTITUTE(IF(TABLEAU!$P$55="#DEPASSE#",TABLEAU!$J$55,IF(TABLEAU!$C$55="","",TRIM(SUBSTITUTE(SUBSTITUTE(SUBSTITUTE(SUBSTITUTE(SUBSTITUTE(SUBSTITUTE(SUBSTITUTE(IF(TABLEAU!$L$55="#DEPASSE DEPUIS ",MODIF,IF(TABLEAU!$I$55=SUBSTITUTE(DEPP,"#",""),DEPP,SUBSTITUTE(SUBSTITUTE(SUBSTITUTE(SUBSTITUTE(SUBSTITUTE(SUBSTITUTE(SUBSTITUTE(SUBSTITUTE(SUBSTITUTE(SUBSTITUTE(SUBSTITUTE(SUBSTITUTE(SUBSTITUTE(SUBSTITUTE(SUBSTITUTE(SUBSTITUTE(SUBSTITUTE(SUBSTITUTE(TABLEAU!$AB$55,CONCATENATE(TABLEAU!$K$55," A "),CONCATENATE(TABLEAU!$K$55," (A ")),"JANVIER (","JANVIER "),"FEVRIER (","FEVRIER "),"MARS (","MARS "),"AVRIL (","AVRIL "),"MAI (","MAI "),"JUIN (","JUIN "),"JUILLET (","JUILLET "),"AOUT (","AOUT "),"SEPTEMBRE (","SEPTEMBRE "),"OCTOBRE (","OCTOBRE "),"NOVEMBRE (","NOVEMBRE "),"DECEMBRE (","DECEMBRE "),CONCATENATE(" &amp; ",TABLEAU!$K$55," (")," &amp; "),CONCATENATE(" &amp;",TABLEAU!$L$55,"(")," &amp; ")," &amp; ("," &amp; "),CONCATENATE(TABLEAU!$K$55," (A ",TABLEAU!$AC$55,"): HIER"),"DEPASSE DEPUIS HIER")," &amp; A"," &amp; (A"))),"(A ",CONCATENATE("(",DATE.RDV.TV," A ")),"((","("),CONCATENATE(DATE.RDV.TV," ("),""),CONCATENATE(DATE.RDV.TV," A "),"A "),CONCATENATE(YEAR(A)," (A"),"A"),CONCATENATE(TABLEAU!$L$55," (DEPASSE"),"DEPASSE"),CONCATENATE("DEPASSE",TABLEAU!$L$55,"(",LOOKUP(WEEKDAY(LUNDI.DATE),SEMAINE)," ",DAY(LUNDI.DATE)," ",LOOKUP(MONTH(LUNDI.DATE),MOIS)," A"),"DEPASSE DEPUIS")))),"#&amp; ","# &amp; #"),"DANS (A","MAINTENANT (A"),"DANS (MATCH","DANS MATCH"),CONCATENATE("(DEMAIN= ",DIF.L1," ~ "),""),CONCATENATE("(DEMAIN= ",DIF.LDC," ~ "),""),CONCATENATE("(DEMAIN= ",DIF.UEFA," ~ "),""),CONCATENATE("(DEMAIN= ",DIF.FRANCE," ~ "),""),CONCATENATE("(DEMAIN= ",DIF.LIGUE," ~ "),""),CONCATENATE("(DEMAIN= ",DIF.GP," ~ "),""),CONCATENATE("(DEMAIN= ",DIF.MONDIAL," ~ "),""),CONCATENATE("(DEMAIN= ",DIF.EURO," ~ "),""),CONCATENATE("(DEMAIN= ",DIF.CONFEDERATIONS," ~ "),""),CONCATENATE(TABLEAU!$K$3," A"),"A"),CONCATENATE(TABLEAU!$K$3," A"),"A"),"MERCREDI A","A"),"JEUDI A","A"),"VENDREDI A","A"),"SAMEDI A","A"),"DIMANCHE A","A"),"00H","0H"),"DEPUIS DEPUIS",CONCATENATE("DEPUIS ",TABLEAU!$M$55)),"] &amp;D","]# &amp; #D"),"A 2A",CONCATENATE("A ",TABLEAU!$Y55,"H",TABLEAU!$F$55))," )",")")))</f>
        <v/>
      </c>
      <c r="AF55" s="985" t="str">
        <f ca="1">IF(TODAY&lt;&gt;TABLEAU!$K$3," ",IF(TABLEAU!$D$55="","",H.M-TABLEAU!$D$55))</f>
        <v xml:space="preserve"> </v>
      </c>
      <c r="AG55" s="985" t="str">
        <f ca="1">IF(TABLEAU!$B$55="","",IF(TABLEAU!$I$55&lt;&gt;0,"",IF(TODAY&lt;&gt;"LUNDI","",IF(TABLEAU!$AF$55=" ","",IF(TABLEAU!$AF$55="","",IF(AND(HOUR(TABLEAU!$AF$55)&gt;0,MINUTE(TABLEAU!$AF$55)&lt;10),CONCATENATE(HOUR(TABLEAU!$AF$55),"H0",MINUTE(TABLEAU!$AF$55)),IF(AND(HOUR(TABLEAU!$AF$55)&gt;0,MINUTE(TABLEAU!$AF$55)&gt;9),CONCATENATE(HOUR(TABLEAU!$AF$55),"H",MINUTE(TABLEAU!$AF$55)),CONCATENATE(MINUTE(TABLEAU!$AF$55)," MIN"))))))))</f>
        <v/>
      </c>
      <c r="AH55" s="985" t="str">
        <f ca="1">IF(TABLEAU!$I$55="","",IF(MINUTE(TABLEAU!$I$55)&gt;9,CONCATENATE(HOUR(TABLEAU!$I$55),"H",MINUTE(TABLEAU!$I$55)),CONCATENATE(HOUR(TABLEAU!$I$55),"H0",MINUTE(TABLEAU!$I$55))))</f>
        <v/>
      </c>
      <c r="AI55" s="1639" t="str">
        <f ca="1">SUBSTITUTE(SUBSTITUTE(CONCATENATE(LUNDI.TV.1,LUNDI.TV.2,LUNDI.TV.3,LUNDI.TV.4),"##","# &amp; #"),CONCATENATE(" &amp; #",LUNDI.DANS," (",LUNDI.VERIFIER)," &amp; #(")</f>
        <v>#DANS 2 JOURS (LUNDI 4 NOVEMBRE A 18H50 SUR TFX): [TELE-REALITE]# &amp; #(A 19H50 SUR W9): [LES MARSEILLAIS]# &amp; #(A 23H00 SUR TF1): [NEW YORK UNITE SPECIALE]#</v>
      </c>
      <c r="AJ55" s="73" t="str">
        <f ca="1">IF(TABLEAU!$B$55="","",TABLEAU!$P$55)</f>
        <v/>
      </c>
      <c r="AK55" s="73" t="str">
        <f ca="1">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O$55,"DEPASSE","&amp;&amp;&amp;"),"A",""),"B",""),"C",""),"D",""),"E",""),"F",""),"G",""),"H",""),"I",""),"J",""),"K",""),"L",""),"M",""),"N",""),"O",""),"P",""),"Q",""),"R",""),"S",""),"T",""),"U",""),"V",""),"W",""),"X",""),"Y",""),"Z",""),"0",""),"1",""),"2",""),"3",""),"4",""),"5",""),"6",""),"7",""),"8",""),"9",""),":",""),"(",""),")",""),"[",""),"]","")," ",""))</f>
        <v/>
      </c>
      <c r="AL55" s="633" t="str">
        <f ca="1">UPPER(IF(DATE.RDV.TV&lt;&gt;TABLEAU!$K$3,"",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B$55,"DEPASSE ","¤¤"),"A",""),"B",""),"C",""),"D",""),"E",""),"F",""),"G",""),"H",""),"I",""),"J",""),"K",""),"L",""),"M",""),"N",""),"O",""),"P",""),"Q",""),"R",""),"S",""),"T",""),"U",""),"V",""),"W",""),"X",""),"Y",""),"Z",""),"1",""),"2",""),"3",""),"4",""),"5",""),"6",""),"7",""),"8",""),"9",""),"0",""),"-",""),"(",""),")",""),"{",""),"}",""),"=",""),"[",""),"]",""),"#",""),"+",""),":",""),"/",""),"'",""),".","")," &amp; ","")," ° ",""))))</f>
        <v/>
      </c>
      <c r="AM55" s="834" t="str">
        <f ca="1">UPPER(IF(DATE.RDV.TV&lt;&gt;TABLEAU!$K$3,"",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C$55,"CHAMPIONNAT","¤"),"LDC","¤¤"),"UEFA","¤¤¤"),"FRANCE","¤¤¤¤"),"LIGUE","¤¤¤¤¤"),"GP","¤¤¤¤¤¤"),"MONDIAL","¤¤¤¤¤¤¤"),"EURO","¤¤¤¤¤¤¤¤"),"CONFEDERATIONS","¤¤¤¤¤¤¤¤¤"),"A",""),"B",""),"C",""),"D",""),"E",""),"F",""),"G",""),"H",""),"I",""),"J",""),"K",""),"L",""),"M",""),"N",""),"O",""),"P",""),"Q",""),"R",""),"S",""),"T",""),"U",""),"V",""),"W",""),"X",""),"Y",""),"Z",""),"1",""),"2",""),"3",""),"4",""),"5",""),"6",""),"7",""),"8",""),"9",""),"0",""),"-",""),"(",""),")",""),"{",""),"}",""),"=",""),"[",""),"]",""),"#",""),"+",""),":",""),"/",""),"'",""),".","")," &amp; ","")," ° ",""),"~",""))))</f>
        <v/>
      </c>
      <c r="AN55" s="1837" t="str">
        <f ca="1">IF(OR(TABLEAU!$A$55="#DEPASSE#",TABLEAU!$P$55="#DEPASSE#"),TABLEAU!$B$55,"")</f>
        <v/>
      </c>
      <c r="AO55" s="1838"/>
      <c r="AP55" s="1838"/>
      <c r="AQ55" s="1838"/>
      <c r="AR55" s="1838"/>
      <c r="AS55" s="1838"/>
      <c r="AT55" s="1838"/>
      <c r="AU55" s="1838"/>
      <c r="AV55" s="1838"/>
      <c r="AW55" s="1838"/>
      <c r="AX55" s="1839"/>
      <c r="AY55" s="1243">
        <f ca="1">IF(AND(TABLEAU!$C$55&lt;&gt;"",TABLEAU!$B$55=""),1,0)</f>
        <v>0</v>
      </c>
      <c r="AZ55" s="2576"/>
      <c r="BA55" s="2577"/>
    </row>
    <row r="56" spans="1:53" ht="12" customHeight="1">
      <c r="A56" s="1508" t="str">
        <f ca="1">IF(TABLEAU!$B$56="","",IF(OR(TABLEAU!$AL$56="¤¤",TABLEAU!$P$56&lt;&gt;""),"#DEPASSE#",SUBSTITUTE(IF(OR(LUNDI.2="",TABLEAU!$C$56=""),"",IF(AND(TODAY=TABLEAU!$K$3,HOUR((H.M))&gt;HOUR(LUNDI.2),MINUTE((H.M))&gt;MINUTE(LUNDI.2)),"",IF(TODAY&lt;&gt;TABLEAU!$K$3,"",IF(HOUR(TABLEAU!$I$56)&gt;0,CONCATENATE("DANS ",HOUR(TABLEAU!$I$56),"H",TABLEAU!$N$56),CONCATENATE("DANS ",HOUR(TABLEAU!$I$56),"H",TABLEAU!$N$56," MIN")))))," 0H"," ")))</f>
        <v/>
      </c>
      <c r="B56" s="1512" t="str">
        <f ca="1">SUBSTITUTE(SUBSTITUTE(SUBSTITUTE(IF(OR(TABLEAU!$C56,TABLEAU!$D56=""),"",SUBSTITUTE(SUBSTITUTE(SUBSTITUTE(SUBSTITUTE(SUBSTITUTE(SUBSTITUTE(SUBSTITUTE(SUBSTITUTE(SUBSTITUTE(SUBSTITUTE(SUBSTITUTE(SUBSTITUTE(SUBSTITUTE(SUBSTITUTE(SUBSTITUTE(SUBSTITUTE(SUBSTITUTE(SUBSTITUTE(SUBSTITUTE(SUBSTITUTE(SUBSTITUTE(SUBSTITUTE(SUBSTITUTE(SUBSTITUTE(IF(TABLEAU!$C56="","",SUBSTITUTE(IF(TABLEAU!$AE56="",TABLEAU!$U56,TABLEAU!$AE56),CONCATENATE(CVB,YEAR(A)," "),""))," #"," "),"] &amp; D","]# &amp; #D")," &amp; (A",CONCATENATE("# &amp; #",TABLEAU!$H56,"A")),"&amp; DEPASSE","&amp; #DEPASSE"),"## &amp; #A","# &amp; #(A"),"DANS MAINTENANT","MAINTENANT"),CONCATENATE(" H",TABLEAU!$N56),CONCATENATE(" ",TABLEAU!$N56," MIN"))," 0"," "),"] &amp;D","]# &amp; #D"),"}  MIN","} H"),"# &amp; D","# &amp; #D"),CONCATENATE("#MAINTENANT (A ",TABLEAU!$Z56,"): MAINTENANT"),"#MAINTENANT"),TABLEAU!$AB$2,""),TABLEAU!$AM$5,"")," MINAMILTON","HAMILTON"),CONCATENATE(TABLEAU!$Z56," ",TABLEAU!$Z56),TABLEAU!$Z56),"DEPUIS  MINIER","DEPUIS HIER"),"MINONGRIE","HONGRIE"),"#DANS (#DEPASSE","#DEPASSE"),CONCATENATE(" ",YEAR(A)),""),"]= [","= ["),")])",")]"),"#DEPASSE DEPUISDANS","#DANS"),"(A 1A ):",CONCATENATE("(A ",HOUR(TABLEAU!$D56),"H",TABLEAU!$F56,"):"))),"SUR "," SUR "),"  SUR "," SUR "),CONCATENATE("DEPASSE DEPUIS ",TABLEAU!$M56," (A DANS"),"DANS")</f>
        <v>#DANS 2 JOURS (LUNDI 4 NOVEMBRE A 19H50 SUR W9): [LES MARSEILLAIS]#</v>
      </c>
      <c r="C56" s="631" t="s">
        <v>170</v>
      </c>
      <c r="D56" s="632">
        <v>0.82638888888888884</v>
      </c>
      <c r="E56" s="2634">
        <f>IF(TABLEAU!$D56="","",IF(TABLEAU!$D56="23:59","",HOUR(TABLEAU!$D56)))</f>
        <v>19</v>
      </c>
      <c r="F56" s="2635" t="str">
        <f>IF(OR(TABLEAU!$D$56="",TABLEAU!$D$56="23:59"),"59",IF(MINUTE(TABLEAU!$D$56)&lt;10,CONCATENATE("0",MINUTE(TABLEAU!$D$56)),CONCATENATE(MINUTE(TABLEAU!$D$56))))</f>
        <v>50</v>
      </c>
      <c r="G56" s="574" t="str">
        <f ca="1">UPPER(SUBSTITUTE(SUBSTITUTE(SUBSTITUTE(IF(TABLEAU!$D$56="","",SUBSTITUTE(SUBSTITUTE(SUBSTITUTE(SUBSTITUTE(SUBSTITUTE(SUBSTITUTE(SUBSTITUTE(SUBSTITUTE(SUBSTITUTE(SUBSTITUTE(SUBSTITUTE(SUBSTITUTE(SUBSTITUTE(SUBSTITUTE(SUBSTITUTE(IF(OR(TABLEAU!$D$56="",TABLEAU!$C$56=""),"",IF(AND(TODAY=TABLEAU!$K$3,HOUR((H.M))&gt;HOUR(TABLEAU!$D$56),MINUTE((H.M))&gt;MINUTE(TABLEAU!$D$56)),CONCATENATE("#DEPASSE DEPUIS",TABLEAU!$M$56," ",TABLEAU!$C$56,"#"),IF(TABLEAU!$P$56&lt;&gt;"",CONCATENATE("#DEPASSE DEPUIS",TABLEAU!$M$56," ",TABLEAU!$C$56,"#"),IF(TODAY&lt;&gt;TABLEAU!$K$3,CONCATENATE("#",LUNDI.DANS," (LUNDI ",DAY(LUNDI.DATE)," ",LOOKUP(MONTH(LUNDI.DATE),MOIS)," A ",HOUR(TABLEAU!$D$56),"H",TABLEAU!$F$56,"): ",TABLEAU!$C$56,"#"),CONCATENATE("#",TABLEAU!$L$56," (A ",TABLEAU!$Z$56,"): ",SUBSTITUTE(TABLEAU!$C$56,"#",""),"#"))))),CONCATENATE(LOOKUP(MONTH(LUNDI.DATE),MOIS)," (A"),CONCATENATE(LOOKUP(MONTH(LUNDI.DATE),MOIS)," A")),"##","#"),CONCATENATE("#DEPASSE DEPUIS  (A ): ",TABLEAU!$C$56,"#"),""),CONCATENATE("(A ",TABLEAU!$E$56,"H",TABLEAU!$X$56,"): "),""),CONCATENATE(TABLEAU!$L$56," DEPUIS"),"DEPASSE DEPUIS"),CONCATENATE("A ",HOUR(TABLEAU!$D$56),"H",TABLEAU!$F$56,"): (A ",HOUR(TABLEAU!$D$56),"H",TABLEAU!$F$56),CONCATENATE("A ",HOUR(TABLEAU!$D$56),"H",TABLEAU!$F$56)),"#DEPASSEDEPASSE","#DEPASSE"),"# (",CONCATENATE("#",TABLEAU!$H$56)),CONCATENATE("A ",SUBSTITUTE(TABLEAU!$M$33,":","H"),"): ~ (A ",SUBSTITUTE(TABLEAU!$M$33,":","H")),CONCATENATE("A ",SUBSTITUTE(TABLEAU!$M$33,":","H"))),CONCATENATE("#DEPASSE ",TABLEAU!$M$56,"#D"),"#D")," D"," #D"),"#DEPUIS","DEPUIS"),"COURS ","COURS# "),"#DE ","DE "),"GP #D","GP D")),"# &amp; #",CONCATENATE("# &amp; #DEPASSE DEPUIS",TABLEAU!$M$56," ")),"] &amp; (",CONCATENATE("]# &amp; DANS ",TABLEAU!$AH$56," ("))," 0"," "))</f>
        <v>#DANS 2 JOURS (LUNDI 4 NOVEMBRE A 19H50 SUR W9): [LES MARSEILLAIS]#</v>
      </c>
      <c r="H56" s="548" t="str">
        <f ca="1">SUBSTITUTE(IF(OR(DATE.RDV.TV&lt;&gt;TABLEAU!$K$3,TABLEAU!$C$56=""),"",IF(HOUR(TABLEAU!$I$56)=0,CONCATENATE("DANS ",TABLEAU!$N$56," MIN ("),CONCATENATE("DANS ",HOUR(TABLEAU!$I$56),"H",TABLEAU!$N$56," ("))),"DANS  MIN (","")</f>
        <v/>
      </c>
      <c r="I56" s="272" t="str">
        <f ca="1">IF(OR(TODAY&lt;&gt;TABLEAU!$K$3,TABLEAU!$C$56=""),"",IF(OR(TABLEAU!$D$56="",TABLEAU!$P$56="#DEPASSE#",TODAY&lt;&gt;TABLEAU!$K$3),0,IF(HOUR((H.M))&gt;HOUR(TABLEAU!$D$56),0,TABLEAU!$D$56-H.M)))</f>
        <v/>
      </c>
      <c r="J56" s="273" t="str">
        <f ca="1">SUBSTITUTE(SUBSTITUTE(SUBSTITUTE(IF(TABLEAU!$I$56="","",SUBSTITUTE(SUBSTITUTE(SUBSTITUTE(SUBSTITUTE(SUBSTITUTE(SUBSTITUTE(SUBSTITUTE(SUBSTITUTE(SUBSTITUTE(SUBSTITUTE(SUBSTITUTE(SUBSTITUTE(SUBSTITUTE(SUBSTITUTE(SUBSTITUTE(SUBSTITUTE(SUBSTITUTE(SUBSTITUTE(SUBSTITUTE(SUBSTITUTE(IF(DATE.DEPASSE&lt;0,TABLEAU!$U$56,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G56,"  "," "),CONCATENATE("(A ",TABLEAU!$Z$56,"): (A ",TABLEAU!$Z$56),CONCATENATE("(A ",TABLEAU!$Z$56)),CONCATENATE("#DEPASSE",TABLEAU!$M$56,"#DEPASSE",TABLEAU!$M$56),CONCATENATE("#DEPASSE",TABLEAU!$M$56)),CONCATENATE("#DEPASSE",TABLEAU!$L$56,"DEPASSE"),"#DEPASSE"),CONCATENATE(TABLEAU!$L$56," (A ",TABLEAU!$Z$56,"): DEPUIS"),"DEPASSE DEPUIS")," 1 "," 1ER "),"DEPASSE DEPUIS DEPASSE DEPUIS","DEPASSE DEPUIS"),CONCATENATE("DEPASSE ",TRIM(TABLEAU!$L$56)," DEPASSE ",TRIM(TABLEAU!$L$56)),CONCATENATE("DEPASSE ",TRIM(TABLEAU!$L$56))),"1ER MIN","1 MIN"),"1ER ERREUR","1 ERREUR"),CONCATENATE("(A ",TABLEAU!$Z$56,"): (A ",TABLEAU!$E$56,":",TABLEAU!$F$56),CONCATENATE("(A ",TABLEAU!$Z$56))," (A ):",""),"DEPASSE DEPUIS (",TABLEAU!$H$56),"] &amp; D","]# &amp; #D"),CONCATENATE("#DEPASSE",TABLEAU!$M$56,"DEPASSE"),"#DEPASSE")," [","): ["),"):):","):"),"DEPUIS ",TABLEAU!$L$56),CONCATENATE(SUBSTITUTE(TABLEAU!$M$56,"DEPUIS ",""))," "),"DEPUIS",CONCATENATE(TABLEAU!$M$56," (",LUNDI.VERIFIER," A ")),SUBSTITUTE(TABLEAU!$M$56,"DEPUIS","A"),""),"DEPASSE  ","DEPASSE"),"  A "," A"),"  "," "),TRIM(SUBSTITUTE(TABLEAU!$M$56," DEPUIS ","A ")),"EEE"),"EEE",CONCATENATE("A ",TABLEAU!$Z$56)),CONCATENATE("DEPASSE ",TABLEAU!$L$56,"HIER"),"DEPASSE DEPUIS HIER"),"DEPASSEDEPASSE","DEPASSE DEPUIS "),CONCATENATE(" A ",TABLEAU!$Z$59," (A ",TABLEAU!$Z$59),CONCATENATE(" A ",TABLEAU!$Z$59)),CONCATENATE("A ",TABLEAU!$Z$56," ",TABLEAU!$C$56),TABLEAU!$C$56),CONCATENATE(MOIS.MAINTENANT.2," (A"),CONCATENATE(MOIS.MAINTENANT.2," A")),"#DEPASSE #DEPASSEDEPUIS","#DEPASSE DEPUIS"),"A (A","A"),CONCATENATE(TABLEAU!$L$56," DEPASSE"),"DEPASSE"),"DEPASSE (",CONCATENATE("DEPASSE DEPUIS ",TABLEAU!$Q$56," (")),"''MIN","MIN"),"=):","]="),CONCATENATE("#DEPASSE ",TABLEAU!$Q$56),CONCATENATE("#DEPASSE DEPUIS ",TABLEAU!$Q$56)),"DEPASSE","DEPASSE DEPUIS"),"DEPUIS DEPUIS","DEPUIS")),"US A","USA"),CONCATENATE("DEPASSE DEPUIS ",TABLEAU!$Q$56,"DEPASSE DEPUIS ",TABLEAU!$Q$56),CONCATENATE("DEPASSE DEPUIS ",TABLEAU!$Q$56)),CONCATENATE("#DEPASSE DEPUIS ",TABLEAU!$Q$56," #DEPASSE DEPUIS ",TABLEAU!$Q$56),CONCATENATE("#DEPASSE DEPUIS ",TABLEAU!$Q$56)),"#DEPASSE DEPUIS #DEPASSE DEPUIS","#DEPASSE DEPUIS"),CONCATENATE("): ",LUNDI.DANS," (A ",TABLEAU!$E$56,"H",TABLEAU!$F$56),"")," &amp; D"," &amp; #D"),CONCATENATE(LUNDI.DANS," (LUNDI ",DAY(LUNDI.DATE)," ",LOOKUP(MONTH(LUNDI.DATE),MOIS)," A ",TABLEAU!$E$56,"H",TABLEAU!$F$56,"): DANS"),"DANS"),CONCATENATE(LUNDI.DANS," (LUNDI ",DAY(LUNDI.DATE)," ",LOOKUP(MONTH(LUNDI.DATE),MOIS)," A ",TABLEAU!$E$56,"H",TABLEAU!$F$56,"): ",LUNDI.DANS,"= ",TABLEAU!$AN$23,"(A ",TABLEAU!$E$56,"H",TABLEAU!$F$56),CONCATENATE(LUNDI.DANS,"= ",TABLEAU!$AN$23," (LUNDI ",DAY(LUNDI.DATE)," ",LOOKUP(MONTH(LUNDI.DATE),MOIS)," A ",TABLEAU!$E$56,"H",TABLEAU!$F$56)),CONCATENATE(LUNDI.DANS," (LUNDI ",DAY(LUNDI.DATE)," ",LOOKUP(MONTH(LUNDI.DATE),MOIS)," A ",TABLEAU!$E$56,"H",TABLEAU!$F$56,"): DANS"),"DANS"),"# (",CONCATENATE("#",TABLEAU!$H$56)),"DANS 0","DANS "),"# ~ ",CONCATENATE("#",FICHIER.A.MODIFIER," ~ ")),CONCATENATE("A ",SUBSTITUTE(TABLEAU!$M$33,":","H"),"): ~ (A ",SUBSTITUTE(TABLEAU!$M$33,":","H")),CONCATENATE("A ",SUBSTITUTE(TABLEAU!$M$33,":","H"))),CONCATENATE("(A ",TABLEAU!$Z$56,"): ~ (A"),"(A"),"DANS 0 MIN","MAINTENANT"),"DEPUIS(",CONCATENATE("DEPUIS ",TABLEAU!$M$56," (")),"DEPUIS DEPUIS  (A",CONCATENATE("DEPUIS ",TABLEAU!$M$56," (A")),"(A 1 ",CONCATENATE("(A ",TABLEAU!$E$56,":00")),"#A",CONCATENATE("#DANS ",HOUR(TABLEAU!$I$56),"H",TABLEAU!$N$56," (A")),"DEPUIS DEPUIS",CONCATENATE("DEPUIS ",TABLEAU!$M$56))),"]#D","]# &amp; #D"),"DEPUIS =",CONCATENATE("DEPUIS ",TABLEAU!$M$56)),"DANS  MAINTENANT","MAINTENANT")</f>
        <v/>
      </c>
      <c r="K56" s="274" t="str">
        <f ca="1">TRIM(SUBSTITUTE(SUBSTITUTE(SUBSTITUTE(SUBSTITUTE(SUBSTITUTE(SUBSTITUTE(SUBSTITUTE(SUBSTITUTE(SUBSTITUTE(TABLEAU!$O$56,CONCATENATE("): (",TABLEAU!$W$56),""),CONCATENATE("A ",TABLEAU!$E$56,"H",TABLEAU!$X$56,"): ("),""),"(SUR",CONCATENATE("(A ",TABLEAU!$E$56,"H",TABLEAU!$X$56," SUR"))," &amp; (",CONCATENATE(" &amp; ",TABLEAU!$L$56," (")),"AUJOURD'HUI",""),"##","#"),"1ER MIN","1 MIN"),CONCATENATE("DEPASSE ",TRIM(TABLEAU!$L$56)," DEPASSE"),"DEPASSE")," (A ):",""))</f>
        <v/>
      </c>
      <c r="L56" s="275" t="str">
        <f ca="1">UPPER(IF(TABLEAU!$P$56&lt;&gt;"","",IF(TABLEAU!$P$56="","",IF(TABLEAU!$AM$56&lt;&gt;"","#DEPASSE DEPUIS ",IF(TODAY&lt;&gt;TABLEAU!$K$3,"",IF(COUNTIF(ENCOURS,"#EN COURS#")&lt;&gt;0,"MAINTENANT",SUBSTITUTE(SUBSTITUTE(SUBSTITUTE(IF(OR(TABLEAU!$C$56="",TABLEAU!$D$56=""),"",IF(HOUR(TABLEAU!$I$56)=0,CONCATENATE("DANS ",TABLEAU!$N$56," MIN"),CONCATENATE("DANS ",HOUR(TABLEAU!$I$56),"H",TABLEAU!$N$56))),"DANS 0","DANS "),"DANS  MIN",TABLEAU!$M$56),"DANS 0 MIN","MAINTENANT")))))))</f>
        <v/>
      </c>
      <c r="M56" s="275" t="str">
        <f ca="1">IF(TODAY&lt;&gt;TABLEAU!$K$3,"",SUBSTITUTE(IF(TABLEAU!$D$56="","",IF(TABLEAU!$AF$56=" ","",IF(TABLEAU!$D$56-H.M&gt;0,"",IF(AND(HOUR(TABLEAU!$AF$56)&gt;0,MINUTE(TABLEAU!$AF$56)&lt;10),CONCATENATE(" ",HOUR(TABLEAU!$AF$56),"H0",MINUTE(TABLEAU!$AF$56)),IF(AND(HOUR(TABLEAU!$AF$56)&gt;0,MINUTE(TABLEAU!$AF$56)&gt;9),CONCATENATE(" ",HOUR(TABLEAU!$AF$56),"H",MINUTE(TABLEAU!$AF$56)),CONCATENATE(" 0",MINUTE(TABLEAU!$AF$56)," MIN"))))))," 0",""))</f>
        <v/>
      </c>
      <c r="N56" s="276" t="str">
        <f ca="1">IF(TABLEAU!$D$56="","",IF(OR(TABLEAU!$C$56="",TODAY&lt;&gt;TABLEAU!$K$3),"",IF(TABLEAU!$P$56="#DEPASSE#","",IF(HOUR((H.M))&gt;HOUR(TABLEAU!$D$56),"",IF(MINUTE(TABLEAU!$I$56)&lt;10,CONCATENATE("0",MINUTE(TABLEAU!$I$56)),MINUTE(TABLEAU!$I$56))))))</f>
        <v/>
      </c>
      <c r="O56" s="277" t="str">
        <f ca="1">UPPER(SUBSTITUTE(SUBSTITUTE(SUBSTITUTE(SUBSTITUTE(SUBSTITUTE(SUBSTITUTE(SUBSTITUTE(SUBSTITUTE(SUBSTITUTE(TABLEAU!$J$56,"DANS 0H","DANS "),"DANS 0","DANS "),CONCATENATE("(A ",TABLEAU!$E$56,"H",TABLEAU!$X$56,"): (",LOOKUP(WEEKDAY(LUNDI.DATE),SEMAINE)," ",DAY(LUNDI.DATE)," ",LOOKUP(MONTH(LUNDI.DATE),MOIS)," A 20H00): "),CONCATENATE(TABLEAU!$L$56," (A ",TABLEAU!$E$56,"H",TABLEAU!$X$56,")")),"DEPUIS 0","DEPUIS "),"&amp; A","&amp; (A"),CONCATENATE("(",NBA),""),"#DEPASSE DEPUIS (A","(A"),"DANS  MAINTENANT","MAINTENANT"),"] &amp; #","]# &amp; #"))</f>
        <v/>
      </c>
      <c r="P56" s="382" t="str">
        <f ca="1">IF(OR(TABLEAU!$D$56="",TODAY&lt;&gt;TABLEAU!$K$3),"",IF(AND(HOUR((H.M))=HOUR(TABLEAU!$D$56),MINUTE((H.M))&gt;MINUTE(TABLEAU!$D$56)),"#DEPASSE#",IF(HOUR((H.M))&gt;HOUR(TABLEAU!$D$56),"#DEPASSE#","")))</f>
        <v/>
      </c>
      <c r="Q56" s="275" t="str">
        <f ca="1">IF(OR(TABLEAU!$P$56="",TABLEAU!$S$56=""),"",IF(AND(HOUR(TABLEAU!$S$56)&gt;0,MINUTE(TABLEAU!$S$56)&lt;10),CONCATENATE(HOUR(TABLEAU!$S$56),"H0",MINUTE(TABLEAU!$S$56)),IF(AND(HOUR(TABLEAU!$S$56)=0,MINUTE(TABLEAU!$S$56)&lt;10),CONCATENATE(MINUTE(TABLEAU!$S$56)," MIN"),IF(AND(HOUR(TABLEAU!$S$56)&gt;0,MINUTE(TABLEAU!$S$56)&gt;9),CONCATENATE(HOUR(TABLEAU!$S$56),"H",MINUTE(TABLEAU!$S$56)),CONCATENATE(MINUTE(TABLEAU!$S$56)," MIN")))))</f>
        <v/>
      </c>
      <c r="R56" s="275" t="str">
        <f ca="1">UPPER(IF(OR(TABLEAU!$C$56="",TODAY&lt;&gt;TABLEAU!$K$3),"",IF(OR(TABLEAU!$D$56="",TABLEAU!$D$56="23:59",TABLEAU!$C$56=""),"",IF(AND(TODAY=TABLEAU!$K$3,HOUR(TABLEAU!$I$56)&lt;1,MINUTE(TABLEAU!$I$56)&lt;5,TABLEAU!$I$56&lt;&gt;"",TABLEAU!$I$56&lt;&gt;0),"BIENTOT",""))))</f>
        <v/>
      </c>
      <c r="S56" s="619" t="str">
        <f ca="1">IF(TABLEAU!$D$56="","",IF(TODAY&lt;&gt;TABLEAU!$K$3,"",IF((H.M)&gt;TABLEAU!$D$56,"",(H.M)-TABLEAU!$D$56)))</f>
        <v/>
      </c>
      <c r="T56" s="2150"/>
      <c r="U56" s="397" t="str">
        <f ca="1">UPPER(TRIM(SUBSTITUTE(SUBSTITUTE(SUBSTITUTE(SUBSTITUTE(SUBSTITUTE(SUBSTITUTE(SUBSTITUTE(SUBSTITUTE(SUBSTITUTE(SUBSTITUTE(SUBSTITUTE(SUBSTITUTE(SUBSTITUTE(SUBSTITUTE(SUBSTITUTE(SUBSTITUTE(SUBSTITUTE(SUBSTITUTE(IF(TABLEAU!$D$56="","",SUBSTITUTE(SUBSTITUTE(SUBSTITUTE(SUBSTITUTE(SUBSTITUTE(SUBSTITUTE(SUBSTITUTE(SUBSTITUTE(SUBSTITUTE(SUBSTITUTE(SUBSTITUTE(SUBSTITUTE(SUBSTITUTE(SUBSTITUTE(SUBSTITUTE(IF(OR(TABLEAU!$C$56="",TABLEAU!$D$56=""),"",IF(AND(TODAY=TABLEAU!$K$3,TABLEAU!$P$56&lt;&gt;""),CONCATENATE("#DEPASSE DEPUIS ",TABLEAU!$M$56," ",TABLEAU!$W$56,"#"),CONCATENATE("#",LUNDI.DANS," ",TABLEAU!$H$56,TABLEAU!$C$56,"#"))),": =",":"),CONCATENATE(NBA,"("),""),CONCATENATE(LOOKUP(MONTH(LUNDI.DATE),MOIS)," (A"),CONCATENATE(LOOKUP(MONTH(LUNDI.DATE),MOIS)," A")),"1ER MIN","1 MIN"),"((","("),"##","#"),"# ","#"),CONCATENATE("#",TABLEAU!$H$56,"DEPUIS"),"#DEPASSE DEPUIS"),"DEMAIN (",CONCATENATE("DEMAIN (LUNDI ",DAY(LUNDI.DATE)," ",LOOKUP(MONTH(LUNDI.DATE),MOIS)," ")),"JOURS (A ",CONCATENATE("JOURS (LUNDI ",DAY(LUNDI.DATE)," ",LOOKUP(MONTH(LUNDI.DATE),MOIS)," A ")),"(A","(LUNDI A"),"DANS 00 MIN","DANS "),"DANS 0","DANS "),"#&amp;","# &amp; "),"JOURS [",CONCATENATE("JOURS (",LOOKUP(WEEKDAY(LUNDI.DATE),SEMAINE)," ",DAY(LUNDI.DATE)," ",LOOKUP(MONTH(LUNDI.DATE),MOIS)," A ",HOUR(TABLEAU!$D$56),"H",TABLEAU!$F$56,"): ["))),CONCATENATE(LUNDI.DANS," ",LUNDI.DANS),CONCATENATE(" ",LUNDI.DANS)),"# ","#"),"#&amp; #","# &amp; #"),"US A","USA"),"(~ ("," ~ ("),"LUNDI A ","A "),CONCATENATE("#",TABLEAU!$H$56,TABLEAU!$W$56),TABLEAU!$W$56),"DEMAINDANS","DEMAIN DANS"),"''(","'' ("),CONCATENATE("#DANS ",TRIM(TABLEAU!$AH$56)," (#DEPASSE "),"#DEPASSE "),"]#D","]# &amp; #D"),"(MATCH","MATCH"),"COURS &amp; D","COURS# &amp; #D"),"#&amp; ","# &amp; #"),"# &amp; # ","# &amp; #"),CONCATENATE("#DEPASSE DEPUIS ",TABLEAU!$M$56," #"),"#"),"# &amp; ##","# &amp; #"),"DANS  (MAINTENANT","MAINTENANT")))</f>
        <v>#DANS 2 JOURS (LUNDI 4 NOVEMBRE A 19H50 SUR W9): [LES MARSEILLAIS]#</v>
      </c>
      <c r="V56" s="398" t="str">
        <f ca="1">UPPER(TRIM(SUBSTITUTE(SUBSTITUTE(IF(OR(TABLEAU!$C$56="",TABLEAU!$D$56="",LUNDI.DANS&lt;&gt;""),"",TABLEAU!$J$56),JOUR.PLUS,""),"DANS  MAINTENANT","MAINTENANT")))</f>
        <v/>
      </c>
      <c r="W56" s="344" t="str">
        <f>UPPER(IF(TABLEAU!$C$56=0,"",TABLEAU!$C$56))</f>
        <v>(A 19H50 SUR W9): [LES MARSEILLAIS]</v>
      </c>
      <c r="X56" s="820"/>
      <c r="Y56" s="275" t="str">
        <f ca="1">IF(OR(TODAY&lt;&gt;TABLEAU!$K$3,TABLEAU!$C$56=""),"",IF(OR(TABLEAU!$C$56="",TABLEAU!$D$56=""),"",HOUR(TABLEAU!$D$56)))</f>
        <v/>
      </c>
      <c r="Z56" s="275" t="str">
        <f ca="1">IF(TABLEAU!$AM$56&lt;&gt;""," ",IF(OR(TODAY&lt;&gt;"LUNDI",TABLEAU!$C$56="",TABLEAU!$D$56="")," ",IF(MINUTE(TABLEAU!$D$56)&lt;10,CONCATENATE(HOUR(TABLEAU!$D$56),"H0",MINUTE(TABLEAU!$D$56)),IF(MINUTE(TABLEAU!$D$56)&gt;9,CONCATENATE(HOUR(TABLEAU!$D$56),"H",MINUTE(TABLEAU!$D$56))))))</f>
        <v xml:space="preserve"> </v>
      </c>
      <c r="AA56" s="353" t="str">
        <f ca="1">TRIM(SUBSTITUTE(SUBSTITUTE(SUBSTITUTE(SUBSTITUTE(IF(TABLEAU!$P$56="#DEPASSE#",TABLEAU!$AB$56,TABLEAU!$U$56),"# ","#"),"#&amp; #","# &amp; #"),"DANS (MAINTENANT","MAINTENANT"),SUBSTITUTE(SUBSTITUTE(CONCATENATE("#",TABLEAU!$H$56,"",TABLEAU!$H$56)," 0"," ")," 0"," "),SUBSTITUTE(TABLEAU!$H$56," 0"," ")))</f>
        <v>DANS 2 JOURS (LUNDI 4 NOVEMBRE A 19H50 SUR W9): [LES MARSEILLAIS]</v>
      </c>
      <c r="AB56" s="275" t="str">
        <f ca="1">UPPER(TRIM(SUBSTITUTE(SUBSTITUTE(SUBSTITUTE(SUBSTITUTE(SUBSTITUTE(SUBSTITUTE(TABLEAU!$K$56,CONCATENATE(LOOKUP(MONTH(A),MOIS)," (A"),CONCATENATE(LOOKUP(MONTH(A),MOIS)," A ")),CONCATENATE(LOOKUP(MONTH(A)+1,MOIS)," (A"),CONCATENATE(LOOKUP(MONTH(A)+1,MOIS)," A ")),CONCATENATE("(",YEAR(LUNDI.DATE)),""),"] &amp; DANS","]# &amp; #DANS"),"DANS MAINTENANT","MAINTENANT"),SUBSTITUTE(CONCATENATE("#",SUBSTITUTE(TABLEAU!$H$56,"(",""),"#",TABLEAU!$H$56)," 0"," "),SUBSTITUTE(TABLEAU!$H$56," 0"," "))))</f>
        <v/>
      </c>
      <c r="AC56" s="679" t="str">
        <f ca="1">IF(TABLEAU!$P$56="#DEPASSE#",CONCATENATE(TABLEAU!$AC$55," &amp; ",TABLEAU!$B$56),TABLEAU!$AC$55)</f>
        <v/>
      </c>
      <c r="AD56" s="1823"/>
      <c r="AE56" s="277" t="str">
        <f ca="1">UPPER(TRIM(SUBSTITUTE(SUBSTITUTE(SUBSTITUTE(SUBSTITUTE(SUBSTITUTE(SUBSTITUTE(SUBSTITUTE(SUBSTITUTE(SUBSTITUTE(SUBSTITUTE(SUBSTITUTE(SUBSTITUTE(SUBSTITUTE(SUBSTITUTE(SUBSTITUTE(SUBSTITUTE(SUBSTITUTE(SUBSTITUTE(SUBSTITUTE(SUBSTITUTE(SUBSTITUTE(SUBSTITUTE(SUBSTITUTE(SUBSTITUTE(IF(TABLEAU!$P$56="#DEPASSE#",TABLEAU!$J$56,IF(TABLEAU!$C$56="","",TRIM(SUBSTITUTE(SUBSTITUTE(SUBSTITUTE(SUBSTITUTE(SUBSTITUTE(SUBSTITUTE(SUBSTITUTE(IF(TABLEAU!$L$56="#DEPASSE DEPUIS ",MODIF,IF(TABLEAU!$I$56=SUBSTITUTE(DEPP,"#",""),DEPP,SUBSTITUTE(SUBSTITUTE(SUBSTITUTE(SUBSTITUTE(SUBSTITUTE(SUBSTITUTE(SUBSTITUTE(SUBSTITUTE(SUBSTITUTE(SUBSTITUTE(SUBSTITUTE(SUBSTITUTE(SUBSTITUTE(SUBSTITUTE(SUBSTITUTE(SUBSTITUTE(SUBSTITUTE(SUBSTITUTE(TABLEAU!$AB$56,CONCATENATE(TABLEAU!$K$56," A "),CONCATENATE(TABLEAU!$K$56," (A ")),"JANVIER (","JANVIER "),"FEVRIER (","FEVRIER "),"MARS (","MARS "),"AVRIL (","AVRIL "),"MAI (","MAI "),"JUIN (","JUIN "),"JUILLET (","JUILLET "),"AOUT (","AOUT "),"SEPTEMBRE (","SEPTEMBRE "),"OCTOBRE (","OCTOBRE "),"NOVEMBRE (","NOVEMBRE "),"DECEMBRE (","DECEMBRE "),CONCATENATE(" &amp; ",TABLEAU!$K$56," (")," &amp; "),CONCATENATE(" &amp;",TABLEAU!$L$56,"(")," &amp; ")," &amp; ("," &amp; "),CONCATENATE(TABLEAU!$K$56," (A ",TABLEAU!$AC$56,"): HIER"),"DEPASSE DEPUIS HIER")," &amp; A"," &amp; (A"))),"(A ",CONCATENATE("(",DATE.RDV.TV," A ")),"((","("),CONCATENATE(DATE.RDV.TV," ("),""),CONCATENATE(DATE.RDV.TV," A "),"A "),CONCATENATE(YEAR(A)," (A"),"A"),CONCATENATE(TABLEAU!$L$56," (DEPASSE"),"DEPASSE"),CONCATENATE("DEPASSE",TABLEAU!$L$56,"(",LOOKUP(WEEKDAY(LUNDI.DATE),SEMAINE)," ",DAY(LUNDI.DATE)," ",LOOKUP(MONTH(LUNDI.DATE),MOIS)," A"),"DEPASSE DEPUIS")))),"#&amp; ","# &amp; #"),"DANS (A","MAINTENANT (A"),"DANS (MATCH","DANS MATCH"),CONCATENATE("(DEMAIN= ",DIF.L1," ~ "),""),CONCATENATE("(DEMAIN= ",DIF.LDC," ~ "),""),CONCATENATE("(DEMAIN= ",DIF.UEFA," ~ "),""),CONCATENATE("(DEMAIN= ",DIF.FRANCE," ~ "),""),CONCATENATE("(DEMAIN= ",DIF.LIGUE," ~ "),""),CONCATENATE("(DEMAIN= ",DIF.GP," ~ "),""),CONCATENATE("(DEMAIN= ",DIF.MONDIAL," ~ "),""),CONCATENATE("(DEMAIN= ",DIF.EURO," ~ "),""),CONCATENATE("(DEMAIN= ",DIF.CONFEDERATIONS," ~ "),""),CONCATENATE(TABLEAU!$K$3," A"),"A"),CONCATENATE(TABLEAU!$K$3," A"),"A"),"MERCREDI A","A"),"JEUDI A","A"),"VENDREDI A","A"),"SAMEDI A","A"),"DIMANCHE A","A"),"00H","0H"),"DEPUIS DEPUIS",CONCATENATE("DEPUIS ",TABLEAU!$M$56)),"] &amp;D","]# &amp; #D"),"A 2A",CONCATENATE("A ",TABLEAU!$Y56,"H",TABLEAU!$F$56))," )",")")))</f>
        <v/>
      </c>
      <c r="AF56" s="982" t="str">
        <f ca="1">IF(TODAY&lt;&gt;TABLEAU!$K$3," ",IF(TABLEAU!$D$56="","",H.M-TABLEAU!$D$56))</f>
        <v xml:space="preserve"> </v>
      </c>
      <c r="AG56" s="982" t="str">
        <f ca="1">IF(TABLEAU!$B$56="","",IF(TABLEAU!$I$56&lt;&gt;0,"",IF(TODAY&lt;&gt;"LUNDI","",IF(TABLEAU!$AF$56=" ","",IF(TABLEAU!$AF$56="","",IF(AND(HOUR(TABLEAU!$AF$56)&gt;0,MINUTE(TABLEAU!$AF$56)&lt;10),CONCATENATE(HOUR(TABLEAU!$AF$56),"H0",MINUTE(TABLEAU!$AF$56)),IF(AND(HOUR(TABLEAU!$AF$56)&gt;0,MINUTE(TABLEAU!$AF$56)&gt;9),CONCATENATE(HOUR(TABLEAU!$AF$56),"H",MINUTE(TABLEAU!$AF$56)),CONCATENATE(MINUTE(TABLEAU!$AF$56)," MIN"))))))))</f>
        <v/>
      </c>
      <c r="AH56" s="982" t="str">
        <f ca="1">IF(TABLEAU!$I$56="","",IF(MINUTE(TABLEAU!$I$56)&gt;9,CONCATENATE(HOUR(TABLEAU!$I$56),"H",MINUTE(TABLEAU!$I$56)),CONCATENATE(HOUR(TABLEAU!$I$56),"H0",MINUTE(TABLEAU!$I$56))))</f>
        <v/>
      </c>
      <c r="AI56" s="1640"/>
      <c r="AJ56" s="74" t="str">
        <f ca="1">IF(TABLEAU!$B$56="","",TABLEAU!$P$56)</f>
        <v/>
      </c>
      <c r="AK56" s="74" t="str">
        <f ca="1">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O$56,"DEPASSE","&amp;&amp;&amp;"),"A",""),"B",""),"C",""),"D",""),"E",""),"F",""),"G",""),"H",""),"I",""),"J",""),"K",""),"L",""),"M",""),"N",""),"O",""),"P",""),"Q",""),"R",""),"S",""),"T",""),"U",""),"V",""),"W",""),"X",""),"Y",""),"Z",""),"0",""),"1",""),"2",""),"3",""),"4",""),"5",""),"6",""),"7",""),"8",""),"9",""),":",""),"(",""),")",""),"[",""),"]","")," ",""))</f>
        <v/>
      </c>
      <c r="AL56" s="61" t="str">
        <f ca="1">UPPER(IF(DATE.RDV.TV&lt;&gt;TABLEAU!$K$3,"",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B$56,"DEPASSE ","¤¤"),"A",""),"B",""),"C",""),"D",""),"E",""),"F",""),"G",""),"H",""),"I",""),"J",""),"K",""),"L",""),"M",""),"N",""),"O",""),"P",""),"Q",""),"R",""),"S",""),"T",""),"U",""),"V",""),"W",""),"X",""),"Y",""),"Z",""),"1",""),"2",""),"3",""),"4",""),"5",""),"6",""),"7",""),"8",""),"9",""),"0",""),"-",""),"(",""),")",""),"{",""),"}",""),"=",""),"[",""),"]",""),"#",""),"+",""),":",""),"/",""),"'",""),".","")," &amp; ","")," ° ",""))))</f>
        <v/>
      </c>
      <c r="AM56" s="835" t="str">
        <f ca="1">UPPER(IF(DATE.RDV.TV&lt;&gt;TABLEAU!$K$3,"",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C$56,"CHAMPIONNAT","¤"),"LDC","¤¤"),"UEFA","¤¤¤"),"FRANCE","¤¤¤¤"),"LIGUE","¤¤¤¤¤"),"GP","¤¤¤¤¤¤"),"MONDIAL","¤¤¤¤¤¤¤"),"EURO","¤¤¤¤¤¤¤¤"),"CONFEDERATIONS","¤¤¤¤¤¤¤¤¤"),"A",""),"B",""),"C",""),"D",""),"E",""),"F",""),"G",""),"H",""),"I",""),"J",""),"K",""),"L",""),"M",""),"N",""),"O",""),"P",""),"Q",""),"R",""),"S",""),"T",""),"U",""),"V",""),"W",""),"X",""),"Y",""),"Z",""),"1",""),"2",""),"3",""),"4",""),"5",""),"6",""),"7",""),"8",""),"9",""),"0",""),"-",""),"(",""),")",""),"{",""),"}",""),"=",""),"[",""),"]",""),"#",""),"+",""),":",""),"/",""),"'",""),".","")," &amp; ","")," ° ",""),"~",""))))</f>
        <v/>
      </c>
      <c r="AN56" s="1579" t="str">
        <f ca="1">IF(TABLEAU!$B$56=TABLEAU!$B$55,"",IF(OR(TABLEAU!$A$56="#DEPASSE#",TABLEAU!$P$56="#DEPASSE#"),TABLEAU!$B$56,""))</f>
        <v/>
      </c>
      <c r="AO56" s="1580"/>
      <c r="AP56" s="1580"/>
      <c r="AQ56" s="1580"/>
      <c r="AR56" s="1580"/>
      <c r="AS56" s="1580"/>
      <c r="AT56" s="1580"/>
      <c r="AU56" s="1580"/>
      <c r="AV56" s="1580"/>
      <c r="AW56" s="1580"/>
      <c r="AX56" s="1581"/>
      <c r="AY56" s="1243">
        <f ca="1">IF(AND(TABLEAU!$C$56&lt;&gt;"",TABLEAU!$B$56=""),1,0)</f>
        <v>0</v>
      </c>
      <c r="AZ56" s="2576"/>
      <c r="BA56" s="2577"/>
    </row>
    <row r="57" spans="1:53" ht="12" customHeight="1">
      <c r="A57" s="1508" t="str">
        <f ca="1">IF(TABLEAU!$B$57="","",IF(OR(TABLEAU!$AL$57="¤¤",TABLEAU!$P$57&lt;&gt;""),"#DEPASSE#",SUBSTITUTE(IF(OR(LUNDI.3="",TABLEAU!$C$57=""),"",IF(AND(TODAY=TABLEAU!$K$3,HOUR((H.M))&gt;HOUR(LUNDI.3),MINUTE((H.M))&gt;MINUTE(LUNDI.3)),"",IF(TODAY&lt;&gt;TABLEAU!$K$3,"",IF(HOUR(TABLEAU!$I$57)&gt;0,CONCATENATE("DANS ",HOUR(TABLEAU!$I$57),"H",TABLEAU!$N$57),CONCATENATE("DANS ",HOUR(TABLEAU!$I$57),"H",TABLEAU!$N$57," MIN")))))," 0H"," ")))</f>
        <v/>
      </c>
      <c r="B57" s="1513" t="str">
        <f ca="1">SUBSTITUTE(SUBSTITUTE(SUBSTITUTE(IF(OR(TABLEAU!$C57,TABLEAU!$D57=""),"",SUBSTITUTE(SUBSTITUTE(SUBSTITUTE(SUBSTITUTE(SUBSTITUTE(SUBSTITUTE(SUBSTITUTE(SUBSTITUTE(SUBSTITUTE(SUBSTITUTE(SUBSTITUTE(SUBSTITUTE(SUBSTITUTE(SUBSTITUTE(SUBSTITUTE(SUBSTITUTE(SUBSTITUTE(SUBSTITUTE(SUBSTITUTE(SUBSTITUTE(SUBSTITUTE(SUBSTITUTE(SUBSTITUTE(SUBSTITUTE(IF(TABLEAU!$C57="","",SUBSTITUTE(IF(TABLEAU!$AE57="",TABLEAU!$U57,TABLEAU!$AE57),CONCATENATE(CVB,YEAR(A)," "),""))," #"," "),"] &amp; D","]# &amp; #D")," &amp; (A",CONCATENATE("# &amp; #",TABLEAU!$H57,"A")),"&amp; DEPASSE","&amp; #DEPASSE"),"## &amp; #A","# &amp; #(A"),"DANS MAINTENANT","MAINTENANT"),CONCATENATE(" H",TABLEAU!$N57),CONCATENATE(" ",TABLEAU!$N57," MIN"))," 0"," "),"] &amp;D","]# &amp; #D"),"}  MIN","} H"),"# &amp; D","# &amp; #D"),CONCATENATE("#MAINTENANT (A ",TABLEAU!$Z57,"): MAINTENANT"),"#MAINTENANT"),TABLEAU!$AB$2,""),TABLEAU!$AM$5,"")," MINAMILTON","HAMILTON"),CONCATENATE(TABLEAU!$Z57," ",TABLEAU!$Z57),TABLEAU!$Z57),"DEPUIS  MINIER","DEPUIS HIER"),"MINONGRIE","HONGRIE"),"#DANS (#DEPASSE","#DEPASSE"),CONCATENATE(" ",YEAR(A)),""),"]= [","= ["),")])",")]"),"#DEPASSE DEPUISDANS","#DANS"),"(A 1A ):",CONCATENATE("(A ",HOUR(TABLEAU!$D57),"H",TABLEAU!$F57,"):"))),"SUR "," SUR "),"  SUR "," SUR "),CONCATENATE("DEPASSE DEPUIS ",TABLEAU!$M57," (A DANS"),"DANS")</f>
        <v>#DANS 2 JOURS (LUNDI 4 NOVEMBRE A 23H00 SUR TF1): [NEW YORK UNITE SPECIALE]#</v>
      </c>
      <c r="C57" s="832" t="s">
        <v>167</v>
      </c>
      <c r="D57" s="833">
        <v>0.95833333333333337</v>
      </c>
      <c r="E57" s="2636">
        <f>IF(TABLEAU!$D57="","",IF(TABLEAU!$D57="23:59","",HOUR(TABLEAU!$D57)))</f>
        <v>23</v>
      </c>
      <c r="F57" s="2635" t="str">
        <f>IF(OR(TABLEAU!$D$57="",TABLEAU!$D$57="23:59"),"59",IF(MINUTE(TABLEAU!$D$57)&lt;10,CONCATENATE("0",MINUTE(TABLEAU!$D$57)),CONCATENATE(MINUTE(TABLEAU!$D$57))))</f>
        <v>00</v>
      </c>
      <c r="G57" s="575" t="str">
        <f ca="1">UPPER(SUBSTITUTE(SUBSTITUTE(SUBSTITUTE(IF(TABLEAU!$D$57="","",SUBSTITUTE(SUBSTITUTE(SUBSTITUTE(SUBSTITUTE(SUBSTITUTE(SUBSTITUTE(SUBSTITUTE(SUBSTITUTE(SUBSTITUTE(SUBSTITUTE(SUBSTITUTE(SUBSTITUTE(SUBSTITUTE(SUBSTITUTE(SUBSTITUTE(IF(OR(TABLEAU!$D$57="",TABLEAU!$C$57=""),"",IF(AND(TODAY=TABLEAU!$K$3,HOUR((H.M))&gt;HOUR(TABLEAU!$D$57),MINUTE((H.M))&gt;MINUTE(TABLEAU!$D$57)),CONCATENATE("#DEPASSE DEPUIS",TABLEAU!$M$57," ",TABLEAU!$C$57,"#"),IF(TABLEAU!$P$57&lt;&gt;"",CONCATENATE("#DEPASSE DEPUIS",TABLEAU!$M$57," ",TABLEAU!$C$57,"#"),IF(TODAY&lt;&gt;TABLEAU!$K$3,CONCATENATE("#",LUNDI.DANS," (LUNDI ",DAY(LUNDI.DATE)," ",LOOKUP(MONTH(LUNDI.DATE),MOIS)," A ",HOUR(TABLEAU!$D$57),"H",TABLEAU!$F$57,"): ",TABLEAU!$C$57,"#"),CONCATENATE("#",TABLEAU!$L$57," (A ",TABLEAU!$Z$57,"): ",SUBSTITUTE(TABLEAU!$C$57,"#",""),"#"))))),CONCATENATE(LOOKUP(MONTH(LUNDI.DATE),MOIS)," (A"),CONCATENATE(LOOKUP(MONTH(LUNDI.DATE),MOIS)," A")),"##","#"),CONCATENATE("#DEPASSE DEPUIS  (A ): ",TABLEAU!$C$57,"#"),""),CONCATENATE("(A ",TABLEAU!$E$57,"H",TABLEAU!$X$57,"): "),""),CONCATENATE(TABLEAU!$L$57," DEPUIS"),"DEPASSE DEPUIS"),CONCATENATE("A ",HOUR(TABLEAU!$D$57),"H",TABLEAU!$F$57,"): (A ",HOUR(TABLEAU!$D$57),"H",TABLEAU!$F$57),CONCATENATE("A ",HOUR(TABLEAU!$D$57),"H",TABLEAU!$F$57)),"#DEPASSEDEPASSE","#DEPASSE"),"# (",CONCATENATE("#",TABLEAU!$H$57)),CONCATENATE("A ",SUBSTITUTE(TABLEAU!$M$33,":","H"),"): ~ (A ",SUBSTITUTE(TABLEAU!$M$33,":","H")),CONCATENATE("A ",SUBSTITUTE(TABLEAU!$M$33,":","H"))),CONCATENATE("#DEPASSE ",TABLEAU!$M$57,"#D"),"#D")," D"," #D"),"#DEPUIS","DEPUIS"),"COURS ","COURS# "),"#DE ","DE "),"GP #D","GP D")),"# &amp; #",CONCATENATE("# &amp; #DEPASSE DEPUIS",TABLEAU!$M$57," ")),"] &amp; (",CONCATENATE("]# &amp; DANS ",TABLEAU!$AH$57," ("))," 0"," "))</f>
        <v>#DANS 2 JOURS (LUNDI 4 NOVEMBRE A 23H00 SUR TF1): [NEW YORK UNITE SPECIALE]#</v>
      </c>
      <c r="H57" s="549" t="str">
        <f ca="1">SUBSTITUTE(IF(OR(DATE.RDV.TV&lt;&gt;TABLEAU!$K$3,TABLEAU!$C$57=""),"",IF(HOUR(TABLEAU!$I$57)=0,CONCATENATE("DANS ",TABLEAU!$N$57," MIN ("),CONCATENATE("DANS ",HOUR(TABLEAU!$I$57),"H",TABLEAU!$N$57," ("))),"DANS  MIN (","")</f>
        <v/>
      </c>
      <c r="I57" s="267" t="str">
        <f ca="1">IF(OR(TODAY&lt;&gt;TABLEAU!$K$3,TABLEAU!$C$57=""),"",IF(OR(TABLEAU!$D$57="",TABLEAU!$P$57="#DEPASSE#",TODAY&lt;&gt;TABLEAU!$K$3),0,IF(HOUR((H.M))&gt;HOUR(TABLEAU!$D$57),0,TABLEAU!$D$57-H.M)))</f>
        <v/>
      </c>
      <c r="J57" s="268" t="str">
        <f ca="1">SUBSTITUTE(SUBSTITUTE(SUBSTITUTE(IF(TABLEAU!$I$57="","",SUBSTITUTE(SUBSTITUTE(SUBSTITUTE(SUBSTITUTE(SUBSTITUTE(SUBSTITUTE(SUBSTITUTE(SUBSTITUTE(SUBSTITUTE(SUBSTITUTE(SUBSTITUTE(SUBSTITUTE(SUBSTITUTE(SUBSTITUTE(SUBSTITUTE(SUBSTITUTE(SUBSTITUTE(SUBSTITUTE(SUBSTITUTE(SUBSTITUTE(IF(DATE.DEPASSE&lt;0,TABLEAU!$U$57,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G57,"  "," "),CONCATENATE("(A ",TABLEAU!$Z$57,"): (A ",TABLEAU!$Z$57),CONCATENATE("(A ",TABLEAU!$Z$57)),CONCATENATE("#DEPASSE",TABLEAU!$M$57,"#DEPASSE",TABLEAU!$M$57),CONCATENATE("#DEPASSE",TABLEAU!$M$57)),CONCATENATE("#DEPASSE",TABLEAU!$L$57,"DEPASSE"),"#DEPASSE"),CONCATENATE(TABLEAU!$L$57," (A ",TABLEAU!$Z$57,"): DEPUIS"),"DEPASSE DEPUIS")," 1 "," 1ER "),"DEPASSE DEPUIS DEPASSE DEPUIS","DEPASSE DEPUIS"),CONCATENATE("DEPASSE ",TRIM(TABLEAU!$L$57)," DEPASSE ",TRIM(TABLEAU!$L$57)),CONCATENATE("DEPASSE ",TRIM(TABLEAU!$L$57))),"1ER MIN","1 MIN"),"1ER ERREUR","1 ERREUR"),CONCATENATE("(A ",TABLEAU!$Z$57,"): (A ",TABLEAU!$E$57,":",TABLEAU!$F$57),CONCATENATE("(A ",TABLEAU!$Z$57))," (A ):",""),"DEPASSE DEPUIS (",TABLEAU!$H$57),"] &amp; D","]# &amp; #D"),CONCATENATE("#DEPASSE",TABLEAU!$M$57,"DEPASSE"),"#DEPASSE")," [","): ["),"):):","):"),"DEPUIS ",TABLEAU!$L$57),CONCATENATE(SUBSTITUTE(TABLEAU!$M$57,"DEPUIS ",""))," "),"DEPUIS",CONCATENATE(TABLEAU!$M$57," (",LUNDI.VERIFIER," A ")),SUBSTITUTE(TABLEAU!$M$57,"DEPUIS","A"),""),"DEPASSE  ","DEPASSE"),"  A "," A"),"  "," "),TRIM(SUBSTITUTE(TABLEAU!$M$57," DEPUIS ","A ")),"EEE"),"EEE",CONCATENATE("A ",TABLEAU!$Z$57)),CONCATENATE("DEPASSE ",TABLEAU!$L$57,"HIER"),"DEPASSE DEPUIS HIER"),"DEPASSEDEPASSE","DEPASSE DEPUIS "),CONCATENATE(" A ",TABLEAU!$Z$59," (A ",TABLEAU!$Z$59),CONCATENATE(" A ",TABLEAU!$Z$59)),CONCATENATE("A ",TABLEAU!$Z$57," ",TABLEAU!$C$57),TABLEAU!$C$57),CONCATENATE(MOIS.MAINTENANT.2," (A"),CONCATENATE(MOIS.MAINTENANT.2," A")),"#DEPASSE #DEPASSEDEPUIS","#DEPASSE DEPUIS"),"A (A","A"),CONCATENATE(TABLEAU!$L$57," DEPASSE"),"DEPASSE"),"DEPASSE (",CONCATENATE("DEPASSE DEPUIS ",TABLEAU!$Q$57," (")),"''MIN","MIN"),"=):","]="),CONCATENATE("#DEPASSE ",TABLEAU!$Q$57),CONCATENATE("#DEPASSE DEPUIS ",TABLEAU!$Q$57)),"DEPASSE","DEPASSE DEPUIS"),"DEPUIS DEPUIS","DEPUIS")),"US A","USA"),CONCATENATE("DEPASSE DEPUIS ",TABLEAU!$Q$57,"DEPASSE DEPUIS ",TABLEAU!$Q$57),CONCATENATE("DEPASSE DEPUIS ",TABLEAU!$Q$57)),CONCATENATE("#DEPASSE DEPUIS ",TABLEAU!$Q$57," #DEPASSE DEPUIS ",TABLEAU!$Q$57),CONCATENATE("#DEPASSE DEPUIS ",TABLEAU!$Q$57)),"#DEPASSE DEPUIS #DEPASSE DEPUIS","#DEPASSE DEPUIS"),CONCATENATE("): ",LUNDI.DANS," (A ",TABLEAU!$E$57,"H",TABLEAU!$F$57),"")," &amp; D"," &amp; #D"),CONCATENATE(LUNDI.DANS," (LUNDI ",DAY(LUNDI.DATE)," ",LOOKUP(MONTH(LUNDI.DATE),MOIS)," A ",TABLEAU!$E$57,"H",TABLEAU!$F$57,"): DANS"),"DANS"),CONCATENATE(LUNDI.DANS," (LUNDI ",DAY(LUNDI.DATE)," ",LOOKUP(MONTH(LUNDI.DATE),MOIS)," A ",TABLEAU!$E$57,"H",TABLEAU!$F$57,"): ",LUNDI.DANS,"= ",TABLEAU!$AN$23,"(A ",TABLEAU!$E$57,"H",TABLEAU!$F$57),CONCATENATE(LUNDI.DANS,"= ",TABLEAU!$AN$23," (LUNDI ",DAY(LUNDI.DATE)," ",LOOKUP(MONTH(LUNDI.DATE),MOIS)," A ",TABLEAU!$E$57,"H",TABLEAU!$F$57)),CONCATENATE(LUNDI.DANS," (LUNDI ",DAY(LUNDI.DATE)," ",LOOKUP(MONTH(LUNDI.DATE),MOIS)," A ",TABLEAU!$E$57,"H",TABLEAU!$F$57,"): DANS"),"DANS"),"# (",CONCATENATE("#",TABLEAU!$H$57)),"DANS 0","DANS "),"# ~ ",CONCATENATE("#",FICHIER.A.MODIFIER," ~ ")),CONCATENATE("A ",SUBSTITUTE(TABLEAU!$M$33,":","H"),"): ~ (A ",SUBSTITUTE(TABLEAU!$M$33,":","H")),CONCATENATE("A ",SUBSTITUTE(TABLEAU!$M$33,":","H"))),CONCATENATE("(A ",TABLEAU!$Z$57,"): ~ (A"),"(A"),"DANS 0 MIN","MAINTENANT"),"DEPUIS(",CONCATENATE("DEPUIS ",TABLEAU!$M$57," (")),"DEPUIS DEPUIS  (A",CONCATENATE("DEPUIS ",TABLEAU!$M$57," (A")),"(A 1 ",CONCATENATE("(A ",TABLEAU!$E$57,":00")),"#A",CONCATENATE("#DANS ",HOUR(TABLEAU!$I$57),"H",TABLEAU!$N$57," (A")),"DEPUIS DEPUIS",CONCATENATE("DEPUIS ",TABLEAU!$M$57))),"]#D","]# &amp; #D"),"DEPUIS =",CONCATENATE("DEPUIS ",TABLEAU!$M$57)),"DANS  MAINTENANT","MAINTENANT")</f>
        <v/>
      </c>
      <c r="K57" s="269" t="str">
        <f ca="1">TRIM(SUBSTITUTE(SUBSTITUTE(SUBSTITUTE(SUBSTITUTE(SUBSTITUTE(SUBSTITUTE(SUBSTITUTE(SUBSTITUTE(SUBSTITUTE(TABLEAU!$O$57,CONCATENATE("): (",TABLEAU!$W$57),""),CONCATENATE("A ",TABLEAU!$E$57,"H",TABLEAU!$X$57,"): ("),""),"(SUR",CONCATENATE("(A ",TABLEAU!$E$57,"H",TABLEAU!$X$57," SUR"))," &amp; (",CONCATENATE(" &amp; ",TABLEAU!$L$57," (")),"AUJOURD'HUI",""),"##","#"),"1ER MIN","1 MIN"),CONCATENATE("DEPASSE ",TRIM(TABLEAU!$L$57)," DEPASSE"),"DEPASSE")," (A ):",""))</f>
        <v/>
      </c>
      <c r="L57" s="180" t="str">
        <f ca="1">UPPER(IF(TABLEAU!$P$57&lt;&gt;"","",IF(TABLEAU!$P$57="","",IF(TABLEAU!$AM$57&lt;&gt;"","#DEPASSE DEPUIS ",IF(TODAY&lt;&gt;TABLEAU!$K$3,"",IF(COUNTIF(ENCOURS,"#EN COURS#")&lt;&gt;0,"MAINTENANT",SUBSTITUTE(SUBSTITUTE(SUBSTITUTE(IF(OR(TABLEAU!$C$57="",TABLEAU!$D$57=""),"",IF(HOUR(TABLEAU!$I$57)=0,CONCATENATE("DANS ",TABLEAU!$N$57," MIN"),CONCATENATE("DANS ",HOUR(TABLEAU!$I$57),"H",TABLEAU!$N$57))),"DANS 0","DANS "),"DANS  MIN",TABLEAU!$M$57),"DANS 0 MIN","MAINTENANT")))))))</f>
        <v/>
      </c>
      <c r="M57" s="180" t="str">
        <f ca="1">IF(TODAY&lt;&gt;TABLEAU!$K$3,"",SUBSTITUTE(IF(TABLEAU!$D$57="","",IF(TABLEAU!$AF$57=" ","",IF(TABLEAU!$D$57-H.M&gt;0,"",IF(AND(HOUR(TABLEAU!$AF$57)&gt;0,MINUTE(TABLEAU!$AF$57)&lt;10),CONCATENATE(" ",HOUR(TABLEAU!$AF$57),"H0",MINUTE(TABLEAU!$AF$57)),IF(AND(HOUR(TABLEAU!$AF$57)&gt;0,MINUTE(TABLEAU!$AF$57)&gt;9),CONCATENATE(" ",HOUR(TABLEAU!$AF$57),"H",MINUTE(TABLEAU!$AF$57)),CONCATENATE(" 0",MINUTE(TABLEAU!$AF$57)," MIN"))))))," 0",""))</f>
        <v/>
      </c>
      <c r="N57" s="270" t="str">
        <f ca="1">IF(TABLEAU!$D$57="","",IF(OR(TABLEAU!$C$57="",TODAY&lt;&gt;TABLEAU!$K$3),"",IF(TABLEAU!$P$57="#DEPASSE#","",IF(HOUR((H.M))&gt;HOUR(TABLEAU!$D$57),"",IF(MINUTE(TABLEAU!$I$57)&lt;10,CONCATENATE("0",MINUTE(TABLEAU!$I$57)),MINUTE(TABLEAU!$I$57))))))</f>
        <v/>
      </c>
      <c r="O57" s="271" t="str">
        <f ca="1">UPPER(SUBSTITUTE(SUBSTITUTE(SUBSTITUTE(SUBSTITUTE(SUBSTITUTE(SUBSTITUTE(SUBSTITUTE(SUBSTITUTE(SUBSTITUTE(TABLEAU!$J$57,"DANS 0H","DANS "),"DANS 0","DANS "),CONCATENATE("(A ",TABLEAU!$E$57,"H",TABLEAU!$X$57,"): (",LOOKUP(WEEKDAY(LUNDI.DATE),SEMAINE)," ",DAY(LUNDI.DATE)," ",LOOKUP(MONTH(LUNDI.DATE),MOIS)," A 20H00): "),CONCATENATE(TABLEAU!$L$57," (A ",TABLEAU!$E$57,"H",TABLEAU!$X$57,")")),"DEPUIS 0","DEPUIS "),"&amp; A","&amp; (A"),CONCATENATE("(",NBA),""),"#DEPASSE DEPUIS (A","(A"),"DANS  MAINTENANT","MAINTENANT"),"] &amp; #","]# &amp; #"))</f>
        <v/>
      </c>
      <c r="P57" s="179" t="str">
        <f ca="1">IF(OR(TABLEAU!$D$57="",TODAY&lt;&gt;TABLEAU!$K$3),"",IF(AND(HOUR((H.M))=HOUR(TABLEAU!$D$57),MINUTE((H.M))&gt;MINUTE(TABLEAU!$D$57)),"#DEPASSE#",IF(HOUR((H.M))&gt;HOUR(TABLEAU!$D$57),"#DEPASSE#","")))</f>
        <v/>
      </c>
      <c r="Q57" s="180" t="str">
        <f ca="1">IF(OR(TABLEAU!$P$57="",TABLEAU!$S$57=""),"",IF(AND(HOUR(TABLEAU!$S$57)&gt;0,MINUTE(TABLEAU!$S$57)&lt;10),CONCATENATE(HOUR(TABLEAU!$S$57),"H0",MINUTE(TABLEAU!$S$57)),IF(AND(HOUR(TABLEAU!$S$57)=0,MINUTE(TABLEAU!$S$57)&lt;10),CONCATENATE(MINUTE(TABLEAU!$S$57)," MIN"),IF(AND(HOUR(TABLEAU!$S$57)&gt;0,MINUTE(TABLEAU!$S$57)&gt;9),CONCATENATE(HOUR(TABLEAU!$S$57),"H",MINUTE(TABLEAU!$S$57)),CONCATENATE(MINUTE(TABLEAU!$S$57)," MIN")))))</f>
        <v/>
      </c>
      <c r="R57" s="180" t="str">
        <f ca="1">UPPER(IF(OR(TABLEAU!$C$57="",TODAY&lt;&gt;TABLEAU!$K$3),"",IF(OR(TABLEAU!$D$57="",TABLEAU!$D$57="23:59",TABLEAU!$C$57=""),"",IF(AND(TODAY=TABLEAU!$K$3,HOUR(TABLEAU!$I$57)&lt;1,MINUTE(TABLEAU!$I$57)&lt;5,TABLEAU!$I$57&lt;&gt;"",TABLEAU!$I$57&lt;&gt;0),"BIENTOT",""))))</f>
        <v/>
      </c>
      <c r="S57" s="618" t="str">
        <f ca="1">IF(TABLEAU!$D$57="","",IF(TODAY&lt;&gt;TABLEAU!$K$3,"",IF((H.M)&gt;TABLEAU!$D$57,"",(H.M)-TABLEAU!$D$57)))</f>
        <v/>
      </c>
      <c r="T57" s="2225" t="str">
        <f ca="1">UPPER(IF(TODAY="JEUDI","DANS 4 JOURS",IF(TODAY="VENDREDI","DANS 3 JOURS",IF(TODAY="SAMEDI","DANS 2 JOURS",IF(TODAY="DIMANCHE","DEMAIN",IF(TODAY=TABLEAU!$K$3,"",IF(TODAY="MARDI","DANS 6 JOURS",IF(TODAY="MERCREDI","DANS 5 JOURS"))))))))</f>
        <v>DANS 2 JOURS</v>
      </c>
      <c r="U57" s="269" t="str">
        <f ca="1">UPPER(TRIM(SUBSTITUTE(SUBSTITUTE(SUBSTITUTE(SUBSTITUTE(SUBSTITUTE(SUBSTITUTE(SUBSTITUTE(SUBSTITUTE(SUBSTITUTE(SUBSTITUTE(SUBSTITUTE(SUBSTITUTE(SUBSTITUTE(SUBSTITUTE(SUBSTITUTE(SUBSTITUTE(SUBSTITUTE(SUBSTITUTE(IF(TABLEAU!$D$57="","",SUBSTITUTE(SUBSTITUTE(SUBSTITUTE(SUBSTITUTE(SUBSTITUTE(SUBSTITUTE(SUBSTITUTE(SUBSTITUTE(SUBSTITUTE(SUBSTITUTE(SUBSTITUTE(SUBSTITUTE(SUBSTITUTE(SUBSTITUTE(SUBSTITUTE(IF(OR(TABLEAU!$C$57="",TABLEAU!$D$57=""),"",IF(AND(TODAY=TABLEAU!$K$3,TABLEAU!$P$57&lt;&gt;""),CONCATENATE("#DEPASSE DEPUIS ",TABLEAU!$M$57," ",TABLEAU!$W$57,"#"),CONCATENATE("#",LUNDI.DANS," ",TABLEAU!$H$57,TABLEAU!$C$57,"#"))),": =",":"),CONCATENATE(NBA,"("),""),CONCATENATE(LOOKUP(MONTH(LUNDI.DATE),MOIS)," (A"),CONCATENATE(LOOKUP(MONTH(LUNDI.DATE),MOIS)," A")),"1ER MIN","1 MIN"),"((","("),"##","#"),"# ","#"),CONCATENATE("#",TABLEAU!$H$57,"DEPUIS"),"#DEPASSE DEPUIS"),"DEMAIN (",CONCATENATE("DEMAIN (LUNDI ",DAY(LUNDI.DATE)," ",LOOKUP(MONTH(LUNDI.DATE),MOIS)," ")),"JOURS (A ",CONCATENATE("JOURS (LUNDI ",DAY(LUNDI.DATE)," ",LOOKUP(MONTH(LUNDI.DATE),MOIS)," A ")),"(A","(LUNDI A"),"DANS 00 MIN","DANS "),"DANS 0","DANS "),"#&amp;","# &amp; "),"JOURS [",CONCATENATE("JOURS (",LOOKUP(WEEKDAY(LUNDI.DATE),SEMAINE)," ",DAY(LUNDI.DATE)," ",LOOKUP(MONTH(LUNDI.DATE),MOIS)," A ",HOUR(TABLEAU!$D$57),"H",TABLEAU!$F$57,"): ["))),CONCATENATE(LUNDI.DANS," ",LUNDI.DANS),CONCATENATE(" ",LUNDI.DANS)),"# ","#"),"#&amp; #","# &amp; #"),"US A","USA"),"(~ ("," ~ ("),"LUNDI A ","A "),CONCATENATE("#",TABLEAU!$H$57,TABLEAU!$W$57),TABLEAU!$W$57),"DEMAINDANS","DEMAIN DANS"),"''(","'' ("),CONCATENATE("#DANS ",TRIM(TABLEAU!$AH$57)," (#DEPASSE "),"#DEPASSE "),"]#D","]# &amp; #D"),"(MATCH","MATCH"),"COURS &amp; D","COURS# &amp; #D"),"#&amp; ","# &amp; #"),"# &amp; # ","# &amp; #"),CONCATENATE("#DEPASSE DEPUIS ",TABLEAU!$M$57," #"),"#"),"# &amp; ##","# &amp; #"),"DANS  (MAINTENANT","MAINTENANT")))</f>
        <v>#DANS 2 JOURS (LUNDI 4 NOVEMBRE A 23H00 SUR TF1): [NEW YORK UNITE SPECIALE]#</v>
      </c>
      <c r="V57" s="271" t="str">
        <f ca="1">UPPER(TRIM(SUBSTITUTE(SUBSTITUTE(IF(OR(TABLEAU!$C$57="",TABLEAU!$D$57="",LUNDI.DANS&lt;&gt;""),"",TABLEAU!$J$57),JOUR.PLUS,""),"DANS  MAINTENANT","MAINTENANT")))</f>
        <v/>
      </c>
      <c r="W57" s="218" t="str">
        <f>UPPER(IF(TABLEAU!$C$57=0,"",TABLEAU!$C$57))</f>
        <v>(A 23H00 SUR TF1): [NEW YORK UNITE SPECIALE]</v>
      </c>
      <c r="X57" s="820"/>
      <c r="Y57" s="232" t="str">
        <f ca="1">IF(OR(TODAY&lt;&gt;TABLEAU!$K$3,TABLEAU!$C$57=""),"",IF(OR(TABLEAU!$C$57="",TABLEAU!$D$57=""),"",HOUR(TABLEAU!$D$57)))</f>
        <v/>
      </c>
      <c r="Z57" s="232" t="str">
        <f ca="1">IF(TABLEAU!$AM$57&lt;&gt;""," ",IF(OR(TODAY&lt;&gt;"LUNDI",TABLEAU!$C$57="",TABLEAU!$D$57="")," ",IF(MINUTE(TABLEAU!$D$57)&lt;10,CONCATENATE(HOUR(TABLEAU!$D$57),"H0",MINUTE(TABLEAU!$D$57)),IF(MINUTE(TABLEAU!$D$57)&gt;9,CONCATENATE(HOUR(TABLEAU!$D$57),"H",MINUTE(TABLEAU!$D$57))))))</f>
        <v xml:space="preserve"> </v>
      </c>
      <c r="AA57" s="239" t="str">
        <f ca="1">TRIM(SUBSTITUTE(SUBSTITUTE(SUBSTITUTE(SUBSTITUTE(IF(TABLEAU!$P$57="#DEPASSE#",TABLEAU!$AB$57,TABLEAU!$U$57),"# ","#"),"#&amp; #","# &amp; #"),"DANS (MAINTENANT","MAINTENANT"),SUBSTITUTE(SUBSTITUTE(CONCATENATE("#",TABLEAU!$H$57,"",TABLEAU!$H$57)," 0"," ")," 0"," "),SUBSTITUTE(TABLEAU!$H$57," 0"," ")))</f>
        <v>DANS 2 JOURS (LUNDI 4 NOVEMBRE A 23H00 SUR TF1): [NEW YORK UNITE SPECIALE]</v>
      </c>
      <c r="AB57" s="232" t="str">
        <f ca="1">UPPER(TRIM(SUBSTITUTE(SUBSTITUTE(SUBSTITUTE(SUBSTITUTE(SUBSTITUTE(SUBSTITUTE(TABLEAU!$K$57,CONCATENATE(LOOKUP(MONTH(A),MOIS)," (A"),CONCATENATE(LOOKUP(MONTH(A),MOIS)," A ")),CONCATENATE(LOOKUP(MONTH(A)+1,MOIS)," (A"),CONCATENATE(LOOKUP(MONTH(A)+1,MOIS)," A ")),CONCATENATE("(",YEAR(LUNDI.DATE)),""),"] &amp; DANS","]# &amp; #DANS"),"DANS MAINTENANT","MAINTENANT"),SUBSTITUTE(CONCATENATE("#",SUBSTITUTE(TABLEAU!$H$57,"(",""),"#",TABLEAU!$H$57)," 0"," "),SUBSTITUTE(TABLEAU!$H$57," 0"," "))))</f>
        <v/>
      </c>
      <c r="AC57" s="680" t="str">
        <f ca="1">IF(TABLEAU!$P$57="#DEPASSE#",CONCATENATE(TABLEAU!$AC$56," &amp; ",TABLEAU!$B$57),TABLEAU!$AC$56)</f>
        <v/>
      </c>
      <c r="AD57" s="1823"/>
      <c r="AE57" s="874" t="str">
        <f ca="1">UPPER(TRIM(SUBSTITUTE(SUBSTITUTE(SUBSTITUTE(SUBSTITUTE(SUBSTITUTE(SUBSTITUTE(SUBSTITUTE(SUBSTITUTE(SUBSTITUTE(SUBSTITUTE(SUBSTITUTE(SUBSTITUTE(SUBSTITUTE(SUBSTITUTE(SUBSTITUTE(SUBSTITUTE(SUBSTITUTE(SUBSTITUTE(SUBSTITUTE(SUBSTITUTE(SUBSTITUTE(SUBSTITUTE(SUBSTITUTE(SUBSTITUTE(IF(TABLEAU!$P$57="#DEPASSE#",TABLEAU!$J$57,IF(TABLEAU!$C$57="","",TRIM(SUBSTITUTE(SUBSTITUTE(SUBSTITUTE(SUBSTITUTE(SUBSTITUTE(SUBSTITUTE(SUBSTITUTE(IF(TABLEAU!$L$57="#DEPASSE DEPUIS ",MODIF,IF(TABLEAU!$I$57=SUBSTITUTE(DEPP,"#",""),DEPP,SUBSTITUTE(SUBSTITUTE(SUBSTITUTE(SUBSTITUTE(SUBSTITUTE(SUBSTITUTE(SUBSTITUTE(SUBSTITUTE(SUBSTITUTE(SUBSTITUTE(SUBSTITUTE(SUBSTITUTE(SUBSTITUTE(SUBSTITUTE(SUBSTITUTE(SUBSTITUTE(SUBSTITUTE(SUBSTITUTE(TABLEAU!$AB$57,CONCATENATE(TABLEAU!$K$57," A "),CONCATENATE(TABLEAU!$K$57," (A ")),"JANVIER (","JANVIER "),"FEVRIER (","FEVRIER "),"MARS (","MARS "),"AVRIL (","AVRIL "),"MAI (","MAI "),"JUIN (","JUIN "),"JUILLET (","JUILLET "),"AOUT (","AOUT "),"SEPTEMBRE (","SEPTEMBRE "),"OCTOBRE (","OCTOBRE "),"NOVEMBRE (","NOVEMBRE "),"DECEMBRE (","DECEMBRE "),CONCATENATE(" &amp; ",TABLEAU!$K$57," (")," &amp; "),CONCATENATE(" &amp;",TABLEAU!$L$57,"(")," &amp; ")," &amp; ("," &amp; "),CONCATENATE(TABLEAU!$K$57," (A ",TABLEAU!$AC$57,"): HIER"),"DEPASSE DEPUIS HIER")," &amp; A"," &amp; (A"))),"(A ",CONCATENATE("(",DATE.RDV.TV," A ")),"((","("),CONCATENATE(DATE.RDV.TV," ("),""),CONCATENATE(DATE.RDV.TV," A "),"A "),CONCATENATE(YEAR(A)," (A"),"A"),CONCATENATE(TABLEAU!$L$57," (DEPASSE"),"DEPASSE"),CONCATENATE("DEPASSE",TABLEAU!$L$57,"(",LOOKUP(WEEKDAY(LUNDI.DATE),SEMAINE)," ",DAY(LUNDI.DATE)," ",LOOKUP(MONTH(LUNDI.DATE),MOIS)," A"),"DEPASSE DEPUIS")))),"#&amp; ","# &amp; #"),"DANS (A","MAINTENANT (A"),"DANS (MATCH","DANS MATCH"),CONCATENATE("(DEMAIN= ",DIF.L1," ~ "),""),CONCATENATE("(DEMAIN= ",DIF.LDC," ~ "),""),CONCATENATE("(DEMAIN= ",DIF.UEFA," ~ "),""),CONCATENATE("(DEMAIN= ",DIF.FRANCE," ~ "),""),CONCATENATE("(DEMAIN= ",DIF.LIGUE," ~ "),""),CONCATENATE("(DEMAIN= ",DIF.GP," ~ "),""),CONCATENATE("(DEMAIN= ",DIF.MONDIAL," ~ "),""),CONCATENATE("(DEMAIN= ",DIF.EURO," ~ "),""),CONCATENATE("(DEMAIN= ",DIF.CONFEDERATIONS," ~ "),""),CONCATENATE(TABLEAU!$K$3," A"),"A"),CONCATENATE(TABLEAU!$K$3," A"),"A"),"MERCREDI A","A"),"JEUDI A","A"),"VENDREDI A","A"),"SAMEDI A","A"),"DIMANCHE A","A"),"00H","0H"),"DEPUIS DEPUIS",CONCATENATE("DEPUIS ",TABLEAU!$M$57)),"] &amp;D","]# &amp; #D"),"A 2A",CONCATENATE("A ",TABLEAU!$Y57,"H",TABLEAU!$F$57))," )",")")))</f>
        <v/>
      </c>
      <c r="AF57" s="983" t="str">
        <f ca="1">IF(TODAY&lt;&gt;TABLEAU!$K$3," ",IF(TABLEAU!$D$57="","",H.M-TABLEAU!$D$57))</f>
        <v xml:space="preserve"> </v>
      </c>
      <c r="AG57" s="983" t="str">
        <f ca="1">IF(TABLEAU!$B$57="","",IF(TABLEAU!$I$57&lt;&gt;0,"",IF(TODAY&lt;&gt;"LUNDI","",IF(TABLEAU!$AF$57=" ","",IF(TABLEAU!$AF$57="","",IF(AND(HOUR(TABLEAU!$AF$57)&gt;0,MINUTE(TABLEAU!$AF$57)&lt;10),CONCATENATE(HOUR(TABLEAU!$AF$57),"H0",MINUTE(TABLEAU!$AF$57)),IF(AND(HOUR(TABLEAU!$AF$57)&gt;0,MINUTE(TABLEAU!$AF$57)&gt;9),CONCATENATE(HOUR(TABLEAU!$AF$57),"H",MINUTE(TABLEAU!$AF$57)),CONCATENATE(MINUTE(TABLEAU!$AF$57)," MIN"))))))))</f>
        <v/>
      </c>
      <c r="AH57" s="983" t="str">
        <f ca="1">IF(TABLEAU!$I$57="","",IF(MINUTE(TABLEAU!$I$57)&gt;9,CONCATENATE(HOUR(TABLEAU!$I$57),"H",MINUTE(TABLEAU!$I$57)),CONCATENATE(HOUR(TABLEAU!$I$57),"H0",MINUTE(TABLEAU!$I$57))))</f>
        <v/>
      </c>
      <c r="AI57" s="1640"/>
      <c r="AJ57" s="74" t="str">
        <f ca="1">IF(TABLEAU!$B$57="","",TABLEAU!$P$57)</f>
        <v/>
      </c>
      <c r="AK57" s="74" t="str">
        <f ca="1">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O$57,"DEPASSE","&amp;&amp;&amp;"),"A",""),"B",""),"C",""),"D",""),"E",""),"F",""),"G",""),"H",""),"I",""),"J",""),"K",""),"L",""),"M",""),"N",""),"O",""),"P",""),"Q",""),"R",""),"S",""),"T",""),"U",""),"V",""),"W",""),"X",""),"Y",""),"Z",""),"0",""),"1",""),"2",""),"3",""),"4",""),"5",""),"6",""),"7",""),"8",""),"9",""),":",""),"(",""),")",""),"[",""),"]","")," ",""))</f>
        <v/>
      </c>
      <c r="AL57" s="634" t="str">
        <f ca="1">UPPER(IF(DATE.RDV.TV&lt;&gt;TABLEAU!$K$3,"",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B$57,"DEPASSE ","¤¤"),"A",""),"B",""),"C",""),"D",""),"E",""),"F",""),"G",""),"H",""),"I",""),"J",""),"K",""),"L",""),"M",""),"N",""),"O",""),"P",""),"Q",""),"R",""),"S",""),"T",""),"U",""),"V",""),"W",""),"X",""),"Y",""),"Z",""),"1",""),"2",""),"3",""),"4",""),"5",""),"6",""),"7",""),"8",""),"9",""),"0",""),"-",""),"(",""),")",""),"{",""),"}",""),"=",""),"[",""),"]",""),"#",""),"+",""),":",""),"/",""),"'",""),".","")," &amp; ","")," ° ",""))))</f>
        <v/>
      </c>
      <c r="AM57" s="836" t="str">
        <f ca="1">UPPER(IF(DATE.RDV.TV&lt;&gt;TABLEAU!$K$3,"",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C$57,"CHAMPIONNAT","¤"),"LDC","¤¤"),"UEFA","¤¤¤"),"FRANCE","¤¤¤¤"),"LIGUE","¤¤¤¤¤"),"GP","¤¤¤¤¤¤"),"MONDIAL","¤¤¤¤¤¤¤"),"EURO","¤¤¤¤¤¤¤¤"),"CONFEDERATIONS","¤¤¤¤¤¤¤¤¤"),"A",""),"B",""),"C",""),"D",""),"E",""),"F",""),"G",""),"H",""),"I",""),"J",""),"K",""),"L",""),"M",""),"N",""),"O",""),"P",""),"Q",""),"R",""),"S",""),"T",""),"U",""),"V",""),"W",""),"X",""),"Y",""),"Z",""),"1",""),"2",""),"3",""),"4",""),"5",""),"6",""),"7",""),"8",""),"9",""),"0",""),"-",""),"(",""),")",""),"{",""),"}",""),"=",""),"[",""),"]",""),"#",""),"+",""),":",""),"/",""),"'",""),".","")," &amp; ","")," ° ",""),"~",""))))</f>
        <v/>
      </c>
      <c r="AN57" s="1576" t="str">
        <f ca="1">IF(TABLEAU!$B$57=TABLEAU!$B$56,"",IF(OR(TABLEAU!$A$57="#DEPASSE#",TABLEAU!$P$57="#DEPASSE#"),TABLEAU!$B$57,""))</f>
        <v/>
      </c>
      <c r="AO57" s="1577"/>
      <c r="AP57" s="1577"/>
      <c r="AQ57" s="1577"/>
      <c r="AR57" s="1577"/>
      <c r="AS57" s="1577"/>
      <c r="AT57" s="1577"/>
      <c r="AU57" s="1577"/>
      <c r="AV57" s="1577"/>
      <c r="AW57" s="1577"/>
      <c r="AX57" s="1578"/>
      <c r="AY57" s="1243">
        <f ca="1">IF(AND(TABLEAU!$C$57&lt;&gt;"",TABLEAU!$B$57=""),1,0)</f>
        <v>0</v>
      </c>
      <c r="AZ57" s="2576"/>
      <c r="BA57" s="2577"/>
    </row>
    <row r="58" spans="1:53" ht="12" customHeight="1" thickBot="1">
      <c r="A58" s="1508" t="str">
        <f ca="1">IF(TABLEAU!$B$58="","",IF(OR(TABLEAU!$AL$58="¤¤",TABLEAU!$P$58&lt;&gt;""),"#DEPASSE#",SUBSTITUTE(IF(OR(LUNDI.4="",TABLEAU!$C$58=""),"",IF(AND(TODAY=TABLEAU!$K$3,HOUR((H.M))&gt;HOUR(LUNDI.4),MINUTE((H.M))&gt;MINUTE(LUNDI.4)),"",IF(TODAY&lt;&gt;TABLEAU!$K$3,"",IF(HOUR(TABLEAU!$I$58)&gt;0,CONCATENATE("DANS ",HOUR(TABLEAU!$I$58),"H",TABLEAU!$N$58),CONCATENATE("DANS ",HOUR(TABLEAU!$I$58),"H",TABLEAU!$N$58," MIN")))))," 0H"," ")))</f>
        <v/>
      </c>
      <c r="B58" s="1512" t="str">
        <f ca="1">SUBSTITUTE(SUBSTITUTE(SUBSTITUTE(IF(OR(TABLEAU!$C58,TABLEAU!$D58=""),"",SUBSTITUTE(SUBSTITUTE(SUBSTITUTE(SUBSTITUTE(SUBSTITUTE(SUBSTITUTE(SUBSTITUTE(SUBSTITUTE(SUBSTITUTE(SUBSTITUTE(SUBSTITUTE(SUBSTITUTE(SUBSTITUTE(SUBSTITUTE(SUBSTITUTE(SUBSTITUTE(SUBSTITUTE(SUBSTITUTE(SUBSTITUTE(SUBSTITUTE(SUBSTITUTE(SUBSTITUTE(SUBSTITUTE(SUBSTITUTE(IF(TABLEAU!$C58="","",SUBSTITUTE(IF(TABLEAU!$AE58="",TABLEAU!$U58,TABLEAU!$AE58),CONCATENATE(CVB,YEAR(A)," "),""))," #"," "),"] &amp; D","]# &amp; #D")," &amp; (A",CONCATENATE("# &amp; #",TABLEAU!$H58,"A")),"&amp; DEPASSE","&amp; #DEPASSE"),"## &amp; #A","# &amp; #(A"),"DANS MAINTENANT","MAINTENANT"),CONCATENATE(" H",TABLEAU!$N58),CONCATENATE(" ",TABLEAU!$N58," MIN"))," 0"," "),"] &amp;D","]# &amp; #D"),"}  MIN","} H"),"# &amp; D","# &amp; #D"),CONCATENATE("#MAINTENANT (A ",TABLEAU!$Z58,"): MAINTENANT"),"#MAINTENANT"),TABLEAU!$AB$2,""),TABLEAU!$AM$5,"")," MINAMILTON","HAMILTON"),CONCATENATE(TABLEAU!$Z58," ",TABLEAU!$Z58),TABLEAU!$Z58),"DEPUIS  MINIER","DEPUIS HIER"),"MINONGRIE","HONGRIE"),"#DANS (#DEPASSE","#DEPASSE"),CONCATENATE(" ",YEAR(A)),""),"]= [","= ["),")])",")]"),"#DEPASSE DEPUISDANS","#DANS"),"(A 1A ):",CONCATENATE("(A ",HOUR(TABLEAU!$D58),"H",TABLEAU!$F58,"):"))),"SUR "," SUR "),"  SUR "," SUR "),CONCATENATE("DEPASSE DEPUIS ",TABLEAU!$M58," (A DANS"),"DANS")</f>
        <v/>
      </c>
      <c r="C58" s="631" t="str">
        <f ca="1">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IF(4-COUNTBLANK(PROG.LUNDI)=0,"",CONCATENATE(LUNDI.PROG.1,LUNDI.PROG.2,LUNDI.PROG.3,LUNDI.PROG.4)),CONCATENATE("(A ",TABLEAU!$E$58,"H",TABLEAU!$X$58,"): "),""),JOUR.PLUS,""),LUNDI.VERIFIER,"")," &amp; #DANS"," &amp; DANS"),"](A","] &amp; (A"),CONCATENATE("#DEPASSE",TABLEAU!$M$58," "),"#DEPASSE "),"] &amp; D","]# &amp; #D"),CONCATENATE("DEMAIN= ",DIF.L1," ~ "),""),CONCATENATE("DEMAIN= ",DIF.LDC," ~ "),""),CONCATENATE("DEMAIN= ",DIF.UEFA," ~ "),""),CONCATENATE("DEMAIN= ",DIF.FRANCE," ~ "),""),CONCATENATE("DEMAIN= ",DIF.LIGUE," ~ "),""),CONCATENATE("DEMAIN= ",DIF.GP," ~ "),""),CONCATENATE("DEMAIN= ",DIF.MONDIAL," ~ "),""),CONCATENATE("DEMAIN= ",DIF.EURO," ~ "),""),CONCATENATE("DEMAIN= ",DIF.CONFEDERATIONS," ~ "),""),"'' (",CONCATENATE("'' ~ (LUNDI ",DAY(LUNDI.DATE)," ",LOOKUP(MONTH(LUNDI.DATE),MOIS)," ")),"= ''","DANS ''"),"UEF A 2019-20= &amp; ","UEFA 2019-20]# &amp; #"),"~ ",""),"''(","'' ("),"DEMAINDANS","DEMAIN DANS"),"JOURSDANS","JOURS"),DIF.L1,""),DIF.LDC,""),DIF.UEFA,""),DIF.FRANCE,""),DIF.LIGUE,""),DIF.GP,""),DIF.MONDIAL,""),DIF.EURO,""),DIF.CONFEDERATIONS,""),LUNDI.DANS,""),"#  (","#("),"[ ",""),"[MAINTENANT","MAINTENANT"))</f>
        <v/>
      </c>
      <c r="D58" s="632" t="str">
        <f ca="1">IF(4-COUNTBLANK(PROG.LUNDI)=0,"",IF(LUNDI.HEURE.1&lt;&gt;"",LUNDI.HEURE.1,IF(LUNDI.HEURE.2&lt;&gt;"",LUNDI.HEURE.2,IF(LUNDI.HEURE.3&lt;&gt;"",LUNDI.HEURE.3,IF(LUNDI.HEURE.4&lt;&gt;"",LUNDI.HEURE.4,"")))))</f>
        <v/>
      </c>
      <c r="E58" s="2637" t="str">
        <f ca="1">IF(TABLEAU!$D58="","",IF(TABLEAU!$D58="23:59","",HOUR(TABLEAU!$D58)))</f>
        <v/>
      </c>
      <c r="F58" s="2635" t="str">
        <f ca="1">IF(OR(TABLEAU!$D$58="",TABLEAU!$D$58="23:59"),"59",IF(MINUTE(TABLEAU!$D$58)&lt;10,CONCATENATE("0",MINUTE(TABLEAU!$D$58)),CONCATENATE(MINUTE(TABLEAU!$D$58))))</f>
        <v>59</v>
      </c>
      <c r="G58" s="576" t="str">
        <f ca="1">UPPER(SUBSTITUTE(SUBSTITUTE(SUBSTITUTE(IF(TABLEAU!$D$58="","",SUBSTITUTE(SUBSTITUTE(SUBSTITUTE(SUBSTITUTE(SUBSTITUTE(SUBSTITUTE(SUBSTITUTE(SUBSTITUTE(SUBSTITUTE(SUBSTITUTE(SUBSTITUTE(SUBSTITUTE(SUBSTITUTE(SUBSTITUTE(SUBSTITUTE(IF(OR(TABLEAU!$D$58="",TABLEAU!$C$58=""),"",IF(AND(TODAY=TABLEAU!$K$3,HOUR((H.M))&gt;HOUR(TABLEAU!$D$58),MINUTE((H.M))&gt;MINUTE(TABLEAU!$D$58)),CONCATENATE("#DEPASSE DEPUIS",TABLEAU!$M$58," ",TABLEAU!$C$58,"#"),IF(TABLEAU!$P$58&lt;&gt;"",CONCATENATE("#DEPASSE DEPUIS",TABLEAU!$M$58," ",TABLEAU!$C$58,"#"),IF(TODAY&lt;&gt;TABLEAU!$K$3,CONCATENATE("#",LUNDI.DANS," (LUNDI ",DAY(LUNDI.DATE)," ",LOOKUP(MONTH(LUNDI.DATE),MOIS)," A ",HOUR(TABLEAU!$D$58),"H",TABLEAU!$F$58,"): ",TABLEAU!$C$58,"#"),CONCATENATE("#",TABLEAU!$L$58," (A ",TABLEAU!$Z$58,"): ",SUBSTITUTE(TABLEAU!$C$58,"#",""),"#"))))),CONCATENATE(LOOKUP(MONTH(LUNDI.DATE),MOIS)," (A"),CONCATENATE(LOOKUP(MONTH(LUNDI.DATE),MOIS)," A")),"##","#"),CONCATENATE("#DEPASSE DEPUIS  (A ): ",TABLEAU!$C$58,"#"),""),CONCATENATE("(A ",TABLEAU!$E$58,"H",TABLEAU!$X$58,"): "),""),CONCATENATE(TABLEAU!$L$58," DEPUIS"),"DEPASSE DEPUIS"),CONCATENATE("A ",HOUR(TABLEAU!$D$58),"H",TABLEAU!$F$58,"): (A ",HOUR(TABLEAU!$D$58),"H",TABLEAU!$F$58),CONCATENATE("A ",HOUR(TABLEAU!$D$58),"H",TABLEAU!$F$58)),"#DEPASSEDEPASSE","#DEPASSE"),"# (",CONCATENATE("#",TABLEAU!$H$58)),CONCATENATE("A ",SUBSTITUTE(TABLEAU!$M$33,":","H"),"): ~ (A ",SUBSTITUTE(TABLEAU!$M$33,":","H")),CONCATENATE("A ",SUBSTITUTE(TABLEAU!$M$33,":","H"))),CONCATENATE("#DEPASSE ",TABLEAU!$M$58,"#D"),"#D")," D"," #D"),"#DEPUIS","DEPUIS"),"COURS ","COURS# "),"#DE ","DE "),"GP #D","GP D")),"# &amp; #",CONCATENATE("# &amp; #DEPASSE DEPUIS",TABLEAU!$M$58," ")),"] &amp; (",CONCATENATE("]# &amp; DANS ",TABLEAU!$AH$58," ("))," 0"," "))</f>
        <v/>
      </c>
      <c r="H58" s="550" t="str">
        <f ca="1">SUBSTITUTE(IF(OR(DATE.RDV.TV&lt;&gt;TABLEAU!$K$3,TABLEAU!$C$58=""),"",IF(HOUR(TABLEAU!$I$58)=0,CONCATENATE("DANS ",TABLEAU!$N$58," MIN ("),CONCATENATE("DANS ",HOUR(TABLEAU!$I$58),"H",TABLEAU!$N$58," ("))),"DANS  MIN (","")</f>
        <v/>
      </c>
      <c r="I58" s="278" t="str">
        <f ca="1">IF(OR(TODAY&lt;&gt;TABLEAU!$K$3,TABLEAU!$C$58=""),"",IF(OR(TABLEAU!$D$58="",TABLEAU!$P$58="#DEPASSE#",TODAY&lt;&gt;TABLEAU!$K$3),0,IF(HOUR((H.M))&gt;HOUR(TABLEAU!$D$58),0,TABLEAU!$D$58-H.M)))</f>
        <v/>
      </c>
      <c r="J58" s="279" t="str">
        <f ca="1">SUBSTITUTE(SUBSTITUTE(SUBSTITUTE(IF(TABLEAU!$I$58="","",SUBSTITUTE(SUBSTITUTE(SUBSTITUTE(SUBSTITUTE(SUBSTITUTE(SUBSTITUTE(SUBSTITUTE(SUBSTITUTE(SUBSTITUTE(SUBSTITUTE(SUBSTITUTE(SUBSTITUTE(SUBSTITUTE(SUBSTITUTE(SUBSTITUTE(SUBSTITUTE(SUBSTITUTE(SUBSTITUTE(SUBSTITUTE(SUBSTITUTE(IF(DATE.DEPASSE&lt;0,TABLEAU!$U$58,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G58,"  "," "),CONCATENATE("(A ",TABLEAU!$Z$58,"): (A ",TABLEAU!$Z$58),CONCATENATE("(A ",TABLEAU!$Z$58)),CONCATENATE("#DEPASSE",TABLEAU!$M$58,"#DEPASSE",TABLEAU!$M$58),CONCATENATE("#DEPASSE",TABLEAU!$M$58)),CONCATENATE("#DEPASSE",TABLEAU!$L$58,"DEPASSE"),"#DEPASSE"),CONCATENATE(TABLEAU!$L$58," (A ",TABLEAU!$Z$58,"): DEPUIS"),"DEPASSE DEPUIS")," 1 "," 1ER "),"DEPASSE DEPUIS DEPASSE DEPUIS","DEPASSE DEPUIS"),CONCATENATE("DEPASSE ",TRIM(TABLEAU!$L$58)," DEPASSE ",TRIM(TABLEAU!$L$58)),CONCATENATE("DEPASSE ",TRIM(TABLEAU!$L$58))),"1ER MIN","1 MIN"),"1ER ERREUR","1 ERREUR"),CONCATENATE("(A ",TABLEAU!$Z$58,"): (A ",TABLEAU!$E$58,":",TABLEAU!$F$58),CONCATENATE("(A ",TABLEAU!$Z$58))," (A ):",""),"DEPASSE DEPUIS (",TABLEAU!$H$58),"] &amp; D","]# &amp; #D"),CONCATENATE("#DEPASSE",TABLEAU!$M$58,"DEPASSE"),"#DEPASSE")," [","): ["),"):):","):"),"DEPUIS ",TABLEAU!$L$58),CONCATENATE(SUBSTITUTE(TABLEAU!$M$58,"DEPUIS ",""))," "),"DEPUIS",CONCATENATE(TABLEAU!$M$58," (",LUNDI.VERIFIER," A ")),SUBSTITUTE(TABLEAU!$M$58,"DEPUIS","A"),""),"DEPASSE  ","DEPASSE"),"  A "," A"),"  "," "),TRIM(SUBSTITUTE(TABLEAU!$M$58," DEPUIS ","A ")),"EEE"),"EEE",CONCATENATE("A ",TABLEAU!$Z$58)),CONCATENATE("DEPASSE ",TABLEAU!$L$58,"HIER"),"DEPASSE DEPUIS HIER"),"DEPASSEDEPASSE","DEPASSE DEPUIS "),CONCATENATE(" A ",TABLEAU!$Z$59," (A ",TABLEAU!$Z$59),CONCATENATE(" A ",TABLEAU!$Z$59)),CONCATENATE("A ",TABLEAU!$Z$58," ",TABLEAU!$C$58),TABLEAU!$C$58),CONCATENATE(MOIS.MAINTENANT.2," (A"),CONCATENATE(MOIS.MAINTENANT.2," A")),"#DEPASSE #DEPASSEDEPUIS","#DEPASSE DEPUIS"),"A (A","A"),CONCATENATE(TABLEAU!$L$58," DEPASSE"),"DEPASSE"),"DEPASSE (",CONCATENATE("DEPASSE DEPUIS ",TABLEAU!$Q$58," (")),"''MIN","MIN"),"=):","]="),CONCATENATE("#DEPASSE ",TABLEAU!$Q$58),CONCATENATE("#DEPASSE DEPUIS ",TABLEAU!$Q$58)),"DEPASSE","DEPASSE DEPUIS"),"DEPUIS DEPUIS","DEPUIS")),"US A","USA"),CONCATENATE("DEPASSE DEPUIS ",TABLEAU!$Q$58,"DEPASSE DEPUIS ",TABLEAU!$Q$58),CONCATENATE("DEPASSE DEPUIS ",TABLEAU!$Q$58)),CONCATENATE("#DEPASSE DEPUIS ",TABLEAU!$Q$58," #DEPASSE DEPUIS ",TABLEAU!$Q$58),CONCATENATE("#DEPASSE DEPUIS ",TABLEAU!$Q$58)),"#DEPASSE DEPUIS #DEPASSE DEPUIS","#DEPASSE DEPUIS"),CONCATENATE("): ",LUNDI.DANS," (A ",TABLEAU!$E$58,"H",TABLEAU!$F$58),"")," &amp; D"," &amp; #D"),CONCATENATE(LUNDI.DANS," (LUNDI ",DAY(LUNDI.DATE)," ",LOOKUP(MONTH(LUNDI.DATE),MOIS)," A ",TABLEAU!$E$58,"H",TABLEAU!$F$58,"): DANS"),"DANS"),CONCATENATE(LUNDI.DANS," (LUNDI ",DAY(LUNDI.DATE)," ",LOOKUP(MONTH(LUNDI.DATE),MOIS)," A ",TABLEAU!$E$58,"H",TABLEAU!$F$58,"): ",LUNDI.DANS,"= ",TABLEAU!$AN$23,"(A ",TABLEAU!$E$58,"H",TABLEAU!$F$58),CONCATENATE(LUNDI.DANS,"= ",TABLEAU!$AN$23," (LUNDI ",DAY(LUNDI.DATE)," ",LOOKUP(MONTH(LUNDI.DATE),MOIS)," A ",TABLEAU!$E$58,"H",TABLEAU!$F$58)),CONCATENATE(LUNDI.DANS," (LUNDI ",DAY(LUNDI.DATE)," ",LOOKUP(MONTH(LUNDI.DATE),MOIS)," A ",TABLEAU!$E$58,"H",TABLEAU!$F$58,"): DANS"),"DANS"),"# (",CONCATENATE("#",TABLEAU!$H$58)),"DANS 0","DANS "),"# ~ ",CONCATENATE("#",FICHIER.A.MODIFIER," ~ ")),CONCATENATE("A ",SUBSTITUTE(TABLEAU!$M$33,":","H"),"): ~ (A ",SUBSTITUTE(TABLEAU!$M$33,":","H")),CONCATENATE("A ",SUBSTITUTE(TABLEAU!$M$33,":","H"))),CONCATENATE("(A ",TABLEAU!$Z$58,"): ~ (A"),"(A"),"DANS 0 MIN","MAINTENANT"),"DEPUIS(",CONCATENATE("DEPUIS ",TABLEAU!$M$58," (")),"DEPUIS DEPUIS  (A",CONCATENATE("DEPUIS ",TABLEAU!$M$58," (A")),"(A 1 ",CONCATENATE("(A ",TABLEAU!$E$58,":00")),"#A",CONCATENATE("#DANS ",HOUR(TABLEAU!$I$58),"H",TABLEAU!$N$58," (A")),"DEPUIS DEPUIS",CONCATENATE("DEPUIS ",TABLEAU!$M$58))),"]#D","]# &amp; #D"),"DEPUIS =",CONCATENATE("DEPUIS ",TABLEAU!$M$58)),"DANS  MAINTENANT","MAINTENANT")</f>
        <v/>
      </c>
      <c r="K58" s="280" t="str">
        <f ca="1">TRIM(SUBSTITUTE(SUBSTITUTE(SUBSTITUTE(SUBSTITUTE(SUBSTITUTE(SUBSTITUTE(SUBSTITUTE(SUBSTITUTE(SUBSTITUTE(TABLEAU!$O$58,CONCATENATE("): (",TABLEAU!$W$58),""),CONCATENATE("A ",TABLEAU!$E$58,"H",TABLEAU!$X$58,"): ("),""),"(SUR",CONCATENATE("(A ",TABLEAU!$E$58,"H",TABLEAU!$X$58," SUR"))," &amp; (",CONCATENATE(" &amp; ",TABLEAU!$L$58," (")),"AUJOURD'HUI",""),"##","#"),"1ER MIN","1 MIN"),CONCATENATE("DEPASSE ",TRIM(TABLEAU!$L$58)," DEPASSE"),"DEPASSE")," (A ):",""))</f>
        <v/>
      </c>
      <c r="L58" s="281" t="str">
        <f ca="1">UPPER(IF(TABLEAU!$P$58&lt;&gt;"","",IF(TABLEAU!$P$58="","",IF(TABLEAU!$AM$58&lt;&gt;"","#DEPASSE DEPUIS ",IF(TODAY&lt;&gt;TABLEAU!$K$3,"",IF(COUNTIF(ENCOURS,"#EN COURS#")&lt;&gt;0,"MAINTENANT",SUBSTITUTE(SUBSTITUTE(SUBSTITUTE(IF(OR(TABLEAU!$C$58="",TABLEAU!$D$58=""),"",IF(HOUR(TABLEAU!$I$58)=0,CONCATENATE("DANS ",TABLEAU!$N$58," MIN"),CONCATENATE("DANS ",HOUR(TABLEAU!$I$58),"H",TABLEAU!$N$58))),"DANS 0","DANS "),"DANS  MIN",TABLEAU!$M$58),"DANS 0 MIN","MAINTENANT")))))))</f>
        <v/>
      </c>
      <c r="M58" s="281" t="str">
        <f ca="1">IF(TODAY&lt;&gt;TABLEAU!$K$3,"",SUBSTITUTE(IF(TABLEAU!$D$58="","",IF(TABLEAU!$AF$58=" ","",IF(TABLEAU!$D$58-H.M&gt;0,"",IF(AND(HOUR(TABLEAU!$AF$58)&gt;0,MINUTE(TABLEAU!$AF$58)&lt;10),CONCATENATE(" ",HOUR(TABLEAU!$AF$58),"H0",MINUTE(TABLEAU!$AF$58)),IF(AND(HOUR(TABLEAU!$AF$58)&gt;0,MINUTE(TABLEAU!$AF$58)&gt;9),CONCATENATE(" ",HOUR(TABLEAU!$AF$58),"H",MINUTE(TABLEAU!$AF$58)),CONCATENATE(" 0",MINUTE(TABLEAU!$AF$58)," MIN"))))))," 0",""))</f>
        <v/>
      </c>
      <c r="N58" s="282" t="str">
        <f ca="1">IF(TABLEAU!$D$58="","",IF(OR(TABLEAU!$C$58="",TODAY&lt;&gt;TABLEAU!$K$3),"",IF(TABLEAU!$P$58="#DEPASSE#","",IF(HOUR((H.M))&gt;HOUR(TABLEAU!$D$58),"",IF(MINUTE(TABLEAU!$I$58)&lt;10,CONCATENATE("0",MINUTE(TABLEAU!$I$58)),MINUTE(TABLEAU!$I$58))))))</f>
        <v/>
      </c>
      <c r="O58" s="283" t="str">
        <f ca="1">UPPER(SUBSTITUTE(SUBSTITUTE(SUBSTITUTE(SUBSTITUTE(SUBSTITUTE(SUBSTITUTE(SUBSTITUTE(SUBSTITUTE(SUBSTITUTE(TABLEAU!$J$58,"DANS 0H","DANS "),"DANS 0","DANS "),CONCATENATE("(A ",TABLEAU!$E$58,"H",TABLEAU!$X$58,"): (",LOOKUP(WEEKDAY(LUNDI.DATE),SEMAINE)," ",DAY(LUNDI.DATE)," ",LOOKUP(MONTH(LUNDI.DATE),MOIS)," A 20H00): "),CONCATENATE(TABLEAU!$L$58," (A ",TABLEAU!$E$58,"H",TABLEAU!$X$58,")")),"DEPUIS 0","DEPUIS "),"&amp; A","&amp; (A"),CONCATENATE("(",NBA),""),"#DEPASSE DEPUIS (A","(A"),"DANS  MAINTENANT","MAINTENANT"),"] &amp; #","]# &amp; #"))</f>
        <v/>
      </c>
      <c r="P58" s="383" t="str">
        <f ca="1">IF(OR(TABLEAU!$D$58="",TODAY&lt;&gt;TABLEAU!$K$3),"",IF(AND(HOUR((H.M))=HOUR(TABLEAU!$D$58),MINUTE((H.M))&gt;MINUTE(TABLEAU!$D$58)),"#DEPASSE#",IF(HOUR((H.M))&gt;HOUR(TABLEAU!$D$58),"#DEPASSE#","")))</f>
        <v/>
      </c>
      <c r="Q58" s="384" t="str">
        <f ca="1">IF(OR(TABLEAU!$P$58="",TABLEAU!$S$58=""),"",IF(AND(HOUR(TABLEAU!$S$58)&gt;0,MINUTE(TABLEAU!$S$58)&lt;10),CONCATENATE(HOUR(TABLEAU!$S$58),"H0",MINUTE(TABLEAU!$S$58)),IF(AND(HOUR(TABLEAU!$S$58)=0,MINUTE(TABLEAU!$S$58)&lt;10),CONCATENATE(MINUTE(TABLEAU!$S$58)," MIN"),IF(AND(HOUR(TABLEAU!$S$58)&gt;0,MINUTE(TABLEAU!$S$58)&gt;9),CONCATENATE(HOUR(TABLEAU!$S$58),"H",MINUTE(TABLEAU!$S$58)),CONCATENATE(MINUTE(TABLEAU!$S$58)," MIN")))))</f>
        <v/>
      </c>
      <c r="R58" s="384" t="str">
        <f ca="1">UPPER(IF(OR(TABLEAU!$C$58="",TODAY&lt;&gt;TABLEAU!$K$3),"",IF(OR(TABLEAU!$D$58="",TABLEAU!$D$58="23:59",TABLEAU!$C$58=""),"",IF(AND(TODAY=TABLEAU!$K$3,HOUR(TABLEAU!$I$58)&lt;1,MINUTE(TABLEAU!$I$58)&lt;5,TABLEAU!$I$58&lt;&gt;"",TABLEAU!$I$58&lt;&gt;0),"BIENTOT",""))))</f>
        <v/>
      </c>
      <c r="S58" s="620" t="str">
        <f ca="1">IF(TABLEAU!$D$58="","",IF(TODAY&lt;&gt;TABLEAU!$K$3,"",IF((H.M)&gt;TABLEAU!$D$58,"",(H.M)-TABLEAU!$D$58)))</f>
        <v/>
      </c>
      <c r="T58" s="2226"/>
      <c r="U58" s="399" t="str">
        <f ca="1">UPPER(TRIM(SUBSTITUTE(SUBSTITUTE(SUBSTITUTE(SUBSTITUTE(SUBSTITUTE(SUBSTITUTE(SUBSTITUTE(SUBSTITUTE(SUBSTITUTE(SUBSTITUTE(SUBSTITUTE(SUBSTITUTE(SUBSTITUTE(SUBSTITUTE(SUBSTITUTE(SUBSTITUTE(SUBSTITUTE(SUBSTITUTE(IF(TABLEAU!$D$58="","",SUBSTITUTE(SUBSTITUTE(SUBSTITUTE(SUBSTITUTE(SUBSTITUTE(SUBSTITUTE(SUBSTITUTE(SUBSTITUTE(SUBSTITUTE(SUBSTITUTE(SUBSTITUTE(SUBSTITUTE(SUBSTITUTE(SUBSTITUTE(SUBSTITUTE(IF(OR(TABLEAU!$C$58="",TABLEAU!$D$58=""),"",IF(AND(TODAY=TABLEAU!$K$3,TABLEAU!$P$58&lt;&gt;""),CONCATENATE("#DEPASSE DEPUIS ",TABLEAU!$M$58," ",TABLEAU!$W$58,"#"),CONCATENATE("#",LUNDI.DANS," ",TABLEAU!$H$58,TABLEAU!$C$58,"#"))),": =",":"),CONCATENATE(NBA,"("),""),CONCATENATE(LOOKUP(MONTH(LUNDI.DATE),MOIS)," (A"),CONCATENATE(LOOKUP(MONTH(LUNDI.DATE),MOIS)," A")),"1ER MIN","1 MIN"),"((","("),"##","#"),"# ","#"),CONCATENATE("#",TABLEAU!$H$58,"DEPUIS"),"#DEPASSE DEPUIS"),"DEMAIN (",CONCATENATE("DEMAIN (LUNDI ",DAY(LUNDI.DATE)," ",LOOKUP(MONTH(LUNDI.DATE),MOIS)," ")),"JOURS (A ",CONCATENATE("JOURS (LUNDI ",DAY(LUNDI.DATE)," ",LOOKUP(MONTH(LUNDI.DATE),MOIS)," A ")),"(A","(LUNDI A"),"DANS 00 MIN","DANS "),"DANS 0","DANS "),"#&amp;","# &amp; "),"JOURS [",CONCATENATE("JOURS (",LOOKUP(WEEKDAY(LUNDI.DATE),SEMAINE)," ",DAY(LUNDI.DATE)," ",LOOKUP(MONTH(LUNDI.DATE),MOIS)," A ",HOUR(TABLEAU!$D$58),"H",TABLEAU!$F$58,"): ["))),CONCATENATE(LUNDI.DANS," ",LUNDI.DANS),CONCATENATE(" ",LUNDI.DANS)),"# ","#"),"#&amp; #","# &amp; #"),"US A","USA"),"(~ ("," ~ ("),"LUNDI A ","A "),CONCATENATE("#",TABLEAU!$H$58,TABLEAU!$W$58),TABLEAU!$W$58),"DEMAINDANS","DEMAIN DANS"),"''(","'' ("),CONCATENATE("#DANS ",TRIM(TABLEAU!$AH$58)," (#DEPASSE "),"#DEPASSE "),"]#D","]# &amp; #D"),"(MATCH","MATCH"),"COURS &amp; D","COURS# &amp; #D"),"#&amp; ","# &amp; #"),"# &amp; # ","# &amp; #"),CONCATENATE("#DEPASSE DEPUIS ",TABLEAU!$M$58," #"),"#"),"# &amp; ##","# &amp; #"),"DANS  (MAINTENANT","MAINTENANT")))</f>
        <v/>
      </c>
      <c r="V58" s="400" t="str">
        <f ca="1">UPPER(TRIM(SUBSTITUTE(SUBSTITUTE(IF(OR(TABLEAU!$C$58="",TABLEAU!$D$58="",LUNDI.DANS&lt;&gt;""),"",TABLEAU!$J$58),JOUR.PLUS,""),"DANS  MAINTENANT","MAINTENANT")))</f>
        <v/>
      </c>
      <c r="W58" s="345" t="str">
        <f ca="1">UPPER(IF(TABLEAU!$C$58=0,"",TABLEAU!$C$58))</f>
        <v/>
      </c>
      <c r="X58" s="820"/>
      <c r="Y58" s="281" t="str">
        <f ca="1">IF(OR(TODAY&lt;&gt;TABLEAU!$K$3,TABLEAU!$C$58=""),"",IF(OR(TABLEAU!$C$58="",TABLEAU!$D$58=""),"",HOUR(TABLEAU!$D$58)))</f>
        <v/>
      </c>
      <c r="Z58" s="281" t="str">
        <f ca="1">IF(TABLEAU!$AM$58&lt;&gt;""," ",IF(OR(TODAY&lt;&gt;"LUNDI",TABLEAU!$C$58="",TABLEAU!$D$58="")," ",IF(MINUTE(TABLEAU!$D$58)&lt;10,CONCATENATE(HOUR(TABLEAU!$D$58),"H0",MINUTE(TABLEAU!$D$58)),IF(MINUTE(TABLEAU!$D$58)&gt;9,CONCATENATE(HOUR(TABLEAU!$D$58),"H",MINUTE(TABLEAU!$D$58))))))</f>
        <v xml:space="preserve"> </v>
      </c>
      <c r="AA58" s="354" t="str">
        <f ca="1">TRIM(SUBSTITUTE(SUBSTITUTE(SUBSTITUTE(SUBSTITUTE(IF(TABLEAU!$P$58="#DEPASSE#",TABLEAU!$AB$58,TABLEAU!$U$58),"# ","#"),"#&amp; #","# &amp; #"),"DANS (MAINTENANT","MAINTENANT"),SUBSTITUTE(SUBSTITUTE(CONCATENATE("#",TABLEAU!$H$58,"",TABLEAU!$H$58)," 0"," ")," 0"," "),SUBSTITUTE(TABLEAU!$H$58," 0"," ")))</f>
        <v/>
      </c>
      <c r="AB58" s="281" t="str">
        <f ca="1">UPPER(TRIM(SUBSTITUTE(SUBSTITUTE(SUBSTITUTE(SUBSTITUTE(SUBSTITUTE(SUBSTITUTE(TABLEAU!$K$58,CONCATENATE(LOOKUP(MONTH(A),MOIS)," (A"),CONCATENATE(LOOKUP(MONTH(A),MOIS)," A ")),CONCATENATE(LOOKUP(MONTH(A)+1,MOIS)," (A"),CONCATENATE(LOOKUP(MONTH(A)+1,MOIS)," A ")),CONCATENATE("(",YEAR(LUNDI.DATE)),""),"] &amp; DANS","]# &amp; #DANS"),"DANS MAINTENANT","MAINTENANT"),SUBSTITUTE(CONCATENATE("#",SUBSTITUTE(TABLEAU!$H$58,"(",""),"#",TABLEAU!$H$58)," 0"," "),SUBSTITUTE(TABLEAU!$H$58," 0"," "))))</f>
        <v/>
      </c>
      <c r="AC58" s="681" t="str">
        <f ca="1">IF(TABLEAU!$P$58="#DEPASSE#",CONCATENATE(TABLEAU!$AC$57," &amp; ",TABLEAU!$B$58),TABLEAU!$AC$57)</f>
        <v/>
      </c>
      <c r="AD58" s="1824"/>
      <c r="AE58" s="283" t="str">
        <f ca="1">UPPER(TRIM(SUBSTITUTE(SUBSTITUTE(SUBSTITUTE(SUBSTITUTE(SUBSTITUTE(SUBSTITUTE(SUBSTITUTE(SUBSTITUTE(SUBSTITUTE(SUBSTITUTE(SUBSTITUTE(SUBSTITUTE(SUBSTITUTE(SUBSTITUTE(SUBSTITUTE(SUBSTITUTE(SUBSTITUTE(SUBSTITUTE(SUBSTITUTE(SUBSTITUTE(SUBSTITUTE(SUBSTITUTE(SUBSTITUTE(SUBSTITUTE(IF(TABLEAU!$P$58="#DEPASSE#",TABLEAU!$J$58,IF(TABLEAU!$C$58="","",TRIM(SUBSTITUTE(SUBSTITUTE(SUBSTITUTE(SUBSTITUTE(SUBSTITUTE(SUBSTITUTE(SUBSTITUTE(IF(TABLEAU!$L$58="#DEPASSE DEPUIS ",MODIF,IF(TABLEAU!$I$58=SUBSTITUTE(DEPP,"#",""),DEPP,SUBSTITUTE(SUBSTITUTE(SUBSTITUTE(SUBSTITUTE(SUBSTITUTE(SUBSTITUTE(SUBSTITUTE(SUBSTITUTE(SUBSTITUTE(SUBSTITUTE(SUBSTITUTE(SUBSTITUTE(SUBSTITUTE(SUBSTITUTE(SUBSTITUTE(SUBSTITUTE(SUBSTITUTE(SUBSTITUTE(TABLEAU!$AB$58,CONCATENATE(TABLEAU!$K$58," A "),CONCATENATE(TABLEAU!$K$58," (A ")),"JANVIER (","JANVIER "),"FEVRIER (","FEVRIER "),"MARS (","MARS "),"AVRIL (","AVRIL "),"MAI (","MAI "),"JUIN (","JUIN "),"JUILLET (","JUILLET "),"AOUT (","AOUT "),"SEPTEMBRE (","SEPTEMBRE "),"OCTOBRE (","OCTOBRE "),"NOVEMBRE (","NOVEMBRE "),"DECEMBRE (","DECEMBRE "),CONCATENATE(" &amp; ",TABLEAU!$K$58," (")," &amp; "),CONCATENATE(" &amp;",TABLEAU!$L$58,"(")," &amp; ")," &amp; ("," &amp; "),CONCATENATE(TABLEAU!$K$58," (A ",TABLEAU!$AC$58,"): HIER"),"DEPASSE DEPUIS HIER")," &amp; A"," &amp; (A"))),"(A ",CONCATENATE("(",DATE.RDV.TV," A ")),"((","("),CONCATENATE(DATE.RDV.TV," ("),""),CONCATENATE(DATE.RDV.TV," A "),"A "),CONCATENATE(YEAR(A)," (A"),"A"),CONCATENATE(TABLEAU!$L$58," (DEPASSE"),"DEPASSE"),CONCATENATE("DEPASSE",TABLEAU!$L$58,"(",LOOKUP(WEEKDAY(LUNDI.DATE),SEMAINE)," ",DAY(LUNDI.DATE)," ",LOOKUP(MONTH(LUNDI.DATE),MOIS)," A"),"DEPASSE DEPUIS")))),"#&amp; ","# &amp; #"),"DANS (A","MAINTENANT (A"),"DANS (MATCH","DANS MATCH"),CONCATENATE("(DEMAIN= ",DIF.L1," ~ "),""),CONCATENATE("(DEMAIN= ",DIF.LDC," ~ "),""),CONCATENATE("(DEMAIN= ",DIF.UEFA," ~ "),""),CONCATENATE("(DEMAIN= ",DIF.FRANCE," ~ "),""),CONCATENATE("(DEMAIN= ",DIF.LIGUE," ~ "),""),CONCATENATE("(DEMAIN= ",DIF.GP," ~ "),""),CONCATENATE("(DEMAIN= ",DIF.MONDIAL," ~ "),""),CONCATENATE("(DEMAIN= ",DIF.EURO," ~ "),""),CONCATENATE("(DEMAIN= ",DIF.CONFEDERATIONS," ~ "),""),CONCATENATE(TABLEAU!$K$3," A"),"A"),CONCATENATE(TABLEAU!$K$3," A"),"A"),"MERCREDI A","A"),"JEUDI A","A"),"VENDREDI A","A"),"SAMEDI A","A"),"DIMANCHE A","A"),"00H","0H"),"DEPUIS DEPUIS",CONCATENATE("DEPUIS ",TABLEAU!$M$58)),"] &amp;D","]# &amp; #D"),"A 2A",CONCATENATE("A ",TABLEAU!$Y58,"H",TABLEAU!$F$58))," )",")")))</f>
        <v/>
      </c>
      <c r="AF58" s="984" t="str">
        <f ca="1">IF(TODAY&lt;&gt;TABLEAU!$K$3," ",IF(TABLEAU!$D$58="","",H.M-TABLEAU!$D$58))</f>
        <v xml:space="preserve"> </v>
      </c>
      <c r="AG58" s="984" t="str">
        <f ca="1">IF(TABLEAU!$B$58="","",IF(TABLEAU!$I$58&lt;&gt;0,"",IF(TODAY&lt;&gt;"LUNDI","",IF(TABLEAU!$AF$58=" ","",IF(TABLEAU!$AF$58="","",IF(AND(HOUR(TABLEAU!$AF$58)&gt;0,MINUTE(TABLEAU!$AF$58)&lt;10),CONCATENATE(HOUR(TABLEAU!$AF$58),"H0",MINUTE(TABLEAU!$AF$58)),IF(AND(HOUR(TABLEAU!$AF$58)&gt;0,MINUTE(TABLEAU!$AF$58)&gt;9),CONCATENATE(HOUR(TABLEAU!$AF$58),"H",MINUTE(TABLEAU!$AF$58)),CONCATENATE(MINUTE(TABLEAU!$AF$58)," MIN"))))))))</f>
        <v/>
      </c>
      <c r="AH58" s="984" t="str">
        <f ca="1">IF(TABLEAU!$I$58="","",IF(MINUTE(TABLEAU!$I$58)&gt;9,CONCATENATE(HOUR(TABLEAU!$I$58),"H",MINUTE(TABLEAU!$I$58)),CONCATENATE(HOUR(TABLEAU!$I$58),"H0",MINUTE(TABLEAU!$I$58))))</f>
        <v/>
      </c>
      <c r="AI58" s="1640"/>
      <c r="AJ58" s="75" t="str">
        <f ca="1">IF(TABLEAU!$B$58="","",TABLEAU!$P$58)</f>
        <v/>
      </c>
      <c r="AK58" s="75" t="str">
        <f ca="1">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O$58,"DEPASSE","&amp;&amp;&amp;"),"A",""),"B",""),"C",""),"D",""),"E",""),"F",""),"G",""),"H",""),"I",""),"J",""),"K",""),"L",""),"M",""),"N",""),"O",""),"P",""),"Q",""),"R",""),"S",""),"T",""),"U",""),"V",""),"W",""),"X",""),"Y",""),"Z",""),"0",""),"1",""),"2",""),"3",""),"4",""),"5",""),"6",""),"7",""),"8",""),"9",""),":",""),"(",""),")",""),"[",""),"]","")," ",""))</f>
        <v/>
      </c>
      <c r="AL58" s="635" t="str">
        <f ca="1">UPPER(IF(DATE.RDV.TV&lt;&gt;TABLEAU!$K$3,"",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B$58,"DEPASSE ","¤¤"),"A",""),"B",""),"C",""),"D",""),"E",""),"F",""),"G",""),"H",""),"I",""),"J",""),"K",""),"L",""),"M",""),"N",""),"O",""),"P",""),"Q",""),"R",""),"S",""),"T",""),"U",""),"V",""),"W",""),"X",""),"Y",""),"Z",""),"1",""),"2",""),"3",""),"4",""),"5",""),"6",""),"7",""),"8",""),"9",""),"0",""),"-",""),"(",""),")",""),"{",""),"}",""),"=",""),"[",""),"]",""),"#",""),"+",""),":",""),"/",""),"'",""),".","")," &amp; ","")," ° ",""))))</f>
        <v/>
      </c>
      <c r="AM58" s="837" t="str">
        <f ca="1">UPPER(IF(DATE.RDV.TV&lt;&gt;TABLEAU!$K$3,"",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C$58,"CHAMPIONNAT","¤"),"LDC","¤¤"),"UEFA","¤¤¤"),"FRANCE","¤¤¤¤"),"LIGUE","¤¤¤¤¤"),"GP","¤¤¤¤¤¤"),"MONDIAL","¤¤¤¤¤¤¤"),"EURO","¤¤¤¤¤¤¤¤"),"CONFEDERATIONS","¤¤¤¤¤¤¤¤¤"),"A",""),"B",""),"C",""),"D",""),"E",""),"F",""),"G",""),"H",""),"I",""),"J",""),"K",""),"L",""),"M",""),"N",""),"O",""),"P",""),"Q",""),"R",""),"S",""),"T",""),"U",""),"V",""),"W",""),"X",""),"Y",""),"Z",""),"1",""),"2",""),"3",""),"4",""),"5",""),"6",""),"7",""),"8",""),"9",""),"0",""),"-",""),"(",""),")",""),"{",""),"}",""),"=",""),"[",""),"]",""),"#",""),"+",""),":",""),"/",""),"'",""),".","")," &amp; ","")," ° ",""),"~",""))))</f>
        <v/>
      </c>
      <c r="AN58" s="1607" t="str">
        <f ca="1">IF(TABLEAU!$B$58=TABLEAU!$B$57,"",IF(OR(TABLEAU!$A$58="#DEPASSE#",TABLEAU!$P$58="#DEPASSE#"),TABLEAU!$B$58,""))</f>
        <v/>
      </c>
      <c r="AO58" s="1608"/>
      <c r="AP58" s="1608"/>
      <c r="AQ58" s="1608"/>
      <c r="AR58" s="1608"/>
      <c r="AS58" s="1608"/>
      <c r="AT58" s="1608"/>
      <c r="AU58" s="1608"/>
      <c r="AV58" s="1608"/>
      <c r="AW58" s="1608"/>
      <c r="AX58" s="1609"/>
      <c r="AY58" s="1243">
        <f ca="1">IF(AND(TABLEAU!$C$58&lt;&gt;"",TABLEAU!$B$58=""),1,0)</f>
        <v>0</v>
      </c>
      <c r="AZ58" s="2576"/>
      <c r="BA58" s="2577"/>
    </row>
    <row r="59" spans="1:53" ht="12" customHeight="1">
      <c r="A59" s="1521"/>
      <c r="B59" s="1511" t="str">
        <f ca="1">SUBSTITUTE(SUBSTITUTE(SUBSTITUTE(IF(OR(TABLEAU!$C59,TABLEAU!$D59=""),"",SUBSTITUTE(SUBSTITUTE(SUBSTITUTE(SUBSTITUTE(SUBSTITUTE(SUBSTITUTE(SUBSTITUTE(SUBSTITUTE(SUBSTITUTE(SUBSTITUTE(SUBSTITUTE(SUBSTITUTE(SUBSTITUTE(SUBSTITUTE(SUBSTITUTE(SUBSTITUTE(SUBSTITUTE(SUBSTITUTE(SUBSTITUTE(SUBSTITUTE(SUBSTITUTE(SUBSTITUTE(SUBSTITUTE(SUBSTITUTE(IF(TABLEAU!$C59="","",SUBSTITUTE(IF(TABLEAU!$AE59="",TABLEAU!$U59,TABLEAU!$AE59),CONCATENATE(CVB,YEAR(A)," "),""))," #"," "),"] &amp; D","]# &amp; #D")," &amp; (A",CONCATENATE("# &amp; #",TABLEAU!$H59,"A")),"&amp; DEPASSE","&amp; #DEPASSE"),"## &amp; #A","# &amp; #(A"),"DANS MAINTENANT","MAINTENANT"),CONCATENATE(" H",TABLEAU!$N59),CONCATENATE(" ",TABLEAU!$N59," MIN"))," 0"," "),"] &amp;D","]# &amp; #D"),"}  MIN","} H"),"# &amp; D","# &amp; #D"),CONCATENATE("#MAINTENANT (A ",TABLEAU!$Z59,"): MAINTENANT"),"#MAINTENANT"),TABLEAU!$AB$2,""),TABLEAU!$AM$5,"")," MINAMILTON","HAMILTON"),CONCATENATE(TABLEAU!$Z59," ",TABLEAU!$Z59),TABLEAU!$Z59),"DEPUIS  MINIER","DEPUIS HIER"),"MINONGRIE","HONGRIE"),"#DANS (#DEPASSE","#DEPASSE"),CONCATENATE(" ",YEAR(A)),""),"]= [","= ["),")])",")]"),"#DEPASSE DEPUISDANS","#DANS"),"(A 1A ):",CONCATENATE("(A ",HOUR(TABLEAU!$D59),"H",TABLEAU!$F59,"):"))),"SUR "," SUR "),"  SUR "," SUR "),CONCATENATE("DEPASSE DEPUIS ",TABLEAU!$M59," (A DANS"),"DANS")</f>
        <v>#DANS 3 JOURS (MARDI 5 NOVEMBRE A 18H50 SUR TFX): [TELE-REALITE]#</v>
      </c>
      <c r="C59" s="629" t="s">
        <v>169</v>
      </c>
      <c r="D59" s="630">
        <v>0.78472222222222221</v>
      </c>
      <c r="E59" s="2638">
        <f>IF(TABLEAU!$D59="","",IF(TABLEAU!$D59="23:59","",HOUR(TABLEAU!$D59)))</f>
        <v>18</v>
      </c>
      <c r="F59" s="2639" t="str">
        <f>IF(OR(TABLEAU!$D$59="",TABLEAU!$D$59="23:59"),"59",IF(MINUTE(TABLEAU!$D$59)&lt;10,CONCATENATE("0",MINUTE(TABLEAU!$D$59)),CONCATENATE(MINUTE(TABLEAU!$D$59))))</f>
        <v>50</v>
      </c>
      <c r="G59" s="577" t="str">
        <f ca="1">UPPER(SUBSTITUTE(SUBSTITUTE(SUBSTITUTE(IF(TABLEAU!$D$59="","",SUBSTITUTE(SUBSTITUTE(SUBSTITUTE(SUBSTITUTE(SUBSTITUTE(SUBSTITUTE(SUBSTITUTE(SUBSTITUTE(SUBSTITUTE(SUBSTITUTE(SUBSTITUTE(SUBSTITUTE(SUBSTITUTE(SUBSTITUTE(SUBSTITUTE(IF(OR(TABLEAU!$D$59="",TABLEAU!$C$59=""),"",IF(AND(TODAY="MARDI",HOUR((H.M))&gt;HOUR(TABLEAU!$D$59),MINUTE((H.M))&gt;MINUTE(TABLEAU!$D$59)),CONCATENATE("#DEPASSE DEPUIS",TABLEAU!$M$59," ",TABLEAU!$C$59,"#"),IF(TABLEAU!$P$59&lt;&gt;"",CONCATENATE("#DEPASSE DEPUIS",TABLEAU!$M$59," ",TABLEAU!$C$59,"#"),IF(TODAY&lt;&gt;"MARDI",CONCATENATE("#",MARDI.DANS," (MARDI ",DAY(MARDI.DATE)," ",LOOKUP(MONTH(MARDI.DATE),MOIS)," A ",HOUR(TABLEAU!$D$59),"H",TABLEAU!$F$59,"): ",TABLEAU!$C$59,"#"),CONCATENATE("#",TABLEAU!$L$59," (A ",TABLEAU!$Z$59,"): ",SUBSTITUTE(TABLEAU!$C$59,"#",""),"#"))))),CONCATENATE(LOOKUP(MONTH(MARDI.DATE),MOIS)," (A"),CONCATENATE(LOOKUP(MONTH(MARDI.DATE),MOIS)," A")),"##","#"),CONCATENATE("#DEPASSE DEPUIS  (A ): ",TABLEAU!$C$59,"#"),""),CONCATENATE("(A ",TABLEAU!$E$59,"H",TABLEAU!$X$59,"): "),""),CONCATENATE(TABLEAU!$L$59," DEPUIS"),"DEPASSE DEPUIS"),CONCATENATE("A ",HOUR(TABLEAU!$D$59),"H",TABLEAU!$F$59,"): (A ",HOUR(TABLEAU!$D$59),"H",TABLEAU!$F$59),CONCATENATE("A ",HOUR(TABLEAU!$D$59),"H",TABLEAU!$F$59)),"#DEPASSEDEPASSE","#DEPASSE"),"# (",CONCATENATE("#",TABLEAU!$H$59)),CONCATENATE("A ",SUBSTITUTE(TABLEAU!$M$33,":","H"),"): ~ (A ",SUBSTITUTE(TABLEAU!$M$33,":","H")),CONCATENATE("A ",SUBSTITUTE(TABLEAU!$M$33,":","H"))),CONCATENATE("#DEPASSE ",TABLEAU!$M$59,"#D"),"#D")," D"," #D"),"#DEPUIS","DEPUIS"),"COURS ","COURS# "),"#DE ","DE "),"GP #D","GP D")),"# &amp; #",CONCATENATE("# &amp; #DEPASSE DEPUIS",TABLEAU!$M$59," ")),"] &amp; (",CONCATENATE("]# &amp; DANS ",TABLEAU!$AH$59," ("))," 0"," "))</f>
        <v>#DANS 3 JOURS (MARDI 5 NOVEMBRE A 18H50 SUR TFX): [TELE-REALITE]#</v>
      </c>
      <c r="H59" s="551" t="str">
        <f ca="1">SUBSTITUTE(IF(OR(DATE.RDV.TV&lt;&gt;"MARDI",TABLEAU!$C$59=""),"",IF(HOUR(TABLEAU!$I$59)=0,CONCATENATE("DANS ",TABLEAU!$N$59," MIN ("),CONCATENATE("DANS ",HOUR(TABLEAU!$I$59),"H",TABLEAU!$N$59," ("))),"DANS  MIN (","")</f>
        <v/>
      </c>
      <c r="I59" s="322" t="str">
        <f ca="1">IF(OR(TODAY&lt;&gt;"MARDI",TABLEAU!$C$59=""),"",IF(OR(TABLEAU!$D$59="",TABLEAU!$P$59="#DEPASSE#",TODAY&lt;&gt;"MARDI"),0,IF(HOUR((H.M))&gt;HOUR(TABLEAU!$D$59),0,TABLEAU!$D$59-H.M)))</f>
        <v/>
      </c>
      <c r="J59" s="323" t="str">
        <f ca="1">SUBSTITUTE(SUBSTITUTE(SUBSTITUTE(IF(TABLEAU!$I$59="","",SUBSTITUTE(SUBSTITUTE(SUBSTITUTE(SUBSTITUTE(SUBSTITUTE(SUBSTITUTE(SUBSTITUTE(SUBSTITUTE(SUBSTITUTE(SUBSTITUTE(SUBSTITUTE(SUBSTITUTE(SUBSTITUTE(SUBSTITUTE(SUBSTITUTE(SUBSTITUTE(SUBSTITUTE(SUBSTITUTE(SUBSTITUTE(SUBSTITUTE(IF(DATE.DEPASSE&lt;0,TABLEAU!$U$59,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G59,"  "," "),CONCATENATE("(A ",TABLEAU!$Z$59,"): (A ",TABLEAU!$Z$59),CONCATENATE("(A ",TABLEAU!$Z$59)),CONCATENATE("#DEPASSE",TABLEAU!$M$59,"#DEPASSE",TABLEAU!$M$59),CONCATENATE("#DEPASSE",TABLEAU!$M$59)),CONCATENATE("#DEPASSE",TABLEAU!$L$59,"DEPASSE"),"#DEPASSE"),CONCATENATE(TABLEAU!$L$59," (A ",TABLEAU!$Z$59,"): DEPUIS"),"DEPASSE DEPUIS")," 1 "," 1ER "),"DEPASSE DEPUIS DEPASSE DEPUIS","DEPASSE DEPUIS"),CONCATENATE("DEPASSE ",TRIM(TABLEAU!$L$59)," DEPASSE ",TRIM(TABLEAU!$L$59)),CONCATENATE("DEPASSE ",TRIM(TABLEAU!$L$59))),"1ER MIN","1 MIN"),"1ER ERREUR","1 ERREUR"),CONCATENATE("(A ",TABLEAU!$Z$59,"): (A ",TABLEAU!$E$59,":",TABLEAU!$F$59),CONCATENATE("(A ",TABLEAU!$Z$59))," (A ):",""),"DEPASSE DEPUIS (",TABLEAU!$H$59),"] &amp; D","]# &amp; #D"),CONCATENATE("#DEPASSE",TABLEAU!$M$59,"DEPASSE"),"#DEPASSE")," [","): ["),"):):","):"),"DEPUIS ",TABLEAU!$L$59),CONCATENATE(SUBSTITUTE(TABLEAU!$M$59,"DEPUIS ",""))," "),"DEPUIS",CONCATENATE(TABLEAU!$M$59," (",MARDI.VERIFIER," A ")),SUBSTITUTE(TABLEAU!$M$59,"DEPUIS","A"),""),"DEPASSE  ","DEPASSE"),"  A "," A"),"  "," "),TRIM(SUBSTITUTE(TABLEAU!$M$59," DEPUIS ","A ")),"EEE"),"EEE",CONCATENATE("A ",TABLEAU!$Z$59)),CONCATENATE("DEPASSE ",TABLEAU!$L$59,"HIER"),"DEPASSE DEPUIS HIER"),"DEPASSEDEPASSE","DEPASSE DEPUIS "),CONCATENATE(" A ",TABLEAU!$Z$59," (A ",TABLEAU!$Z$59),CONCATENATE(" A ",TABLEAU!$Z$59)),CONCATENATE("A ",TABLEAU!$Z$59," ",TABLEAU!$C$59),TABLEAU!$C$59),CONCATENATE(MOIS.MAINTENANT.2," (A"),CONCATENATE(MOIS.MAINTENANT.2," A")),"#DEPASSE #DEPASSEDEPUIS","#DEPASSE DEPUIS"),"A (A","A"),CONCATENATE(TABLEAU!$L$59," DEPASSE"),"DEPASSE"),"DEPASSE (",CONCATENATE("DEPASSE DEPUIS ",TABLEAU!$Q$59," (")),"''MIN","MIN"),"=):","]="),CONCATENATE("#DEPASSE ",TABLEAU!$Q$59),CONCATENATE("#DEPASSE DEPUIS ",TABLEAU!$Q$59)),"DEPASSE","DEPASSE DEPUIS"),"DEPUIS DEPUIS","DEPUIS")),"US A","USA"),CONCATENATE("DEPASSE DEPUIS ",TABLEAU!$Q$59,"DEPASSE DEPUIS ",TABLEAU!$Q$59),CONCATENATE("DEPASSE DEPUIS ",TABLEAU!$Q$59)),CONCATENATE("#DEPASSE DEPUIS ",TABLEAU!$Q$59," #DEPASSE DEPUIS ",TABLEAU!$Q$59),CONCATENATE("#DEPASSE DEPUIS ",TABLEAU!$Q$59)),"#DEPASSE DEPUIS #DEPASSE DEPUIS","#DEPASSE DEPUIS"),CONCATENATE("): ",MARDI.DANS," (A ",TABLEAU!$E$59,"H",TABLEAU!$F$59),"")," &amp; D"," &amp; #D"),CONCATENATE(MARDI.DANS," (MARDI ",DAY(MARDI.DATE)," ",LOOKUP(MONTH(MARDI.DATE),MOIS)," A ",TABLEAU!$E$59,"H",TABLEAU!$F$59,"): DANS"),"DANS"),CONCATENATE(MARDI.DANS," (MARDI ",DAY(MARDI.DATE)," ",LOOKUP(MONTH(MARDI.DATE),MOIS)," A ",TABLEAU!$E$59,"H",TABLEAU!$F$59,"): ",MARDI.DANS,"= ",TABLEAU!$AN$23,"(A ",TABLEAU!$E$59,"H",TABLEAU!$F$59),CONCATENATE(MARDI.DANS,"= ",TABLEAU!$AN$23," (MARDI ",DAY(MARDI.DATE)," ",LOOKUP(MONTH(MARDI.DATE),MOIS)," A ",TABLEAU!$E$59,"H",TABLEAU!$F$59)),CONCATENATE(MARDI.DANS," (MARDI ",DAY(MARDI.DATE)," ",LOOKUP(MONTH(MARDI.DATE),MOIS)," A ",TABLEAU!$E$59,"H",TABLEAU!$F$59,"): DANS"),"DANS"),"# (",CONCATENATE("#",TABLEAU!$H$59)),"DANS 0","DANS "),"# ~ ",CONCATENATE("#",FICHIER.A.MODIFIER," ~ ")),CONCATENATE("A ",SUBSTITUTE(TABLEAU!$M$33,":","H"),"): ~ (A ",SUBSTITUTE(TABLEAU!$M$33,":","H")),CONCATENATE("A ",SUBSTITUTE(TABLEAU!$M$33,":","H"))),CONCATENATE("(A ",TABLEAU!$Z$59,"): ~ (A"),"(A"),"DANS 0 MIN","MAINTENANT"),"DEPUIS(",CONCATENATE("DEPUIS ",TABLEAU!$M$59," (")),"DEPUIS DEPUIS  (A",CONCATENATE("DEPUIS ",TABLEAU!$M$59," (A")),"(A 1 ",CONCATENATE("(A ",TABLEAU!$E$59,":00")),"#A",CONCATENATE("#DANS ",HOUR(TABLEAU!$I$59),"H",TABLEAU!$N$59," (A")),"DEPUIS DEPUIS",CONCATENATE("DEPUIS ",TABLEAU!$M$59))),"]#D","]# &amp; #D"),"DEPUIS =",CONCATENATE("DEPUIS ",TABLEAU!$M$59)),"DANS  MAINTENANT","MAINTENANT")</f>
        <v/>
      </c>
      <c r="K59" s="191" t="str">
        <f ca="1">TRIM(SUBSTITUTE(SUBSTITUTE(SUBSTITUTE(SUBSTITUTE(SUBSTITUTE(SUBSTITUTE(SUBSTITUTE(SUBSTITUTE(SUBSTITUTE(TABLEAU!$O$59,CONCATENATE("): (",TABLEAU!$W$59),""),CONCATENATE("A ",TABLEAU!$E$59,"H",TABLEAU!$X$59,"): ("),""),"(SUR",CONCATENATE("(A ",TABLEAU!$E$59,"H",TABLEAU!$X$59," SUR"))," &amp; (",CONCATENATE(" &amp; ",TABLEAU!$L$59," (")),"AUJOURD'HUI",""),"##","#"),"1ER MIN","1 MIN"),CONCATENATE("DEPASSE ",TRIM(TABLEAU!$L$59)," DEPASSE"),"DEPASSE")," (A ):",""))</f>
        <v/>
      </c>
      <c r="L59" s="227" t="str">
        <f ca="1">UPPER(IF(TABLEAU!$P$59&lt;&gt;"","",IF(TABLEAU!$P$59="","",IF(TABLEAU!$AM$59&lt;&gt;"","#DEPASSE DEPUIS ",IF(TODAY&lt;&gt;"MARDI","",IF(COUNTIF(ENCOURS,"#EN COURS#")&lt;&gt;0,"MAINTENANT",SUBSTITUTE(SUBSTITUTE(SUBSTITUTE(IF(OR(TABLEAU!$C$59="",TABLEAU!$D$59=""),"",IF(HOUR(TABLEAU!$I$59)=0,CONCATENATE("DANS ",TABLEAU!$N$59," MIN"),CONCATENATE("DANS ",HOUR(TABLEAU!$I$59),"H",TABLEAU!$N$59))),"DANS 0","DANS "),"DANS  MIN",TABLEAU!$M$59),"DANS 0 MIN","MAINTENANT")))))))</f>
        <v/>
      </c>
      <c r="M59" s="227" t="str">
        <f ca="1">IF(TODAY&lt;&gt;"MARDI","",SUBSTITUTE(IF(TABLEAU!$D$59="","",IF(TABLEAU!$AF$59=" ","",IF(TABLEAU!$D$59-H.M&gt;0,"",IF(AND(HOUR(TABLEAU!$AF$59)&gt;0,MINUTE(TABLEAU!$AF$59)&lt;10),CONCATENATE(" ",HOUR(TABLEAU!$AF$59),"H0",MINUTE(TABLEAU!$AF$59)),IF(AND(HOUR(TABLEAU!$AF$59)&gt;0,MINUTE(TABLEAU!$AF$59)&gt;9),CONCATENATE(" ",HOUR(TABLEAU!$AF$59),"H",MINUTE(TABLEAU!$AF$59)),CONCATENATE(" 0",MINUTE(TABLEAU!$AF$59)," MIN"))))))," 0",""))</f>
        <v/>
      </c>
      <c r="N59" s="266" t="str">
        <f ca="1">IF(TABLEAU!$D$59="","",IF(OR(TABLEAU!$C$59="",TODAY&lt;&gt;"MARDI"),"",IF(TABLEAU!$P$59="#DEPASSE#","",IF(HOUR((H.M))&gt;HOUR(TABLEAU!$D$59),"",IF(MINUTE(TABLEAU!$I$59)&lt;10,CONCATENATE("0",MINUTE(TABLEAU!$I$59)),MINUTE(TABLEAU!$I$59))))))</f>
        <v/>
      </c>
      <c r="O59" s="192" t="str">
        <f ca="1">UPPER(SUBSTITUTE(SUBSTITUTE(SUBSTITUTE(SUBSTITUTE(SUBSTITUTE(SUBSTITUTE(SUBSTITUTE(SUBSTITUTE(SUBSTITUTE(TABLEAU!$J$59,"DANS 0H","DANS "),"DANS 0","DANS "),CONCATENATE("(A ",TABLEAU!$E$59,"H",TABLEAU!$X$59,"): (",LOOKUP(WEEKDAY(MARDI.DATE),SEMAINE)," ",DAY(MARDI.DATE)," ",LOOKUP(MONTH(MARDI.DATE),MOIS)," A 20H00): "),CONCATENATE(TABLEAU!$L$59," (A ",TABLEAU!$E$59,"H",TABLEAU!$X$59,")")),"DEPUIS 0","DEPUIS "),"&amp; A","&amp; (A"),CONCATENATE("(",NBA),""),"#DEPASSE DEPUIS (A","(A"),"DANS  MAINTENANT","MAINTENANT"),"] &amp; #","]# &amp; #"))</f>
        <v/>
      </c>
      <c r="P59" s="183" t="str">
        <f ca="1">IF(OR(TABLEAU!$D$59="",TODAY&lt;&gt;"MARDI"),"",IF(AND(HOUR((H.M))=HOUR(TABLEAU!$D$59),MINUTE((H.M))&gt;MINUTE(TABLEAU!$D$59)),"#DEPASSE#",IF(HOUR((H.M))&gt;HOUR(TABLEAU!$D$59),"#DEPASSE#","")))</f>
        <v/>
      </c>
      <c r="Q59" s="184" t="str">
        <f ca="1">IF(OR(TABLEAU!$P$59="",TABLEAU!$S$59=""),"",IF(AND(HOUR(TABLEAU!$S$59)&gt;0,MINUTE(TABLEAU!$S$59)&lt;10),CONCATENATE(HOUR(TABLEAU!$S$59),"H0",MINUTE(TABLEAU!$S$59)),IF(AND(HOUR(TABLEAU!$S$59)=0,MINUTE(TABLEAU!$S$59)&lt;10),CONCATENATE(MINUTE(TABLEAU!$S$59)," MIN"),IF(AND(HOUR(TABLEAU!$S$59)&gt;0,MINUTE(TABLEAU!$S$59)&gt;9),CONCATENATE(HOUR(TABLEAU!$S$59),"H",MINUTE(TABLEAU!$S$59)),CONCATENATE(MINUTE(TABLEAU!$S$59)," MIN")))))</f>
        <v/>
      </c>
      <c r="R59" s="184" t="str">
        <f ca="1">UPPER(IF(OR(TABLEAU!$C$59="",TODAY&lt;&gt;"MARDI"),"",IF(OR(TABLEAU!$D$59="",TABLEAU!$D$59="23:59",TABLEAU!$C$59=""),"",IF(AND(TODAY="MARDI",HOUR(TABLEAU!$I$59)&lt;1,MINUTE(TABLEAU!$I$59)&lt;5,TABLEAU!$I$59&lt;&gt;"",TABLEAU!$I$59&lt;&gt;0),"BIENTOT",""))))</f>
        <v/>
      </c>
      <c r="S59" s="617" t="str">
        <f ca="1">IF(TABLEAU!$D$59="","",IF(TODAY&lt;&gt;"MARDI","",IF((H.M)&gt;TABLEAU!$D$59,"",(H.M)-TABLEAU!$D$59)))</f>
        <v/>
      </c>
      <c r="T59" s="2219">
        <f ca="1">IF(TODAY="JEUDI",A+5,IF(TODAY="VENDREDI",A+4,IF(TODAY="SAMEDI",A+3,IF(TODAY="DIMANCHE",A+2,IF(TODAY=TABLEAU!$K$3,A+1,IF(TODAY="MARDI",A,IF(TODAY="MERCREDI",A+6)))))))</f>
        <v>43774</v>
      </c>
      <c r="U59" s="191" t="str">
        <f ca="1">UPPER(TRIM(SUBSTITUTE(SUBSTITUTE(SUBSTITUTE(SUBSTITUTE(SUBSTITUTE(SUBSTITUTE(SUBSTITUTE(SUBSTITUTE(SUBSTITUTE(SUBSTITUTE(SUBSTITUTE(SUBSTITUTE(SUBSTITUTE(SUBSTITUTE(SUBSTITUTE(SUBSTITUTE(SUBSTITUTE(SUBSTITUTE(IF(TABLEAU!$D$59="","",SUBSTITUTE(SUBSTITUTE(SUBSTITUTE(SUBSTITUTE(SUBSTITUTE(SUBSTITUTE(SUBSTITUTE(SUBSTITUTE(SUBSTITUTE(SUBSTITUTE(SUBSTITUTE(SUBSTITUTE(SUBSTITUTE(SUBSTITUTE(SUBSTITUTE(IF(OR(TABLEAU!$C$59="",TABLEAU!$D$59=""),"",IF(AND(TODAY="MARDI",TABLEAU!$P$59&lt;&gt;""),CONCATENATE("#DEPASSE DEPUIS ",TABLEAU!$M$59," ",TABLEAU!$W$59,"#"),CONCATENATE("#",MARDI.DANS," ",TABLEAU!$H$59,TABLEAU!$C$59,"#"))),": =",":"),CONCATENATE(NBA,"("),""),CONCATENATE(LOOKUP(MONTH(MARDI.DATE),MOIS)," (A"),CONCATENATE(LOOKUP(MONTH(MARDI.DATE),MOIS)," A")),"1ER MIN","1 MIN"),"((","("),"##","#"),"# ","#"),CONCATENATE("#",TABLEAU!$H$59,"DEPUIS"),"#DEPASSE DEPUIS"),"DEMAIN (",CONCATENATE("DEMAIN (MARDI ",DAY(MARDI.DATE)," ",LOOKUP(MONTH(MARDI.DATE),MOIS)," ")),"JOURS (A ",CONCATENATE("JOURS (MARDI ",DAY(MARDI.DATE)," ",LOOKUP(MONTH(MARDI.DATE),MOIS)," A ")),"(A","(MARDI A"),"DANS 00 MIN","DANS "),"DANS 0","DANS "),"#&amp;","# &amp; "),"JOURS [",CONCATENATE("JOURS (",LOOKUP(WEEKDAY(MARDI.DATE),SEMAINE)," ",DAY(MARDI.DATE)," ",LOOKUP(MONTH(MARDI.DATE),MOIS)," A ",HOUR(TABLEAU!$D$59),"H",TABLEAU!$F$59,"): ["))),CONCATENATE(MARDI.DANS," ",MARDI.DANS),CONCATENATE(" ",MARDI.DANS)),"# ","#"),"#&amp; #","# &amp; #"),"US A","USA"),"(~ ("," ~ ("),"MARDI A ","A "),CONCATENATE("#",TABLEAU!$H$59,TABLEAU!$W$59),TABLEAU!$W$59),"DEMAINDANS","DEMAIN DANS"),"''(","'' ("),CONCATENATE("#DANS ",TRIM(TABLEAU!$AH$59)," (#DEPASSE "),"#DEPASSE "),"]#D","]# &amp; #D"),"(MATCH","MATCH"),"COURS &amp; D","COURS# &amp; #D"),"#&amp; ","# &amp; #"),"# &amp; # ","# &amp; #"),CONCATENATE("#DEPASSE DEPUIS ",TABLEAU!$M$59," #"),"#"),"# &amp; ##","# &amp; #"),"DANS  (MAINTENANT","MAINTENANT")))</f>
        <v>#DANS 3 JOURS (MARDI 5 NOVEMBRE A 18H50 SUR TFX): [TELE-REALITE]#</v>
      </c>
      <c r="V59" s="191" t="str">
        <f ca="1">UPPER(TRIM(SUBSTITUTE(SUBSTITUTE(IF(OR(TABLEAU!$C$59="",TABLEAU!$D$59="",MARDI.DANS&lt;&gt;""),"",TABLEAU!$J$59),JOUR.PLUS,""),"DANS  MAINTENANT","MAINTENANT")))</f>
        <v/>
      </c>
      <c r="W59" s="221" t="str">
        <f>UPPER(IF(TABLEAU!$C$59=0,"",TABLEAU!$C$59))</f>
        <v>(A 18H50 SUR TFX): [TELE-REALITE]</v>
      </c>
      <c r="X59" s="780"/>
      <c r="Y59" s="227" t="str">
        <f ca="1">IF(OR(TODAY&lt;&gt;"MARDI",TABLEAU!$C$59=""),"",IF(OR(TABLEAU!$C$59="",TABLEAU!$D$59=""),"",HOUR(TABLEAU!$D$59)))</f>
        <v/>
      </c>
      <c r="Z59" s="227" t="str">
        <f ca="1">IF(TABLEAU!$AM$59&lt;&gt;""," ",IF(OR(TODAY&lt;&gt;"MARDI",TABLEAU!$C$59="",TABLEAU!$D$59="")," ",IF(MINUTE(TABLEAU!$D$59)&lt;10,CONCATENATE(HOUR(TABLEAU!$D$59),"H0",MINUTE(TABLEAU!$D$59)),IF(MINUTE(TABLEAU!$D$59)&gt;9,CONCATENATE(HOUR(TABLEAU!$D$59),"H",MINUTE(TABLEAU!$D$59))))))</f>
        <v xml:space="preserve"> </v>
      </c>
      <c r="AA59" s="253" t="str">
        <f ca="1">TRIM(SUBSTITUTE(SUBSTITUTE(SUBSTITUTE(SUBSTITUTE(IF(TABLEAU!$P$59="#DEPASSE#",TABLEAU!$AB$59,TABLEAU!$U$59),"# ","#"),"#&amp; #","# &amp; #"),"DANS (MAINTENANT","MAINTENANT"),SUBSTITUTE(SUBSTITUTE(CONCATENATE("#",TABLEAU!$H$59,"",TABLEAU!$H$59)," 0"," ")," 0"," "),SUBSTITUTE(TABLEAU!$H$59," 0"," ")))</f>
        <v>DANS 3 JOURS (MARDI 5 NOVEMBRE A 18H50 SUR TFX): [TELE-REALITE]</v>
      </c>
      <c r="AB59" s="227" t="str">
        <f ca="1">UPPER(TRIM(SUBSTITUTE(SUBSTITUTE(SUBSTITUTE(SUBSTITUTE(SUBSTITUTE(SUBSTITUTE(TABLEAU!$K$59,CONCATENATE(LOOKUP(MONTH(A),MOIS)," (A"),CONCATENATE(LOOKUP(MONTH(A),MOIS)," A ")),CONCATENATE(LOOKUP(MONTH(A)+1,MOIS)," (A"),CONCATENATE(LOOKUP(MONTH(A)+1,MOIS)," A ")),CONCATENATE("(",YEAR(MARDI.DATE)),""),"] &amp; DANS","]# &amp; #DANS"),"DANS MAINTENANT","MAINTENANT"),SUBSTITUTE(CONCATENATE("#",SUBSTITUTE(TABLEAU!$H$59,"(",""),"#",TABLEAU!$H$59)," 0"," "),SUBSTITUTE(TABLEAU!$H$59," 0"," "))))</f>
        <v/>
      </c>
      <c r="AC59" s="682" t="str">
        <f ca="1">SUBSTITUTE(IF(AND(TABLEAU!$P$59="#DEPASSE#",TABLEAU!$U$59=TABLEAU!$AM$1),TABLEAU!$B$33,IF(TABLEAU!$P$59="#DEPASSE#",TABLEAU!$U$59,"")),CONCATENATE(DATE.RDV.TV," A "),"A ")</f>
        <v/>
      </c>
      <c r="AD59" s="1825" t="str">
        <f ca="1">CONCATENATE(LOOKUP(WEEKDAY(MARDI.DATE),SEMAINE)," ",DAY(MARDI.DATE)," ",LOOKUP(MONTH(MARDI.DATE),MOIS)," ")</f>
        <v xml:space="preserve">MARDI 5 NOVEMBRE </v>
      </c>
      <c r="AE59" s="192" t="str">
        <f ca="1">UPPER(TRIM(SUBSTITUTE(SUBSTITUTE(SUBSTITUTE(SUBSTITUTE(SUBSTITUTE(SUBSTITUTE(SUBSTITUTE(SUBSTITUTE(SUBSTITUTE(SUBSTITUTE(SUBSTITUTE(SUBSTITUTE(SUBSTITUTE(SUBSTITUTE(SUBSTITUTE(SUBSTITUTE(SUBSTITUTE(SUBSTITUTE(SUBSTITUTE(SUBSTITUTE(SUBSTITUTE(SUBSTITUTE(SUBSTITUTE(SUBSTITUTE(IF(TABLEAU!$P$59="#DEPASSE#",TABLEAU!$J$59,IF(TABLEAU!$C$59="","",TRIM(SUBSTITUTE(SUBSTITUTE(SUBSTITUTE(SUBSTITUTE(SUBSTITUTE(SUBSTITUTE(SUBSTITUTE(IF(TABLEAU!$L$59="#DEPASSE DEPUIS ",MODIF,IF(TABLEAU!$I$59=SUBSTITUTE(DEPP,"#",""),DEPP,SUBSTITUTE(SUBSTITUTE(SUBSTITUTE(SUBSTITUTE(SUBSTITUTE(SUBSTITUTE(SUBSTITUTE(SUBSTITUTE(SUBSTITUTE(SUBSTITUTE(SUBSTITUTE(SUBSTITUTE(SUBSTITUTE(SUBSTITUTE(SUBSTITUTE(SUBSTITUTE(SUBSTITUTE(SUBSTITUTE(TABLEAU!$AB$59,CONCATENATE(TABLEAU!$K$59," A "),CONCATENATE(TABLEAU!$K$59," (A ")),"JANVIER (","JANVIER "),"FEVRIER (","FEVRIER "),"MARS (","MARS "),"AVRIL (","AVRIL "),"MAI (","MAI "),"JUIN (","JUIN "),"JUILLET (","JUILLET "),"AOUT (","AOUT "),"SEPTEMBRE (","SEPTEMBRE "),"OCTOBRE (","OCTOBRE "),"NOVEMBRE (","NOVEMBRE "),"DECEMBRE (","DECEMBRE "),CONCATENATE(" &amp; ",TABLEAU!$K$59," (")," &amp; "),CONCATENATE(" &amp;",TABLEAU!$L$59,"(")," &amp; ")," &amp; ("," &amp; "),CONCATENATE(TABLEAU!$K$59," (A ",TABLEAU!$AC$59,"): HIER"),"DEPASSE DEPUIS HIER")," &amp; A"," &amp; (A"))),"(A ",CONCATENATE("(",DATE.RDV.TV," A ")),"((","("),CONCATENATE(DATE.RDV.TV," ("),""),CONCATENATE(DATE.RDV.TV," A "),"A "),CONCATENATE(YEAR(A)," (A"),"A"),CONCATENATE(TABLEAU!$L$59," (DEPASSE"),"DEPASSE"),CONCATENATE("DEPASSE",TABLEAU!$L$59,"(",LOOKUP(WEEKDAY(MARDI.DATE),SEMAINE)," ",DAY(MARDI.DATE)," ",LOOKUP(MONTH(MARDI.DATE),MOIS)," A"),"DEPASSE DEPUIS")))),"#&amp; ","# &amp; #"),"DANS (A","MAINTENANT (A"),"DANS (MATCH","DANS MATCH"),CONCATENATE("(DEMAIN= ",DIF.L1," ~ "),""),CONCATENATE("(DEMAIN= ",DIF.LDC," ~ "),""),CONCATENATE("(DEMAIN= ",DIF.UEFA," ~ "),""),CONCATENATE("(DEMAIN= ",DIF.FRANCE," ~ "),""),CONCATENATE("(DEMAIN= ",DIF.LIGUE," ~ "),""),CONCATENATE("(DEMAIN= ",DIF.GP," ~ "),""),CONCATENATE("(DEMAIN= ",DIF.MONDIAL," ~ "),""),CONCATENATE("(DEMAIN= ",DIF.EURO," ~ "),""),CONCATENATE("(DEMAIN= ",DIF.CONFEDERATIONS," ~ "),""),CONCATENATE(TABLEAU!$K$3," A"),"A"),"MARDI A","A"),"MERCREDI A","A"),"JEUDI A","A"),"VENDREDI A","A"),"SAMEDI A","A"),"DIMANCHE A","A"),"00H","0H"),"DEPUIS DEPUIS",CONCATENATE("DEPUIS ",TABLEAU!$M$59)),"] &amp;D","]# &amp; #D"),"A 2A",CONCATENATE("A ",TABLEAU!$Y59,"H",TABLEAU!$F$59))," )",")")))</f>
        <v/>
      </c>
      <c r="AF59" s="985" t="str">
        <f ca="1">IF(TODAY&lt;&gt;"MARDI"," ",IF(TABLEAU!$D$59="","",H.M-TABLEAU!$D$59))</f>
        <v xml:space="preserve"> </v>
      </c>
      <c r="AG59" s="985" t="str">
        <f ca="1">IF(TABLEAU!$B$59="","",IF(TABLEAU!$I$59&lt;&gt;0,"",IF(TODAY&lt;&gt;"MARDI","",IF(TABLEAU!$AF$59=" ","",IF(TABLEAU!$AF$59="","",IF(AND(HOUR(TABLEAU!$AF$59)&gt;0,MINUTE(TABLEAU!$AF$59)&lt;10),CONCATENATE(HOUR(TABLEAU!$AF$59),"H0",MINUTE(TABLEAU!$AF$59)),IF(AND(HOUR(TABLEAU!$AF$59)&gt;0,MINUTE(TABLEAU!$AF$59)&gt;9),CONCATENATE(HOUR(TABLEAU!$AF$59),"H",MINUTE(TABLEAU!$AF$59)),CONCATENATE(MINUTE(TABLEAU!$AF$59)," MIN"))))))))</f>
        <v/>
      </c>
      <c r="AH59" s="985" t="str">
        <f ca="1">IF(TABLEAU!$I$59="","",IF(MINUTE(TABLEAU!$I$59)&gt;9,CONCATENATE(HOUR(TABLEAU!$I$59),"H",MINUTE(TABLEAU!$I$59)),CONCATENATE(HOUR(TABLEAU!$I$59),"H0",MINUTE(TABLEAU!$I$59))))</f>
        <v/>
      </c>
      <c r="AI59" s="1641" t="str">
        <f ca="1">SUBSTITUTE(SUBSTITUTE(CONCATENATE(MARDI.TV.1,MARDI.TV.2,MARDI.TV.3,MARDI.TV.4),"##","# &amp; #"),CONCATENATE(" &amp; #",MARDI.DANS," (",MARDI.VERIFIER)," &amp; #(")</f>
        <v>#DANS 3 JOURS (MARDI 5 NOVEMBRE A 18H50 SUR TFX): [TELE-REALITE]# &amp; #(A 19H50 SUR W9): [LES MARSEILLAIS]# &amp; #(A 21H05 SUR TF1): [S.W.A.T]#</v>
      </c>
      <c r="AJ59" s="76" t="str">
        <f ca="1">IF(TABLEAU!$B$59="","",TABLEAU!$P$59)</f>
        <v/>
      </c>
      <c r="AK59" s="76" t="str">
        <f ca="1">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O$59,"DEPASSE","&amp;&amp;&amp;"),"A",""),"B",""),"C",""),"D",""),"E",""),"F",""),"G",""),"H",""),"I",""),"J",""),"K",""),"L",""),"M",""),"N",""),"O",""),"P",""),"Q",""),"R",""),"S",""),"T",""),"U",""),"V",""),"W",""),"X",""),"Y",""),"Z",""),"0",""),"1",""),"2",""),"3",""),"4",""),"5",""),"6",""),"7",""),"8",""),"9",""),":",""),"(",""),")",""),"[",""),"]","")," ",""))</f>
        <v/>
      </c>
      <c r="AL59" s="636" t="str">
        <f ca="1">UPPER(IF(DATE.RDV.TV&lt;&gt;"MARDI","",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B$59,"DEPASSE ","¤¤"),"A",""),"B",""),"C",""),"D",""),"E",""),"F",""),"G",""),"H",""),"I",""),"J",""),"K",""),"L",""),"M",""),"N",""),"O",""),"P",""),"Q",""),"R",""),"S",""),"T",""),"U",""),"V",""),"W",""),"X",""),"Y",""),"Z",""),"1",""),"2",""),"3",""),"4",""),"5",""),"6",""),"7",""),"8",""),"9",""),"0",""),"-",""),"(",""),")",""),"{",""),"}",""),"=",""),"[",""),"]",""),"#",""),"+",""),":",""),"/",""),"'",""),".","")," &amp; ","")," ° ",""))))</f>
        <v/>
      </c>
      <c r="AM59" s="834" t="str">
        <f ca="1">UPPER(IF(DATE.RDV.TV&lt;&gt;"MARDI","",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C$59,"CHAMPIONNAT","¤"),"LDC","¤¤"),"UEFA","¤¤¤"),"FRANCE","¤¤¤¤"),"LIGUE","¤¤¤¤¤"),"GP","¤¤¤¤¤¤"),"MONDIAL","¤¤¤¤¤¤¤"),"EURO","¤¤¤¤¤¤¤¤"),"CONFEDERATIONS","¤¤¤¤¤¤¤¤¤"),"A",""),"B",""),"C",""),"D",""),"E",""),"F",""),"G",""),"H",""),"I",""),"J",""),"K",""),"L",""),"M",""),"N",""),"O",""),"P",""),"Q",""),"R",""),"S",""),"T",""),"U",""),"V",""),"W",""),"X",""),"Y",""),"Z",""),"1",""),"2",""),"3",""),"4",""),"5",""),"6",""),"7",""),"8",""),"9",""),"0",""),"-",""),"(",""),")",""),"{",""),"}",""),"=",""),"[",""),"]",""),"#",""),"+",""),":",""),"/",""),"'",""),".","")," &amp; ","")," ° ",""),"~",""))))</f>
        <v/>
      </c>
      <c r="AN59" s="1616" t="str">
        <f ca="1">IF(OR(TABLEAU!$A$59="#DEPASSE#",TABLEAU!$P$59="#DEPASSE#"),TABLEAU!$B$59,"")</f>
        <v/>
      </c>
      <c r="AO59" s="1617"/>
      <c r="AP59" s="1617"/>
      <c r="AQ59" s="1617"/>
      <c r="AR59" s="1617"/>
      <c r="AS59" s="1617"/>
      <c r="AT59" s="1617"/>
      <c r="AU59" s="1617"/>
      <c r="AV59" s="1617"/>
      <c r="AW59" s="1617"/>
      <c r="AX59" s="1618"/>
      <c r="AY59" s="1243">
        <f ca="1">IF(AND(TABLEAU!$C$59&lt;&gt;"",TABLEAU!$B$59=""),1,0)</f>
        <v>0</v>
      </c>
      <c r="AZ59" s="2576"/>
      <c r="BA59" s="2577"/>
    </row>
    <row r="60" spans="1:53" ht="12" customHeight="1">
      <c r="A60" s="1508" t="str">
        <f ca="1">IF(TABLEAU!$B$60="","",IF(OR(TABLEAU!$AL$60="¤¤",TABLEAU!$P$60&lt;&gt;""),"#DEPASSE#",SUBSTITUTE(IF(OR(MARDI.2="",TABLEAU!$C$60=""),"",IF(AND(TODAY="MARDI",HOUR((H.M))&gt;HOUR(MARDI.2),MINUTE((H.M))&gt;MINUTE(MARDI.2)),"",IF(TODAY&lt;&gt;"MARDI","",IF(HOUR(TABLEAU!$I$60)&gt;0,CONCATENATE("DANS ",HOUR(TABLEAU!$I$60),"H",TABLEAU!$N$60),CONCATENATE("DANS ",HOUR(TABLEAU!$I$60),"H",TABLEAU!$N$60," MIN")))))," 0H"," ")))</f>
        <v/>
      </c>
      <c r="B60" s="1512" t="str">
        <f ca="1">SUBSTITUTE(SUBSTITUTE(SUBSTITUTE(IF(OR(TABLEAU!$C60,TABLEAU!$D60=""),"",SUBSTITUTE(SUBSTITUTE(SUBSTITUTE(SUBSTITUTE(SUBSTITUTE(SUBSTITUTE(SUBSTITUTE(SUBSTITUTE(SUBSTITUTE(SUBSTITUTE(SUBSTITUTE(SUBSTITUTE(SUBSTITUTE(SUBSTITUTE(SUBSTITUTE(SUBSTITUTE(SUBSTITUTE(SUBSTITUTE(SUBSTITUTE(SUBSTITUTE(SUBSTITUTE(SUBSTITUTE(SUBSTITUTE(SUBSTITUTE(IF(TABLEAU!$C60="","",SUBSTITUTE(IF(TABLEAU!$AE60="",TABLEAU!$U60,TABLEAU!$AE60),CONCATENATE(CVB,YEAR(A)," "),""))," #"," "),"] &amp; D","]# &amp; #D")," &amp; (A",CONCATENATE("# &amp; #",TABLEAU!$H60,"A")),"&amp; DEPASSE","&amp; #DEPASSE"),"## &amp; #A","# &amp; #(A"),"DANS MAINTENANT","MAINTENANT"),CONCATENATE(" H",TABLEAU!$N60),CONCATENATE(" ",TABLEAU!$N60," MIN"))," 0"," "),"] &amp;D","]# &amp; #D"),"}  MIN","} H"),"# &amp; D","# &amp; #D"),CONCATENATE("#MAINTENANT (A ",TABLEAU!$Z60,"): MAINTENANT"),"#MAINTENANT"),TABLEAU!$AB$2,""),TABLEAU!$AM$5,"")," MINAMILTON","HAMILTON"),CONCATENATE(TABLEAU!$Z60," ",TABLEAU!$Z60),TABLEAU!$Z60),"DEPUIS  MINIER","DEPUIS HIER"),"MINONGRIE","HONGRIE"),"#DANS (#DEPASSE","#DEPASSE"),CONCATENATE(" ",YEAR(A)),""),"]= [","= ["),")])",")]"),"#DEPASSE DEPUISDANS","#DANS"),"(A 1A ):",CONCATENATE("(A ",HOUR(TABLEAU!$D60),"H",TABLEAU!$F60,"):"))),"SUR "," SUR "),"  SUR "," SUR "),CONCATENATE("DEPASSE DEPUIS ",TABLEAU!$M60," (A DANS"),"DANS")</f>
        <v>#DANS 3 JOURS (MARDI 5 NOVEMBRE A 19H50 SUR W9): [LES MARSEILLAIS]#</v>
      </c>
      <c r="C60" s="631" t="s">
        <v>170</v>
      </c>
      <c r="D60" s="632">
        <v>0.82638888888888884</v>
      </c>
      <c r="E60" s="2640">
        <f>IF(TABLEAU!$D60="","",IF(TABLEAU!$D60="23:59","",HOUR(TABLEAU!$D60)))</f>
        <v>19</v>
      </c>
      <c r="F60" s="2641" t="str">
        <f>IF(OR(TABLEAU!$D$61="",TABLEAU!$D$61="23:59"),"59",IF(MINUTE(TABLEAU!$D$61)&lt;10,CONCATENATE("0",MINUTE(TABLEAU!$D$61)),CONCATENATE(MINUTE(TABLEAU!$D$61))))</f>
        <v>05</v>
      </c>
      <c r="G60" s="578" t="str">
        <f ca="1">UPPER(SUBSTITUTE(SUBSTITUTE(SUBSTITUTE(IF(TABLEAU!$D$60="","",SUBSTITUTE(SUBSTITUTE(SUBSTITUTE(SUBSTITUTE(SUBSTITUTE(SUBSTITUTE(SUBSTITUTE(SUBSTITUTE(SUBSTITUTE(SUBSTITUTE(SUBSTITUTE(SUBSTITUTE(SUBSTITUTE(SUBSTITUTE(SUBSTITUTE(IF(OR(TABLEAU!$D$60="",TABLEAU!$C$60=""),"",IF(AND(TODAY="MARDI",HOUR((H.M))&gt;HOUR(TABLEAU!$D$60),MINUTE((H.M))&gt;MINUTE(TABLEAU!$D$60)),CONCATENATE("#DEPASSE DEPUIS",TABLEAU!$M$60," ",TABLEAU!$C$60,"#"),IF(TABLEAU!$P$60&lt;&gt;"",CONCATENATE("#DEPASSE DEPUIS",TABLEAU!$M$60," ",TABLEAU!$C$60,"#"),IF(TODAY&lt;&gt;"MARDI",CONCATENATE("#",MARDI.DANS," (MARDI ",DAY(MARDI.DATE)," ",LOOKUP(MONTH(MARDI.DATE),MOIS)," A ",HOUR(TABLEAU!$D$60),"H",TABLEAU!$F$60,"): ",TABLEAU!$C$60,"#"),CONCATENATE("#",TABLEAU!$L$60," (A ",TABLEAU!$Z$60,"): ",SUBSTITUTE(TABLEAU!$C$60,"#",""),"#"))))),CONCATENATE(LOOKUP(MONTH(MARDI.DATE),MOIS)," (A"),CONCATENATE(LOOKUP(MONTH(MARDI.DATE),MOIS)," A")),"##","#"),CONCATENATE("#DEPASSE DEPUIS  (A ): ",TABLEAU!$C$60,"#"),""),CONCATENATE("(A ",TABLEAU!$E$60,"H",TABLEAU!$X$60,"): "),""),CONCATENATE(TABLEAU!$L$60," DEPUIS"),"DEPASSE DEPUIS"),CONCATENATE("A ",HOUR(TABLEAU!$D$60),"H",TABLEAU!$F$60,"): (A ",HOUR(TABLEAU!$D$60),"H",TABLEAU!$F$60),CONCATENATE("A ",HOUR(TABLEAU!$D$60),"H",TABLEAU!$F$60)),"#DEPASSEDEPASSE","#DEPASSE"),"# (",CONCATENATE("#",TABLEAU!$H$60)),CONCATENATE("A ",SUBSTITUTE(TABLEAU!$M$33,":","H"),"): ~ (A ",SUBSTITUTE(TABLEAU!$M$33,":","H")),CONCATENATE("A ",SUBSTITUTE(TABLEAU!$M$33,":","H"))),CONCATENATE("#DEPASSE ",TABLEAU!$M$60,"#D"),"#D")," D"," #D"),"#DEPUIS","DEPUIS"),"COURS ","COURS# "),"#DE ","DE "),"GP #D","GP D")),"# &amp; #",CONCATENATE("# &amp; #DEPASSE DEPUIS",TABLEAU!$M$60," ")),"] &amp; (",CONCATENATE("]# &amp; DANS ",TABLEAU!$AH$60," ("))," 0"," "))</f>
        <v>#DANS 3 JOURS (MARDI 5 NOVEMBRE A 19H05): (A 19H50 SUR W9): [LES MARSEILLAIS]#</v>
      </c>
      <c r="H60" s="552" t="str">
        <f ca="1">SUBSTITUTE(IF(OR(DATE.RDV.TV&lt;&gt;"MARDI",TABLEAU!$C$60=""),"",IF(HOUR(TABLEAU!$I$60)=0,CONCATENATE("DANS ",TABLEAU!$N$60," MIN ("),CONCATENATE("DANS ",HOUR(TABLEAU!$I$60),"H",TABLEAU!$N$60," ("))),"DANS  MIN (","")</f>
        <v/>
      </c>
      <c r="I60" s="412" t="str">
        <f ca="1">IF(OR(TODAY&lt;&gt;"MARDI",TABLEAU!$C$60=""),"",IF(OR(TABLEAU!$D$60="",TABLEAU!$P$60="#DEPASSE#",TODAY&lt;&gt;"MARDI"),0,IF(HOUR((H.M))&gt;HOUR(TABLEAU!$D$60),0,TABLEAU!$D$60-H.M)))</f>
        <v/>
      </c>
      <c r="J60" s="413" t="str">
        <f ca="1">SUBSTITUTE(SUBSTITUTE(SUBSTITUTE(IF(TABLEAU!$I$60="","",SUBSTITUTE(SUBSTITUTE(SUBSTITUTE(SUBSTITUTE(SUBSTITUTE(SUBSTITUTE(SUBSTITUTE(SUBSTITUTE(SUBSTITUTE(SUBSTITUTE(SUBSTITUTE(SUBSTITUTE(SUBSTITUTE(SUBSTITUTE(SUBSTITUTE(SUBSTITUTE(SUBSTITUTE(SUBSTITUTE(SUBSTITUTE(SUBSTITUTE(IF(DATE.DEPASSE&lt;0,TABLEAU!$U$60,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G60,"  "," "),CONCATENATE("(A ",TABLEAU!$Z$60,"): (A ",TABLEAU!$Z$60),CONCATENATE("(A ",TABLEAU!$Z$60)),CONCATENATE("#DEPASSE",TABLEAU!$M$60,"#DEPASSE",TABLEAU!$M$60),CONCATENATE("#DEPASSE",TABLEAU!$M$60)),CONCATENATE("#DEPASSE",TABLEAU!$L$60,"DEPASSE"),"#DEPASSE"),CONCATENATE(TABLEAU!$L$60," (A ",TABLEAU!$Z$60,"): DEPUIS"),"DEPASSE DEPUIS")," 1 "," 1ER "),"DEPASSE DEPUIS DEPASSE DEPUIS","DEPASSE DEPUIS"),CONCATENATE("DEPASSE ",TRIM(TABLEAU!$L$60)," DEPASSE ",TRIM(TABLEAU!$L$60)),CONCATENATE("DEPASSE ",TRIM(TABLEAU!$L$60))),"1ER MIN","1 MIN"),"1ER ERREUR","1 ERREUR"),CONCATENATE("(A ",TABLEAU!$Z$60,"): (A ",TABLEAU!$E$60,":",TABLEAU!$F$60),CONCATENATE("(A ",TABLEAU!$Z$60))," (A ):",""),"DEPASSE DEPUIS (",TABLEAU!$H$60),"] &amp; D","]# &amp; #D"),CONCATENATE("#DEPASSE",TABLEAU!$M$60,"DEPASSE"),"#DEPASSE")," [","): ["),"):):","):"),"DEPUIS ",TABLEAU!$L$60),CONCATENATE(SUBSTITUTE(TABLEAU!$M$60,"DEPUIS ",""))," "),"DEPUIS",CONCATENATE(TABLEAU!$M$60," (",MARDI.VERIFIER," A ")),SUBSTITUTE(TABLEAU!$M$60,"DEPUIS","A"),""),"DEPASSE  ","DEPASSE"),"  A "," A"),"  "," "),TRIM(SUBSTITUTE(TABLEAU!$M$60," DEPUIS ","A ")),"EEE"),"EEE",CONCATENATE("A ",TABLEAU!$Z$60)),CONCATENATE("DEPASSE ",TABLEAU!$L$60,"HIER"),"DEPASSE DEPUIS HIER"),"DEPASSEDEPASSE","DEPASSE DEPUIS "),CONCATENATE(" A ",TABLEAU!$Z$59," (A ",TABLEAU!$Z$59),CONCATENATE(" A ",TABLEAU!$Z$59)),CONCATENATE("A ",TABLEAU!$Z$60," ",TABLEAU!$C$60),TABLEAU!$C$60),CONCATENATE(MOIS.MAINTENANT.2," (A"),CONCATENATE(MOIS.MAINTENANT.2," A")),"#DEPASSE #DEPASSEDEPUIS","#DEPASSE DEPUIS"),"A (A","A"),CONCATENATE(TABLEAU!$L$60," DEPASSE"),"DEPASSE"),"DEPASSE (",CONCATENATE("DEPASSE DEPUIS ",TABLEAU!$Q$60," (")),"''MIN","MIN"),"=):","]="),CONCATENATE("#DEPASSE ",TABLEAU!$Q$60),CONCATENATE("#DEPASSE DEPUIS ",TABLEAU!$Q$60)),"DEPASSE","DEPASSE DEPUIS"),"DEPUIS DEPUIS","DEPUIS")),"US A","USA"),CONCATENATE("DEPASSE DEPUIS ",TABLEAU!$Q$60,"DEPASSE DEPUIS ",TABLEAU!$Q$60),CONCATENATE("DEPASSE DEPUIS ",TABLEAU!$Q$60)),CONCATENATE("#DEPASSE DEPUIS ",TABLEAU!$Q$60," #DEPASSE DEPUIS ",TABLEAU!$Q$60),CONCATENATE("#DEPASSE DEPUIS ",TABLEAU!$Q$60)),"#DEPASSE DEPUIS #DEPASSE DEPUIS","#DEPASSE DEPUIS"),CONCATENATE("): ",MARDI.DANS," (A ",TABLEAU!$E$60,"H",TABLEAU!$F$60),"")," &amp; D"," &amp; #D"),CONCATENATE(MARDI.DANS," (MARDI ",DAY(MARDI.DATE)," ",LOOKUP(MONTH(MARDI.DATE),MOIS)," A ",TABLEAU!$E$60,"H",TABLEAU!$F$60,"): DANS"),"DANS"),CONCATENATE(MARDI.DANS," (MARDI ",DAY(MARDI.DATE)," ",LOOKUP(MONTH(MARDI.DATE),MOIS)," A ",TABLEAU!$E$60,"H",TABLEAU!$F$60,"): ",MARDI.DANS,"= ",TABLEAU!$AN$23,"(A ",TABLEAU!$E$60,"H",TABLEAU!$F$60),CONCATENATE(MARDI.DANS,"= ",TABLEAU!$AN$23," (MARDI ",DAY(MARDI.DATE)," ",LOOKUP(MONTH(MARDI.DATE),MOIS)," A ",TABLEAU!$E$60,"H",TABLEAU!$F$60)),CONCATENATE(MARDI.DANS," (MARDI ",DAY(MARDI.DATE)," ",LOOKUP(MONTH(MARDI.DATE),MOIS)," A ",TABLEAU!$E$60,"H",TABLEAU!$F$60,"): DANS"),"DANS"),"# (",CONCATENATE("#",TABLEAU!$H$60)),"DANS 0","DANS "),"# ~ ",CONCATENATE("#",FICHIER.A.MODIFIER," ~ ")),CONCATENATE("A ",SUBSTITUTE(TABLEAU!$M$33,":","H"),"): ~ (A ",SUBSTITUTE(TABLEAU!$M$33,":","H")),CONCATENATE("A ",SUBSTITUTE(TABLEAU!$M$33,":","H"))),CONCATENATE("(A ",TABLEAU!$Z$60,"): ~ (A"),"(A"),"DANS 0 MIN","MAINTENANT"),"DEPUIS(",CONCATENATE("DEPUIS ",TABLEAU!$M$60," (")),"DEPUIS DEPUIS  (A",CONCATENATE("DEPUIS ",TABLEAU!$M$60," (A")),"(A 1 ",CONCATENATE("(A ",TABLEAU!$E$60,":00")),"#A",CONCATENATE("#DANS ",HOUR(TABLEAU!$I$60),"H",TABLEAU!$N$60," (A")),"DEPUIS DEPUIS",CONCATENATE("DEPUIS ",TABLEAU!$M$60))),"]#D","]# &amp; #D"),"DEPUIS =",CONCATENATE("DEPUIS ",TABLEAU!$M$60)),"DANS  MAINTENANT","MAINTENANT")</f>
        <v/>
      </c>
      <c r="K60" s="414" t="str">
        <f ca="1">TRIM(SUBSTITUTE(SUBSTITUTE(SUBSTITUTE(SUBSTITUTE(SUBSTITUTE(SUBSTITUTE(SUBSTITUTE(SUBSTITUTE(SUBSTITUTE(TABLEAU!$O$60,CONCATENATE("): (",TABLEAU!$W$60),""),CONCATENATE("A ",TABLEAU!$E$60,"H",TABLEAU!$X$60,"): ("),""),"(SUR",CONCATENATE("(A ",TABLEAU!$E$60,"H",TABLEAU!$X$60," SUR"))," &amp; (",CONCATENATE(" &amp; ",TABLEAU!$L$60," (")),"AUJOURD'HUI",""),"##","#"),"1ER MIN","1 MIN"),CONCATENATE("DEPASSE ",TRIM(TABLEAU!$L$60)," DEPASSE"),"DEPASSE")," (A ):",""))</f>
        <v/>
      </c>
      <c r="L60" s="415" t="str">
        <f ca="1">UPPER(IF(TABLEAU!$P$60&lt;&gt;"","",IF(TABLEAU!$P$60="","",IF(TABLEAU!$AM$60&lt;&gt;"","#DEPASSE DEPUIS ",IF(TODAY&lt;&gt;"MARDI","",IF(COUNTIF(ENCOURS,"#EN COURS#")&lt;&gt;0,"MAINTENANT",SUBSTITUTE(SUBSTITUTE(SUBSTITUTE(IF(OR(TABLEAU!$C$60="",TABLEAU!$D$60=""),"",IF(HOUR(TABLEAU!$I$60)=0,CONCATENATE("DANS ",TABLEAU!$N$60," MIN"),CONCATENATE("DANS ",HOUR(TABLEAU!$I$60),"H",TABLEAU!$N$60))),"DANS 0","DANS "),"DANS  MIN",TABLEAU!$M$60),"DANS 0 MIN","MAINTENANT")))))))</f>
        <v/>
      </c>
      <c r="M60" s="415" t="str">
        <f ca="1">IF(TODAY&lt;&gt;"MARDI","",SUBSTITUTE(IF(TABLEAU!$D$60="","",IF(TABLEAU!$AF$60=" ","",IF(TABLEAU!$D$60-H.M&gt;0,"",IF(AND(HOUR(TABLEAU!$AF$60)&gt;0,MINUTE(TABLEAU!$AF$60)&lt;10),CONCATENATE(" ",HOUR(TABLEAU!$AF$60),"H0",MINUTE(TABLEAU!$AF$60)),IF(AND(HOUR(TABLEAU!$AF$60)&gt;0,MINUTE(TABLEAU!$AF$60)&gt;9),CONCATENATE(" ",HOUR(TABLEAU!$AF$60),"H",MINUTE(TABLEAU!$AF$60)),CONCATENATE(" 0",MINUTE(TABLEAU!$AF$60)," MIN"))))))," 0",""))</f>
        <v/>
      </c>
      <c r="N60" s="415" t="str">
        <f ca="1">IF(TABLEAU!$D$60="","",IF(OR(TABLEAU!$C$60="",TODAY&lt;&gt;"MARDI"),"",IF(TABLEAU!$P$60="#DEPASSE#","",IF(HOUR((H.M))&gt;HOUR(TABLEAU!$D$60),"",IF(MINUTE(TABLEAU!$I$60)&lt;10,CONCATENATE("0",MINUTE(TABLEAU!$I$60)),MINUTE(TABLEAU!$I$60))))))</f>
        <v/>
      </c>
      <c r="O60" s="416" t="str">
        <f ca="1">UPPER(SUBSTITUTE(SUBSTITUTE(SUBSTITUTE(SUBSTITUTE(SUBSTITUTE(SUBSTITUTE(SUBSTITUTE(SUBSTITUTE(SUBSTITUTE(TABLEAU!$J$60,"DANS 0H","DANS "),"DANS 0","DANS "),CONCATENATE("(A ",TABLEAU!$E$60,"H",TABLEAU!$X$60,"): (",LOOKUP(WEEKDAY(MARDI.DATE),SEMAINE)," ",DAY(MARDI.DATE)," ",LOOKUP(MONTH(MARDI.DATE),MOIS)," A 20H00): "),CONCATENATE(TABLEAU!$L$60," (A ",TABLEAU!$E$60,"H",TABLEAU!$X$60,")")),"DEPUIS 0","DEPUIS "),"&amp; A","&amp; (A"),CONCATENATE("(",NBA),""),"#DEPASSE DEPUIS (A","(A"),"DANS  MAINTENANT","MAINTENANT"),"] &amp; #","]# &amp; #"))</f>
        <v/>
      </c>
      <c r="P60" s="424" t="str">
        <f ca="1">IF(OR(TABLEAU!$D$60="",TODAY&lt;&gt;"MARDI"),"",IF(AND(HOUR((H.M))=HOUR(TABLEAU!$D$60),MINUTE((H.M))&gt;MINUTE(TABLEAU!$D$60)),"#DEPASSE#",IF(HOUR((H.M))&gt;HOUR(TABLEAU!$D$60),"#DEPASSE#","")))</f>
        <v/>
      </c>
      <c r="Q60" s="415" t="str">
        <f ca="1">IF(OR(TABLEAU!$P$60="",TABLEAU!$S$60=""),"",IF(AND(HOUR(TABLEAU!$S$60)&gt;0,MINUTE(TABLEAU!$S$60)&lt;10),CONCATENATE(HOUR(TABLEAU!$S$60),"H0",MINUTE(TABLEAU!$S$60)),IF(AND(HOUR(TABLEAU!$S$60)=0,MINUTE(TABLEAU!$S$60)&lt;10),CONCATENATE(MINUTE(TABLEAU!$S$60)," MIN"),IF(AND(HOUR(TABLEAU!$S$60)&gt;0,MINUTE(TABLEAU!$S$60)&gt;9),CONCATENATE(HOUR(TABLEAU!$S$60),"H",MINUTE(TABLEAU!$S$60)),CONCATENATE(MINUTE(TABLEAU!$S$60)," MIN")))))</f>
        <v/>
      </c>
      <c r="R60" s="415" t="str">
        <f ca="1">UPPER(IF(OR(TABLEAU!$C$60="",TODAY&lt;&gt;"MARDI"),"",IF(OR(TABLEAU!$D$60="",TABLEAU!$D$60="23:59",TABLEAU!$C$60=""),"",IF(AND(TODAY="MARDI",HOUR(TABLEAU!$I$60)&lt;1,MINUTE(TABLEAU!$I$60)&lt;5,TABLEAU!$I$60&lt;&gt;"",TABLEAU!$I$60&lt;&gt;0),"BIENTOT",""))))</f>
        <v/>
      </c>
      <c r="S60" s="619" t="str">
        <f ca="1">IF(TABLEAU!$D$60="","",IF(TODAY&lt;&gt;"MARDI","",IF((H.M)&gt;TABLEAU!$D$60,"",(H.M)-TABLEAU!$D$60)))</f>
        <v/>
      </c>
      <c r="T60" s="2220"/>
      <c r="U60" s="414" t="str">
        <f ca="1">UPPER(TRIM(SUBSTITUTE(SUBSTITUTE(SUBSTITUTE(SUBSTITUTE(SUBSTITUTE(SUBSTITUTE(SUBSTITUTE(SUBSTITUTE(SUBSTITUTE(SUBSTITUTE(SUBSTITUTE(SUBSTITUTE(SUBSTITUTE(SUBSTITUTE(SUBSTITUTE(SUBSTITUTE(SUBSTITUTE(SUBSTITUTE(IF(TABLEAU!$D$60="","",SUBSTITUTE(SUBSTITUTE(SUBSTITUTE(SUBSTITUTE(SUBSTITUTE(SUBSTITUTE(SUBSTITUTE(SUBSTITUTE(SUBSTITUTE(SUBSTITUTE(SUBSTITUTE(SUBSTITUTE(SUBSTITUTE(SUBSTITUTE(SUBSTITUTE(IF(OR(TABLEAU!$C$60="",TABLEAU!$D$60=""),"",IF(AND(TODAY="MARDI",TABLEAU!$P$60&lt;&gt;""),CONCATENATE("#DEPASSE DEPUIS ",TABLEAU!$M$60," ",TABLEAU!$W$60,"#"),CONCATENATE("#",MARDI.DANS," ",TABLEAU!$H$60,TABLEAU!$C$60,"#"))),": =",":"),CONCATENATE(NBA,"("),""),CONCATENATE(LOOKUP(MONTH(MARDI.DATE),MOIS)," (A"),CONCATENATE(LOOKUP(MONTH(MARDI.DATE),MOIS)," A")),"1ER MIN","1 MIN"),"((","("),"##","#"),"# ","#"),CONCATENATE("#",TABLEAU!$H$60,"DEPUIS"),"#DEPASSE DEPUIS"),"DEMAIN (",CONCATENATE("DEMAIN (MARDI ",DAY(MARDI.DATE)," ",LOOKUP(MONTH(MARDI.DATE),MOIS)," ")),"JOURS (A ",CONCATENATE("JOURS (MARDI ",DAY(MARDI.DATE)," ",LOOKUP(MONTH(MARDI.DATE),MOIS)," A ")),"(A","(MARDI A"),"DANS 00 MIN","DANS "),"DANS 0","DANS "),"#&amp;","# &amp; "),"JOURS [",CONCATENATE("JOURS (",LOOKUP(WEEKDAY(MARDI.DATE),SEMAINE)," ",DAY(MARDI.DATE)," ",LOOKUP(MONTH(MARDI.DATE),MOIS)," A ",HOUR(TABLEAU!$D$60),"H",TABLEAU!$F$60,"): ["))),CONCATENATE(MARDI.DANS," ",MARDI.DANS),CONCATENATE(" ",MARDI.DANS)),"# ","#"),"#&amp; #","# &amp; #"),"US A","USA"),"(~ ("," ~ ("),"MARDI A ","A "),CONCATENATE("#",TABLEAU!$H$60,TABLEAU!$W$60),TABLEAU!$W$60),"DEMAINDANS","DEMAIN DANS"),"''(","'' ("),CONCATENATE("#DANS ",TRIM(TABLEAU!$AH$60)," (#DEPASSE "),"#DEPASSE "),"]#D","]# &amp; #D"),"(MATCH","MATCH"),"COURS &amp; D","COURS# &amp; #D"),"#&amp; ","# &amp; #"),"# &amp; # ","# &amp; #"),CONCATENATE("#DEPASSE DEPUIS ",TABLEAU!$M$60," #"),"#"),"# &amp; ##","# &amp; #"),"DANS  (MAINTENANT","MAINTENANT")))</f>
        <v>#DANS 3 JOURS (MARDI 5 NOVEMBRE A 19H50 SUR W9): [LES MARSEILLAIS]#</v>
      </c>
      <c r="V60" s="414" t="str">
        <f ca="1">UPPER(TRIM(SUBSTITUTE(SUBSTITUTE(IF(OR(TABLEAU!$C$60="",TABLEAU!$D$60="",MARDI.DANS&lt;&gt;""),"",TABLEAU!$J$60),JOUR.PLUS,""),"DANS  MAINTENANT","MAINTENANT")))</f>
        <v/>
      </c>
      <c r="W60" s="425" t="str">
        <f>UPPER(IF(TABLEAU!$C$60=0,"",TABLEAU!$C$60))</f>
        <v>(A 19H50 SUR W9): [LES MARSEILLAIS]</v>
      </c>
      <c r="X60" s="780"/>
      <c r="Y60" s="77" t="str">
        <f ca="1">IF(OR(TODAY&lt;&gt;"MARDI",TABLEAU!$C$60=""),"",IF(OR(TABLEAU!$C$60="",TABLEAU!$D$60=""),"",HOUR(TABLEAU!$D$60)))</f>
        <v/>
      </c>
      <c r="Z60" s="77" t="str">
        <f ca="1">IF(TABLEAU!$AM$60&lt;&gt;""," ",IF(OR(TODAY&lt;&gt;"MARDI",TABLEAU!$C$60="",TABLEAU!$D$60="")," ",IF(MINUTE(TABLEAU!$D$60)&lt;10,CONCATENATE(HOUR(TABLEAU!$D$60),"H0",MINUTE(TABLEAU!$D$60)),IF(MINUTE(TABLEAU!$D$60)&gt;9,CONCATENATE(HOUR(TABLEAU!$D$60),"H",MINUTE(TABLEAU!$D$60))))))</f>
        <v xml:space="preserve"> </v>
      </c>
      <c r="AA60" s="427" t="str">
        <f ca="1">TRIM(SUBSTITUTE(SUBSTITUTE(SUBSTITUTE(SUBSTITUTE(IF(TABLEAU!$P$60="#DEPASSE#",TABLEAU!$AB$60,TABLEAU!$U$60),"# ","#"),"#&amp; #","# &amp; #"),"DANS (MAINTENANT","MAINTENANT"),SUBSTITUTE(SUBSTITUTE(CONCATENATE("#",TABLEAU!$H$60,"",TABLEAU!$H$60)," 0"," ")," 0"," "),SUBSTITUTE(TABLEAU!$H$60," 0"," ")))</f>
        <v>DANS 3 JOURS (MARDI 5 NOVEMBRE A 19H50 SUR W9): [LES MARSEILLAIS]</v>
      </c>
      <c r="AB60" s="415" t="str">
        <f ca="1">UPPER(TRIM(SUBSTITUTE(SUBSTITUTE(SUBSTITUTE(SUBSTITUTE(SUBSTITUTE(SUBSTITUTE(TABLEAU!$K$60,CONCATENATE(LOOKUP(MONTH(A),MOIS)," (A"),CONCATENATE(LOOKUP(MONTH(A),MOIS)," A ")),CONCATENATE(LOOKUP(MONTH(A)+1,MOIS)," (A"),CONCATENATE(LOOKUP(MONTH(A)+1,MOIS)," A ")),CONCATENATE("(",YEAR(MARDI.DATE)),""),"] &amp; DANS","]# &amp; #DANS"),"DANS MAINTENANT","MAINTENANT"),SUBSTITUTE(CONCATENATE("#",SUBSTITUTE(TABLEAU!$H$60,"(",""),"#",TABLEAU!$H$60)," 0"," "),SUBSTITUTE(TABLEAU!$H$60," 0"," "))))</f>
        <v/>
      </c>
      <c r="AC60" s="683" t="str">
        <f ca="1">IF(TABLEAU!$P$60="#DEPASSE#",CONCATENATE(TABLEAU!$AC$59," &amp; ",TABLEAU!$B$60),TABLEAU!$AC$59)</f>
        <v/>
      </c>
      <c r="AD60" s="1826"/>
      <c r="AE60" s="416" t="str">
        <f ca="1">UPPER(TRIM(SUBSTITUTE(SUBSTITUTE(SUBSTITUTE(SUBSTITUTE(SUBSTITUTE(SUBSTITUTE(SUBSTITUTE(SUBSTITUTE(SUBSTITUTE(SUBSTITUTE(SUBSTITUTE(SUBSTITUTE(SUBSTITUTE(SUBSTITUTE(SUBSTITUTE(SUBSTITUTE(SUBSTITUTE(SUBSTITUTE(SUBSTITUTE(SUBSTITUTE(SUBSTITUTE(SUBSTITUTE(SUBSTITUTE(SUBSTITUTE(IF(TABLEAU!$P$60="#DEPASSE#",TABLEAU!$J$60,IF(TABLEAU!$C$60="","",TRIM(SUBSTITUTE(SUBSTITUTE(SUBSTITUTE(SUBSTITUTE(SUBSTITUTE(SUBSTITUTE(SUBSTITUTE(IF(TABLEAU!$L$60="#DEPASSE DEPUIS ",MODIF,IF(TABLEAU!$I$60=SUBSTITUTE(DEPP,"#",""),DEPP,SUBSTITUTE(SUBSTITUTE(SUBSTITUTE(SUBSTITUTE(SUBSTITUTE(SUBSTITUTE(SUBSTITUTE(SUBSTITUTE(SUBSTITUTE(SUBSTITUTE(SUBSTITUTE(SUBSTITUTE(SUBSTITUTE(SUBSTITUTE(SUBSTITUTE(SUBSTITUTE(SUBSTITUTE(SUBSTITUTE(TABLEAU!$AB$60,CONCATENATE(TABLEAU!$K$60," A "),CONCATENATE(TABLEAU!$K$60," (A ")),"JANVIER (","JANVIER "),"FEVRIER (","FEVRIER "),"MARS (","MARS "),"AVRIL (","AVRIL "),"MAI (","MAI "),"JUIN (","JUIN "),"JUILLET (","JUILLET "),"AOUT (","AOUT "),"SEPTEMBRE (","SEPTEMBRE "),"OCTOBRE (","OCTOBRE "),"NOVEMBRE (","NOVEMBRE "),"DECEMBRE (","DECEMBRE "),CONCATENATE(" &amp; ",TABLEAU!$K$60," (")," &amp; "),CONCATENATE(" &amp;",TABLEAU!$L$60,"(")," &amp; ")," &amp; ("," &amp; "),CONCATENATE(TABLEAU!$K$60," (A ",TABLEAU!$AC$60,"): HIER"),"DEPASSE DEPUIS HIER")," &amp; A"," &amp; (A"))),"(A ",CONCATENATE("(",DATE.RDV.TV," A ")),"((","("),CONCATENATE(DATE.RDV.TV," ("),""),CONCATENATE(DATE.RDV.TV," A "),"A "),CONCATENATE(YEAR(A)," (A"),"A"),CONCATENATE(TABLEAU!$L$60," (DEPASSE"),"DEPASSE"),CONCATENATE("DEPASSE",TABLEAU!$L$60,"(",LOOKUP(WEEKDAY(MARDI.DATE),SEMAINE)," ",DAY(MARDI.DATE)," ",LOOKUP(MONTH(MARDI.DATE),MOIS)," A"),"DEPASSE DEPUIS")))),"#&amp; ","# &amp; #"),"DANS (A","MAINTENANT (A"),"DANS (MATCH","DANS MATCH"),CONCATENATE("(DEMAIN= ",DIF.L1," ~ "),""),CONCATENATE("(DEMAIN= ",DIF.LDC," ~ "),""),CONCATENATE("(DEMAIN= ",DIF.UEFA," ~ "),""),CONCATENATE("(DEMAIN= ",DIF.FRANCE," ~ "),""),CONCATENATE("(DEMAIN= ",DIF.LIGUE," ~ "),""),CONCATENATE("(DEMAIN= ",DIF.GP," ~ "),""),CONCATENATE("(DEMAIN= ",DIF.MONDIAL," ~ "),""),CONCATENATE("(DEMAIN= ",DIF.EURO," ~ "),""),CONCATENATE("(DEMAIN= ",DIF.CONFEDERATIONS," ~ "),""),CONCATENATE(TABLEAU!$K$3," A"),"A"),"MARDI A","A"),"MERCREDI A","A"),"JEUDI A","A"),"VENDREDI A","A"),"SAMEDI A","A"),"DIMANCHE A","A"),"00H","0H"),"DEPUIS DEPUIS",CONCATENATE("DEPUIS ",TABLEAU!$M$60)),"] &amp;D","]# &amp; #D"),"A 2A",CONCATENATE("A ",TABLEAU!$Y60,"H",TABLEAU!$F$60))," )",")")))</f>
        <v/>
      </c>
      <c r="AF60" s="982" t="str">
        <f ca="1">IF(TODAY&lt;&gt;"MARDI"," ",IF(TABLEAU!$D$60="","",H.M-TABLEAU!$D$60))</f>
        <v xml:space="preserve"> </v>
      </c>
      <c r="AG60" s="982" t="str">
        <f ca="1">IF(TABLEAU!$B$60="","",IF(TABLEAU!$I$60&lt;&gt;0,"",IF(TODAY&lt;&gt;"MARDI","",IF(TABLEAU!$AF$60=" ","",IF(TABLEAU!$AF$60="","",IF(AND(HOUR(TABLEAU!$AF$60)&gt;0,MINUTE(TABLEAU!$AF$60)&lt;10),CONCATENATE(HOUR(TABLEAU!$AF$60),"H0",MINUTE(TABLEAU!$AF$60)),IF(AND(HOUR(TABLEAU!$AF$60)&gt;0,MINUTE(TABLEAU!$AF$60)&gt;9),CONCATENATE(HOUR(TABLEAU!$AF$60),"H",MINUTE(TABLEAU!$AF$60)),CONCATENATE(MINUTE(TABLEAU!$AF$60)," MIN"))))))))</f>
        <v/>
      </c>
      <c r="AH60" s="982" t="str">
        <f ca="1">IF(TABLEAU!$I$60="","",IF(MINUTE(TABLEAU!$I$60)&gt;9,CONCATENATE(HOUR(TABLEAU!$I$60),"H",MINUTE(TABLEAU!$I$60)),CONCATENATE(HOUR(TABLEAU!$I$60),"H0",MINUTE(TABLEAU!$I$60))))</f>
        <v/>
      </c>
      <c r="AI60" s="1642"/>
      <c r="AJ60" s="78" t="str">
        <f ca="1">IF(TABLEAU!$B$60="","",TABLEAU!$P$60)</f>
        <v/>
      </c>
      <c r="AK60" s="78" t="str">
        <f ca="1">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O$60,"DEPASSE","&amp;&amp;&amp;"),"A",""),"B",""),"C",""),"D",""),"E",""),"F",""),"G",""),"H",""),"I",""),"J",""),"K",""),"L",""),"M",""),"N",""),"O",""),"P",""),"Q",""),"R",""),"S",""),"T",""),"U",""),"V",""),"W",""),"X",""),"Y",""),"Z",""),"0",""),"1",""),"2",""),"3",""),"4",""),"5",""),"6",""),"7",""),"8",""),"9",""),":",""),"(",""),")",""),"[",""),"]","")," ",""))</f>
        <v/>
      </c>
      <c r="AL60" s="61" t="str">
        <f ca="1">UPPER(IF(DATE.RDV.TV&lt;&gt;"MARDI","",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B$60,"DEPASSE ","¤¤"),"A",""),"B",""),"C",""),"D",""),"E",""),"F",""),"G",""),"H",""),"I",""),"J",""),"K",""),"L",""),"M",""),"N",""),"O",""),"P",""),"Q",""),"R",""),"S",""),"T",""),"U",""),"V",""),"W",""),"X",""),"Y",""),"Z",""),"1",""),"2",""),"3",""),"4",""),"5",""),"6",""),"7",""),"8",""),"9",""),"0",""),"-",""),"(",""),")",""),"{",""),"}",""),"=",""),"[",""),"]",""),"#",""),"+",""),":",""),"/",""),"'",""),".","")," &amp; ","")," ° ",""))))</f>
        <v/>
      </c>
      <c r="AM60" s="835" t="str">
        <f ca="1">UPPER(IF(DATE.RDV.TV&lt;&gt;"MARDI","",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C$60,"CHAMPIONNAT","¤"),"LDC","¤¤"),"UEFA","¤¤¤"),"FRANCE","¤¤¤¤"),"LIGUE","¤¤¤¤¤"),"GP","¤¤¤¤¤¤"),"MONDIAL","¤¤¤¤¤¤¤"),"EURO","¤¤¤¤¤¤¤¤"),"CONFEDERATIONS","¤¤¤¤¤¤¤¤¤"),"A",""),"B",""),"C",""),"D",""),"E",""),"F",""),"G",""),"H",""),"I",""),"J",""),"K",""),"L",""),"M",""),"N",""),"O",""),"P",""),"Q",""),"R",""),"S",""),"T",""),"U",""),"V",""),"W",""),"X",""),"Y",""),"Z",""),"1",""),"2",""),"3",""),"4",""),"5",""),"6",""),"7",""),"8",""),"9",""),"0",""),"-",""),"(",""),")",""),"{",""),"}",""),"=",""),"[",""),"]",""),"#",""),"+",""),":",""),"/",""),"'",""),".","")," &amp; ","")," ° ",""),"~",""))))</f>
        <v/>
      </c>
      <c r="AN60" s="1579" t="str">
        <f ca="1">IF(TABLEAU!$B$60=TABLEAU!$B$59,"",IF(OR(TABLEAU!$A$60="#DEPASSE#",TABLEAU!$P$60="#DEPASSE#"),TABLEAU!$B$60,""))</f>
        <v/>
      </c>
      <c r="AO60" s="1580"/>
      <c r="AP60" s="1580"/>
      <c r="AQ60" s="1580"/>
      <c r="AR60" s="1580"/>
      <c r="AS60" s="1580"/>
      <c r="AT60" s="1580"/>
      <c r="AU60" s="1580"/>
      <c r="AV60" s="1580"/>
      <c r="AW60" s="1580"/>
      <c r="AX60" s="1581"/>
      <c r="AY60" s="1243">
        <f ca="1">IF(AND(TABLEAU!$C$60&lt;&gt;"",TABLEAU!$B$60=""),1,0)</f>
        <v>0</v>
      </c>
      <c r="AZ60" s="2576"/>
      <c r="BA60" s="2577"/>
    </row>
    <row r="61" spans="1:53" ht="12" customHeight="1">
      <c r="A61" s="1508" t="str">
        <f ca="1">IF(TABLEAU!$B$61="","",IF(OR(TABLEAU!$AL$61="¤¤",TABLEAU!$P$61&lt;&gt;""),"#DEPASSE#",SUBSTITUTE(IF(OR(MARDI.3="",TABLEAU!$C$61=""),"",IF(AND(TODAY="MARDI",HOUR((H.M))&gt;HOUR(MARDI.3),MINUTE((H.M))&gt;MINUTE(MARDI.3)),"",IF(TODAY&lt;&gt;"MARDI","",IF(HOUR(TABLEAU!$I$61)&gt;0,CONCATENATE("DANS ",HOUR(TABLEAU!$I$61),"H",TABLEAU!$N$61),CONCATENATE("DANS ",HOUR(TABLEAU!$I$61),"H",TABLEAU!$N$61," MIN")))))," 0H"," ")))</f>
        <v/>
      </c>
      <c r="B61" s="1513" t="str">
        <f ca="1">SUBSTITUTE(SUBSTITUTE(SUBSTITUTE(IF(OR(TABLEAU!$C61,TABLEAU!$D61=""),"",SUBSTITUTE(SUBSTITUTE(SUBSTITUTE(SUBSTITUTE(SUBSTITUTE(SUBSTITUTE(SUBSTITUTE(SUBSTITUTE(SUBSTITUTE(SUBSTITUTE(SUBSTITUTE(SUBSTITUTE(SUBSTITUTE(SUBSTITUTE(SUBSTITUTE(SUBSTITUTE(SUBSTITUTE(SUBSTITUTE(SUBSTITUTE(SUBSTITUTE(SUBSTITUTE(SUBSTITUTE(SUBSTITUTE(SUBSTITUTE(IF(TABLEAU!$C61="","",SUBSTITUTE(IF(TABLEAU!$AE61="",TABLEAU!$U61,TABLEAU!$AE61),CONCATENATE(CVB,YEAR(A)," "),""))," #"," "),"] &amp; D","]# &amp; #D")," &amp; (A",CONCATENATE("# &amp; #",TABLEAU!$H61,"A")),"&amp; DEPASSE","&amp; #DEPASSE"),"## &amp; #A","# &amp; #(A"),"DANS MAINTENANT","MAINTENANT"),CONCATENATE(" H",TABLEAU!$N61),CONCATENATE(" ",TABLEAU!$N61," MIN"))," 0"," "),"] &amp;D","]# &amp; #D"),"}  MIN","} H"),"# &amp; D","# &amp; #D"),CONCATENATE("#MAINTENANT (A ",TABLEAU!$Z61,"): MAINTENANT"),"#MAINTENANT"),TABLEAU!$AB$2,""),TABLEAU!$AM$5,"")," MINAMILTON","HAMILTON"),CONCATENATE(TABLEAU!$Z61," ",TABLEAU!$Z61),TABLEAU!$Z61),"DEPUIS  MINIER","DEPUIS HIER"),"MINONGRIE","HONGRIE"),"#DANS (#DEPASSE","#DEPASSE"),CONCATENATE(" ",YEAR(A)),""),"]= [","= ["),")])",")]"),"#DEPASSE DEPUISDANS","#DANS"),"(A 1A ):",CONCATENATE("(A ",HOUR(TABLEAU!$D61),"H",TABLEAU!$F61,"):"))),"SUR "," SUR "),"  SUR "," SUR "),CONCATENATE("DEPASSE DEPUIS ",TABLEAU!$M61," (A DANS"),"DANS")</f>
        <v>#DANS 3 JOURS (MARDI 5 NOVEMBRE A 21H05 SUR TF1): [S.W.A.T]#</v>
      </c>
      <c r="C61" s="832" t="s">
        <v>168</v>
      </c>
      <c r="D61" s="833">
        <v>0.87847222222222221</v>
      </c>
      <c r="E61" s="2642">
        <f>IF(TABLEAU!$D61="","",IF(TABLEAU!$D61="23:59","",HOUR(TABLEAU!$D61)))</f>
        <v>21</v>
      </c>
      <c r="F61" s="2641" t="str">
        <f ca="1">IF(OR(TABLEAU!$D$62="",TABLEAU!$D$62="23:59"),"59",IF(MINUTE(TABLEAU!$D$62)&lt;10,CONCATENATE("0",MINUTE(TABLEAU!$D$62)),CONCATENATE(MINUTE(TABLEAU!$D$62))))</f>
        <v>59</v>
      </c>
      <c r="G61" s="579" t="str">
        <f ca="1">UPPER(SUBSTITUTE(SUBSTITUTE(SUBSTITUTE(IF(TABLEAU!$D$61="","",SUBSTITUTE(SUBSTITUTE(SUBSTITUTE(SUBSTITUTE(SUBSTITUTE(SUBSTITUTE(SUBSTITUTE(SUBSTITUTE(SUBSTITUTE(SUBSTITUTE(SUBSTITUTE(SUBSTITUTE(SUBSTITUTE(SUBSTITUTE(SUBSTITUTE(IF(OR(TABLEAU!$D$61="",TABLEAU!$C$61=""),"",IF(AND(TODAY="MARDI",HOUR((H.M))&gt;HOUR(TABLEAU!$D$61),MINUTE((H.M))&gt;MINUTE(TABLEAU!$D$61)),CONCATENATE("#DEPASSE DEPUIS",TABLEAU!$M$61," ",TABLEAU!$C$61,"#"),IF(TABLEAU!$P$61&lt;&gt;"",CONCATENATE("#DEPASSE DEPUIS",TABLEAU!$M$61," ",TABLEAU!$C$61,"#"),IF(TODAY&lt;&gt;"MARDI",CONCATENATE("#",MARDI.DANS," (MARDI ",DAY(MARDI.DATE)," ",LOOKUP(MONTH(MARDI.DATE),MOIS)," A ",HOUR(TABLEAU!$D$61),"H",TABLEAU!$F$61,"): ",TABLEAU!$C$61,"#"),CONCATENATE("#",TABLEAU!$L$61," (A ",TABLEAU!$Z$61,"): ",SUBSTITUTE(TABLEAU!$C$61,"#",""),"#"))))),CONCATENATE(LOOKUP(MONTH(MARDI.DATE),MOIS)," (A"),CONCATENATE(LOOKUP(MONTH(MARDI.DATE),MOIS)," A")),"##","#"),CONCATENATE("#DEPASSE DEPUIS  (A ): ",TABLEAU!$C$61,"#"),""),CONCATENATE("(A ",TABLEAU!$E$61,"H",TABLEAU!$X$61,"): "),""),CONCATENATE(TABLEAU!$L$61," DEPUIS"),"DEPASSE DEPUIS"),CONCATENATE("A ",HOUR(TABLEAU!$D$61),"H",TABLEAU!$F$61,"): (A ",HOUR(TABLEAU!$D$61),"H",TABLEAU!$F$61),CONCATENATE("A ",HOUR(TABLEAU!$D$61),"H",TABLEAU!$F$61)),"#DEPASSEDEPASSE","#DEPASSE"),"# (",CONCATENATE("#",TABLEAU!$H$61)),CONCATENATE("A ",SUBSTITUTE(TABLEAU!$M$33,":","H"),"): ~ (A ",SUBSTITUTE(TABLEAU!$M$33,":","H")),CONCATENATE("A ",SUBSTITUTE(TABLEAU!$M$33,":","H"))),CONCATENATE("#DEPASSE ",TABLEAU!$M$61,"#D"),"#D")," D"," #D"),"#DEPUIS","DEPUIS"),"COURS ","COURS# "),"#DE ","DE "),"GP #D","GP D")),"# &amp; #",CONCATENATE("# &amp; #DEPASSE DEPUIS",TABLEAU!$M$61," ")),"] &amp; (",CONCATENATE("]# &amp; DANS ",TABLEAU!$AH$61," ("))," 0"," "))</f>
        <v>#DANS 3 JOURS (MARDI 5 NOVEMBRE A 21H59): (A 21H05 SUR TF1): [S.W.A.T]#</v>
      </c>
      <c r="H61" s="553" t="str">
        <f ca="1">SUBSTITUTE(IF(OR(DATE.RDV.TV&lt;&gt;"MARDI",TABLEAU!$C$61=""),"",IF(HOUR(TABLEAU!$I$61)=0,CONCATENATE("DANS ",TABLEAU!$N$61," MIN ("),CONCATENATE("DANS ",HOUR(TABLEAU!$I$61),"H",TABLEAU!$N$61," ("))),"DANS  MIN (","")</f>
        <v/>
      </c>
      <c r="I61" s="324" t="str">
        <f ca="1">IF(OR(TODAY&lt;&gt;"MARDI",TABLEAU!$C$61=""),"",IF(OR(TABLEAU!$D$61="",TABLEAU!$P$61="#DEPASSE#",TODAY&lt;&gt;"MARDI"),0,IF(HOUR((H.M))&gt;HOUR(TABLEAU!$D$61),0,TABLEAU!$D$61-H.M)))</f>
        <v/>
      </c>
      <c r="J61" s="325" t="str">
        <f ca="1">SUBSTITUTE(SUBSTITUTE(SUBSTITUTE(IF(TABLEAU!$I$61="","",SUBSTITUTE(SUBSTITUTE(SUBSTITUTE(SUBSTITUTE(SUBSTITUTE(SUBSTITUTE(SUBSTITUTE(SUBSTITUTE(SUBSTITUTE(SUBSTITUTE(SUBSTITUTE(SUBSTITUTE(SUBSTITUTE(SUBSTITUTE(SUBSTITUTE(SUBSTITUTE(SUBSTITUTE(SUBSTITUTE(SUBSTITUTE(SUBSTITUTE(IF(DATE.DEPASSE&lt;0,TABLEAU!$U$61,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G61,"  "," "),CONCATENATE("(A ",TABLEAU!$Z$61,"): (A ",TABLEAU!$Z$61),CONCATENATE("(A ",TABLEAU!$Z$61)),CONCATENATE("#DEPASSE",TABLEAU!$M$61,"#DEPASSE",TABLEAU!$M$61),CONCATENATE("#DEPASSE",TABLEAU!$M$61)),CONCATENATE("#DEPASSE",TABLEAU!$L$61,"DEPASSE"),"#DEPASSE"),CONCATENATE(TABLEAU!$L$61," (A ",TABLEAU!$Z$61,"): DEPUIS"),"DEPASSE DEPUIS")," 1 "," 1ER "),"DEPASSE DEPUIS DEPASSE DEPUIS","DEPASSE DEPUIS"),CONCATENATE("DEPASSE ",TRIM(TABLEAU!$L$61)," DEPASSE ",TRIM(TABLEAU!$L$61)),CONCATENATE("DEPASSE ",TRIM(TABLEAU!$L$61))),"1ER MIN","1 MIN"),"1ER ERREUR","1 ERREUR"),CONCATENATE("(A ",TABLEAU!$Z$61,"): (A ",TABLEAU!$E$61,":",TABLEAU!$F$61),CONCATENATE("(A ",TABLEAU!$Z$61))," (A ):",""),"DEPASSE DEPUIS (",TABLEAU!$H$61),"] &amp; D","]# &amp; #D"),CONCATENATE("#DEPASSE",TABLEAU!$M$61,"DEPASSE"),"#DEPASSE")," [","): ["),"):):","):"),"DEPUIS ",TABLEAU!$L$61),CONCATENATE(SUBSTITUTE(TABLEAU!$M$61,"DEPUIS ",""))," "),"DEPUIS",CONCATENATE(TABLEAU!$M$61," (",MARDI.VERIFIER," A ")),SUBSTITUTE(TABLEAU!$M$61,"DEPUIS","A"),""),"DEPASSE  ","DEPASSE"),"  A "," A"),"  "," "),TRIM(SUBSTITUTE(TABLEAU!$M$61," DEPUIS ","A ")),"EEE"),"EEE",CONCATENATE("A ",TABLEAU!$Z$61)),CONCATENATE("DEPASSE ",TABLEAU!$L$61,"HIER"),"DEPASSE DEPUIS HIER"),"DEPASSEDEPASSE","DEPASSE DEPUIS "),CONCATENATE(" A ",TABLEAU!$Z$59," (A ",TABLEAU!$Z$59),CONCATENATE(" A ",TABLEAU!$Z$59)),CONCATENATE("A ",TABLEAU!$Z$61," ",TABLEAU!$C$61),TABLEAU!$C$61),CONCATENATE(MOIS.MAINTENANT.2," (A"),CONCATENATE(MOIS.MAINTENANT.2," A")),"#DEPASSE #DEPASSEDEPUIS","#DEPASSE DEPUIS"),"A (A","A"),CONCATENATE(TABLEAU!$L$61," DEPASSE"),"DEPASSE"),"DEPASSE (",CONCATENATE("DEPASSE DEPUIS ",TABLEAU!$Q$61," (")),"''MIN","MIN"),"=):","]="),CONCATENATE("#DEPASSE ",TABLEAU!$Q$61),CONCATENATE("#DEPASSE DEPUIS ",TABLEAU!$Q$61)),"DEPASSE","DEPASSE DEPUIS"),"DEPUIS DEPUIS","DEPUIS")),"US A","USA"),CONCATENATE("DEPASSE DEPUIS ",TABLEAU!$Q$61,"DEPASSE DEPUIS ",TABLEAU!$Q$61),CONCATENATE("DEPASSE DEPUIS ",TABLEAU!$Q$61)),CONCATENATE("#DEPASSE DEPUIS ",TABLEAU!$Q$61," #DEPASSE DEPUIS ",TABLEAU!$Q$61),CONCATENATE("#DEPASSE DEPUIS ",TABLEAU!$Q$61)),"#DEPASSE DEPUIS #DEPASSE DEPUIS","#DEPASSE DEPUIS"),CONCATENATE("): ",MARDI.DANS," (A ",TABLEAU!$E$61,"H",TABLEAU!$F$61),"")," &amp; D"," &amp; #D"),CONCATENATE(MARDI.DANS," (MARDI ",DAY(MARDI.DATE)," ",LOOKUP(MONTH(MARDI.DATE),MOIS)," A ",TABLEAU!$E$61,"H",TABLEAU!$F$61,"): DANS"),"DANS"),CONCATENATE(MARDI.DANS," (MARDI ",DAY(MARDI.DATE)," ",LOOKUP(MONTH(MARDI.DATE),MOIS)," A ",TABLEAU!$E$61,"H",TABLEAU!$F$61,"): ",MARDI.DANS,"= ",TABLEAU!$AN$23,"(A ",TABLEAU!$E$61,"H",TABLEAU!$F$61),CONCATENATE(MARDI.DANS,"= ",TABLEAU!$AN$23," (MARDI ",DAY(MARDI.DATE)," ",LOOKUP(MONTH(MARDI.DATE),MOIS)," A ",TABLEAU!$E$61,"H",TABLEAU!$F$61)),CONCATENATE(MARDI.DANS," (MARDI ",DAY(MARDI.DATE)," ",LOOKUP(MONTH(MARDI.DATE),MOIS)," A ",TABLEAU!$E$61,"H",TABLEAU!$F$61,"): DANS"),"DANS"),"# (",CONCATENATE("#",TABLEAU!$H$61)),"DANS 0","DANS "),"# ~ ",CONCATENATE("#",FICHIER.A.MODIFIER," ~ ")),CONCATENATE("A ",SUBSTITUTE(TABLEAU!$M$33,":","H"),"): ~ (A ",SUBSTITUTE(TABLEAU!$M$33,":","H")),CONCATENATE("A ",SUBSTITUTE(TABLEAU!$M$33,":","H"))),CONCATENATE("(A ",TABLEAU!$Z$61,"): ~ (A"),"(A"),"DANS 0 MIN","MAINTENANT"),"DEPUIS(",CONCATENATE("DEPUIS ",TABLEAU!$M$61," (")),"DEPUIS DEPUIS  (A",CONCATENATE("DEPUIS ",TABLEAU!$M$61," (A")),"(A 1 ",CONCATENATE("(A ",TABLEAU!$E$61,":00")),"#A",CONCATENATE("#DANS ",HOUR(TABLEAU!$I$61),"H",TABLEAU!$N$61," (A")),"DEPUIS DEPUIS",CONCATENATE("DEPUIS ",TABLEAU!$M$61))),"]#D","]# &amp; #D"),"DEPUIS =",CONCATENATE("DEPUIS ",TABLEAU!$M$61)),"DANS  MAINTENANT","MAINTENANT")</f>
        <v/>
      </c>
      <c r="K61" s="326" t="str">
        <f ca="1">TRIM(SUBSTITUTE(SUBSTITUTE(SUBSTITUTE(SUBSTITUTE(SUBSTITUTE(SUBSTITUTE(SUBSTITUTE(SUBSTITUTE(SUBSTITUTE(TABLEAU!$O$61,CONCATENATE("): (",TABLEAU!$W$61),""),CONCATENATE("A ",TABLEAU!$E$61,"H",TABLEAU!$X$61,"): ("),""),"(SUR",CONCATENATE("(A ",TABLEAU!$E$61,"H",TABLEAU!$X$61," SUR"))," &amp; (",CONCATENATE(" &amp; ",TABLEAU!$L$61," (")),"AUJOURD'HUI",""),"##","#"),"1ER MIN","1 MIN"),CONCATENATE("DEPASSE ",TRIM(TABLEAU!$L$61)," DEPASSE"),"DEPASSE")," (A ):",""))</f>
        <v/>
      </c>
      <c r="L61" s="186" t="str">
        <f ca="1">UPPER(IF(TABLEAU!$P$61&lt;&gt;"","",IF(TABLEAU!$P$61="","",IF(TABLEAU!$AM$61&lt;&gt;"","#DEPASSE DEPUIS ",IF(TODAY&lt;&gt;"MARDI","",IF(COUNTIF(ENCOURS,"#EN COURS#")&lt;&gt;0,"MAINTENANT",SUBSTITUTE(SUBSTITUTE(SUBSTITUTE(IF(OR(TABLEAU!$C$61="",TABLEAU!$D$61=""),"",IF(HOUR(TABLEAU!$I$61)=0,CONCATENATE("DANS ",TABLEAU!$N$61," MIN"),CONCATENATE("DANS ",HOUR(TABLEAU!$I$61),"H",TABLEAU!$N$61))),"DANS 0","DANS "),"DANS  MIN",TABLEAU!$M$61),"DANS 0 MIN","MAINTENANT")))))))</f>
        <v/>
      </c>
      <c r="M61" s="186" t="str">
        <f ca="1">IF(TODAY&lt;&gt;"MARDI","",SUBSTITUTE(IF(TABLEAU!$D$61="","",IF(TABLEAU!$AF$61=" ","",IF(TABLEAU!$D$61-H.M&gt;0,"",IF(AND(HOUR(TABLEAU!$AF$61)&gt;0,MINUTE(TABLEAU!$AF$61)&lt;10),CONCATENATE(" ",HOUR(TABLEAU!$AF$61),"H0",MINUTE(TABLEAU!$AF$61)),IF(AND(HOUR(TABLEAU!$AF$61)&gt;0,MINUTE(TABLEAU!$AF$61)&gt;9),CONCATENATE(" ",HOUR(TABLEAU!$AF$61),"H",MINUTE(TABLEAU!$AF$61)),CONCATENATE(" 0",MINUTE(TABLEAU!$AF$61)," MIN"))))))," 0",""))</f>
        <v/>
      </c>
      <c r="N61" s="270" t="str">
        <f ca="1">IF(TABLEAU!$D$61="","",IF(OR(TABLEAU!$C$61="",TODAY&lt;&gt;"MARDI"),"",IF(TABLEAU!$P$61="#DEPASSE#","",IF(HOUR((H.M))&gt;HOUR(TABLEAU!$D$61),"",IF(MINUTE(TABLEAU!$I$61)&lt;10,CONCATENATE("0",MINUTE(TABLEAU!$I$61)),MINUTE(TABLEAU!$I$61))))))</f>
        <v/>
      </c>
      <c r="O61" s="327" t="str">
        <f ca="1">UPPER(SUBSTITUTE(SUBSTITUTE(SUBSTITUTE(SUBSTITUTE(SUBSTITUTE(SUBSTITUTE(SUBSTITUTE(SUBSTITUTE(SUBSTITUTE(TABLEAU!$J$61,"DANS 0H","DANS "),"DANS 0","DANS "),CONCATENATE("(A ",TABLEAU!$E$61,"H",TABLEAU!$X$61,"): (",LOOKUP(WEEKDAY(MARDI.DATE),SEMAINE)," ",DAY(MARDI.DATE)," ",LOOKUP(MONTH(MARDI.DATE),MOIS)," A 20H00): "),CONCATENATE(TABLEAU!$L$61," (A ",TABLEAU!$E$61,"H",TABLEAU!$X$61,")")),"DEPUIS 0","DEPUIS "),"&amp; A","&amp; (A"),CONCATENATE("(",NBA),""),"#DEPASSE DEPUIS (A","(A"),"DANS  MAINTENANT","MAINTENANT"),"] &amp; #","]# &amp; #"))</f>
        <v/>
      </c>
      <c r="P61" s="185" t="str">
        <f ca="1">IF(OR(TABLEAU!$D$61="",TODAY&lt;&gt;"MARDI"),"",IF(AND(HOUR((H.M))=HOUR(TABLEAU!$D$61),MINUTE((H.M))&gt;MINUTE(TABLEAU!$D$61)),"#DEPASSE#",IF(HOUR((H.M))&gt;HOUR(TABLEAU!$D$61),"#DEPASSE#","")))</f>
        <v/>
      </c>
      <c r="Q61" s="186" t="str">
        <f ca="1">IF(OR(TABLEAU!$P$61="",TABLEAU!$S$61=""),"",IF(AND(HOUR(TABLEAU!$S$61)&gt;0,MINUTE(TABLEAU!$S$61)&lt;10),CONCATENATE(HOUR(TABLEAU!$S$61),"H0",MINUTE(TABLEAU!$S$61)),IF(AND(HOUR(TABLEAU!$S$61)=0,MINUTE(TABLEAU!$S$61)&lt;10),CONCATENATE(MINUTE(TABLEAU!$S$61)," MIN"),IF(AND(HOUR(TABLEAU!$S$61)&gt;0,MINUTE(TABLEAU!$S$61)&gt;9),CONCATENATE(HOUR(TABLEAU!$S$61),"H",MINUTE(TABLEAU!$S$61)),CONCATENATE(MINUTE(TABLEAU!$S$61)," MIN")))))</f>
        <v/>
      </c>
      <c r="R61" s="186" t="str">
        <f ca="1">UPPER(IF(OR(TABLEAU!$C$61="",TODAY&lt;&gt;"MARDI"),"",IF(OR(TABLEAU!$D$61="",TABLEAU!$D$61="23:59",TABLEAU!$C$61=""),"",IF(AND(TODAY="MARDI",HOUR(TABLEAU!$I$61)&lt;1,MINUTE(TABLEAU!$I$61)&lt;5,TABLEAU!$I$61&lt;&gt;"",TABLEAU!$I$61&lt;&gt;0),"BIENTOT",""))))</f>
        <v/>
      </c>
      <c r="S61" s="618" t="str">
        <f ca="1">IF(TABLEAU!$D$61="","",IF(TODAY&lt;&gt;"MARDI","",IF((H.M)&gt;TABLEAU!$D$61,"",(H.M)-TABLEAU!$D$61)))</f>
        <v/>
      </c>
      <c r="T61" s="2300" t="str">
        <f ca="1">UPPER(IF(TODAY="JEUDI","DANS 5 JOURS",IF(TODAY="VENDREDI","DANS 4 JOURS",IF(TODAY="SAMEDI","DANS 3 JOURS",IF(TODAY="DIMANCHE","DANS 2 JOURS",IF(TODAY=TABLEAU!$K$3,"DEMAIN",IF(TODAY="MARDI","",IF(TODAY="MERCREDI","DANS 6 JOURS"))))))))</f>
        <v>DANS 3 JOURS</v>
      </c>
      <c r="U61" s="326" t="str">
        <f ca="1">UPPER(TRIM(SUBSTITUTE(SUBSTITUTE(SUBSTITUTE(SUBSTITUTE(SUBSTITUTE(SUBSTITUTE(SUBSTITUTE(SUBSTITUTE(SUBSTITUTE(SUBSTITUTE(SUBSTITUTE(SUBSTITUTE(SUBSTITUTE(SUBSTITUTE(SUBSTITUTE(SUBSTITUTE(SUBSTITUTE(SUBSTITUTE(IF(TABLEAU!$D$61="","",SUBSTITUTE(SUBSTITUTE(SUBSTITUTE(SUBSTITUTE(SUBSTITUTE(SUBSTITUTE(SUBSTITUTE(SUBSTITUTE(SUBSTITUTE(SUBSTITUTE(SUBSTITUTE(SUBSTITUTE(SUBSTITUTE(SUBSTITUTE(SUBSTITUTE(IF(OR(TABLEAU!$C$61="",TABLEAU!$D$61=""),"",IF(AND(TODAY="MARDI",TABLEAU!$P$61&lt;&gt;""),CONCATENATE("#DEPASSE DEPUIS ",TABLEAU!$M$61," ",TABLEAU!$W$61,"#"),CONCATENATE("#",MARDI.DANS," ",TABLEAU!$H$61,TABLEAU!$C$61,"#"))),": =",":"),CONCATENATE(NBA,"("),""),CONCATENATE(LOOKUP(MONTH(MARDI.DATE),MOIS)," (A"),CONCATENATE(LOOKUP(MONTH(MARDI.DATE),MOIS)," A")),"1ER MIN","1 MIN"),"((","("),"##","#"),"# ","#"),CONCATENATE("#",TABLEAU!$H$61,"DEPUIS"),"#DEPASSE DEPUIS"),"DEMAIN (",CONCATENATE("DEMAIN (MARDI ",DAY(MARDI.DATE)," ",LOOKUP(MONTH(MARDI.DATE),MOIS)," ")),"JOURS (A ",CONCATENATE("JOURS (MARDI ",DAY(MARDI.DATE)," ",LOOKUP(MONTH(MARDI.DATE),MOIS)," A ")),"(A","(MARDI A"),"DANS 00 MIN","DANS "),"DANS 0","DANS "),"#&amp;","# &amp; "),"JOURS [",CONCATENATE("JOURS (",LOOKUP(WEEKDAY(MARDI.DATE),SEMAINE)," ",DAY(MARDI.DATE)," ",LOOKUP(MONTH(MARDI.DATE),MOIS)," A ",HOUR(TABLEAU!$D$61),"H",TABLEAU!$F$61,"): ["))),CONCATENATE(MARDI.DANS," ",MARDI.DANS),CONCATENATE(" ",MARDI.DANS)),"# ","#"),"#&amp; #","# &amp; #"),"US A","USA"),"(~ ("," ~ ("),"MARDI A ","A "),CONCATENATE("#",TABLEAU!$H$61,TABLEAU!$W$61),TABLEAU!$W$61),"DEMAINDANS","DEMAIN DANS"),"''(","'' ("),CONCATENATE("#DANS ",TRIM(TABLEAU!$AH$61)," (#DEPASSE "),"#DEPASSE "),"]#D","]# &amp; #D"),"(MATCH","MATCH"),"COURS &amp; D","COURS# &amp; #D"),"#&amp; ","# &amp; #"),"# &amp; # ","# &amp; #"),CONCATENATE("#DEPASSE DEPUIS ",TABLEAU!$M$61," #"),"#"),"# &amp; ##","# &amp; #"),"DANS  (MAINTENANT","MAINTENANT")))</f>
        <v>#DANS 3 JOURS (MARDI 5 NOVEMBRE A 21H05 SUR TF1): [S.W.A.T]#</v>
      </c>
      <c r="V61" s="326" t="str">
        <f ca="1">UPPER(TRIM(SUBSTITUTE(SUBSTITUTE(IF(OR(TABLEAU!$C$61="",TABLEAU!$D$61="",MARDI.DANS&lt;&gt;""),"",TABLEAU!$J$61),JOUR.PLUS,""),"DANS  MAINTENANT","MAINTENANT")))</f>
        <v/>
      </c>
      <c r="W61" s="216" t="str">
        <f>UPPER(IF(TABLEAU!$C$61=0,"",TABLEAU!$C$61))</f>
        <v>(A 21H05 SUR TF1): [S.W.A.T]</v>
      </c>
      <c r="X61" s="780"/>
      <c r="Y61" s="186" t="str">
        <f ca="1">IF(OR(TODAY&lt;&gt;"MARDI",TABLEAU!$C$61=""),"",IF(OR(TABLEAU!$C$61="",TABLEAU!$D$61=""),"",HOUR(TABLEAU!$D$61)))</f>
        <v/>
      </c>
      <c r="Z61" s="186" t="str">
        <f ca="1">IF(TABLEAU!$AM$61&lt;&gt;""," ",IF(OR(TODAY&lt;&gt;"MARDI",TABLEAU!$C$61="",TABLEAU!$D$61="")," ",IF(MINUTE(TABLEAU!$D$61)&lt;10,CONCATENATE(HOUR(TABLEAU!$D$61),"H0",MINUTE(TABLEAU!$D$61)),IF(MINUTE(TABLEAU!$D$61)&gt;9,CONCATENATE(HOUR(TABLEAU!$D$61),"H",MINUTE(TABLEAU!$D$61))))))</f>
        <v xml:space="preserve"> </v>
      </c>
      <c r="AA61" s="241" t="str">
        <f ca="1">TRIM(SUBSTITUTE(SUBSTITUTE(SUBSTITUTE(SUBSTITUTE(IF(TABLEAU!$P$61="#DEPASSE#",TABLEAU!$AB$61,TABLEAU!$U$61),"# ","#"),"#&amp; #","# &amp; #"),"DANS (MAINTENANT","MAINTENANT"),SUBSTITUTE(SUBSTITUTE(CONCATENATE("#",TABLEAU!$H$61,"",TABLEAU!$H$61)," 0"," ")," 0"," "),SUBSTITUTE(TABLEAU!$H$61," 0"," ")))</f>
        <v>DANS 3 JOURS (MARDI 5 NOVEMBRE A 21H05 SUR TF1): [S.W.A.T]</v>
      </c>
      <c r="AB61" s="186" t="str">
        <f ca="1">UPPER(TRIM(SUBSTITUTE(SUBSTITUTE(SUBSTITUTE(SUBSTITUTE(SUBSTITUTE(SUBSTITUTE(TABLEAU!$K$61,CONCATENATE(LOOKUP(MONTH(A),MOIS)," (A"),CONCATENATE(LOOKUP(MONTH(A),MOIS)," A ")),CONCATENATE(LOOKUP(MONTH(A)+1,MOIS)," (A"),CONCATENATE(LOOKUP(MONTH(A)+1,MOIS)," A ")),CONCATENATE("(",YEAR(MARDI.DATE)),""),"] &amp; DANS","]# &amp; #DANS"),"DANS MAINTENANT","MAINTENANT"),SUBSTITUTE(CONCATENATE("#",SUBSTITUTE(TABLEAU!$H$61,"(",""),"#",TABLEAU!$H$61)," 0"," "),SUBSTITUTE(TABLEAU!$H$61," 0"," "))))</f>
        <v/>
      </c>
      <c r="AC61" s="684" t="str">
        <f ca="1">IF(TABLEAU!$P$61="#DEPASSE#",CONCATENATE(TABLEAU!$AC$60," &amp; ",TABLEAU!$B$61),TABLEAU!$AC$60)</f>
        <v/>
      </c>
      <c r="AD61" s="1826"/>
      <c r="AE61" s="327" t="str">
        <f ca="1">UPPER(TRIM(SUBSTITUTE(SUBSTITUTE(SUBSTITUTE(SUBSTITUTE(SUBSTITUTE(SUBSTITUTE(SUBSTITUTE(SUBSTITUTE(SUBSTITUTE(SUBSTITUTE(SUBSTITUTE(SUBSTITUTE(SUBSTITUTE(SUBSTITUTE(SUBSTITUTE(SUBSTITUTE(SUBSTITUTE(SUBSTITUTE(SUBSTITUTE(SUBSTITUTE(SUBSTITUTE(SUBSTITUTE(SUBSTITUTE(SUBSTITUTE(IF(TABLEAU!$P$61="#DEPASSE#",TABLEAU!$J$61,IF(TABLEAU!$C$61="","",TRIM(SUBSTITUTE(SUBSTITUTE(SUBSTITUTE(SUBSTITUTE(SUBSTITUTE(SUBSTITUTE(SUBSTITUTE(IF(TABLEAU!$L$61="#DEPASSE DEPUIS ",MODIF,IF(TABLEAU!$I$61=SUBSTITUTE(DEPP,"#",""),DEPP,SUBSTITUTE(SUBSTITUTE(SUBSTITUTE(SUBSTITUTE(SUBSTITUTE(SUBSTITUTE(SUBSTITUTE(SUBSTITUTE(SUBSTITUTE(SUBSTITUTE(SUBSTITUTE(SUBSTITUTE(SUBSTITUTE(SUBSTITUTE(SUBSTITUTE(SUBSTITUTE(SUBSTITUTE(SUBSTITUTE(TABLEAU!$AB$61,CONCATENATE(TABLEAU!$K$61," A "),CONCATENATE(TABLEAU!$K$61," (A ")),"JANVIER (","JANVIER "),"FEVRIER (","FEVRIER "),"MARS (","MARS "),"AVRIL (","AVRIL "),"MAI (","MAI "),"JUIN (","JUIN "),"JUILLET (","JUILLET "),"AOUT (","AOUT "),"SEPTEMBRE (","SEPTEMBRE "),"OCTOBRE (","OCTOBRE "),"NOVEMBRE (","NOVEMBRE "),"DECEMBRE (","DECEMBRE "),CONCATENATE(" &amp; ",TABLEAU!$K$61," (")," &amp; "),CONCATENATE(" &amp;",TABLEAU!$L$61,"(")," &amp; ")," &amp; ("," &amp; "),CONCATENATE(TABLEAU!$K$61," (A ",TABLEAU!$AC$61,"): HIER"),"DEPASSE DEPUIS HIER")," &amp; A"," &amp; (A"))),"(A ",CONCATENATE("(",DATE.RDV.TV," A ")),"((","("),CONCATENATE(DATE.RDV.TV," ("),""),CONCATENATE(DATE.RDV.TV," A "),"A "),CONCATENATE(YEAR(A)," (A"),"A"),CONCATENATE(TABLEAU!$L$61," (DEPASSE"),"DEPASSE"),CONCATENATE("DEPASSE",TABLEAU!$L$61,"(",LOOKUP(WEEKDAY(MARDI.DATE),SEMAINE)," ",DAY(MARDI.DATE)," ",LOOKUP(MONTH(MARDI.DATE),MOIS)," A"),"DEPASSE DEPUIS")))),"#&amp; ","# &amp; #"),"DANS (A","MAINTENANT (A"),"DANS (MATCH","DANS MATCH"),CONCATENATE("(DEMAIN= ",DIF.L1," ~ "),""),CONCATENATE("(DEMAIN= ",DIF.LDC," ~ "),""),CONCATENATE("(DEMAIN= ",DIF.UEFA," ~ "),""),CONCATENATE("(DEMAIN= ",DIF.FRANCE," ~ "),""),CONCATENATE("(DEMAIN= ",DIF.LIGUE," ~ "),""),CONCATENATE("(DEMAIN= ",DIF.GP," ~ "),""),CONCATENATE("(DEMAIN= ",DIF.MONDIAL," ~ "),""),CONCATENATE("(DEMAIN= ",DIF.EURO," ~ "),""),CONCATENATE("(DEMAIN= ",DIF.CONFEDERATIONS," ~ "),""),CONCATENATE(TABLEAU!$K$3," A"),"A"),"MARDI A","A"),"MERCREDI A","A"),"JEUDI A","A"),"VENDREDI A","A"),"SAMEDI A","A"),"DIMANCHE A","A"),"00H","0H"),"DEPUIS DEPUIS",CONCATENATE("DEPUIS ",TABLEAU!$M$61)),"] &amp;D","]# &amp; #D"),"A 2A",CONCATENATE("A ",TABLEAU!$Y61,"H",TABLEAU!$F$61))," )",")")))</f>
        <v/>
      </c>
      <c r="AF61" s="983" t="str">
        <f ca="1">IF(TODAY&lt;&gt;"MARDI"," ",IF(TABLEAU!$D$61="","",H.M-TABLEAU!$D$61))</f>
        <v xml:space="preserve"> </v>
      </c>
      <c r="AG61" s="983" t="str">
        <f ca="1">IF(TABLEAU!$B$61="","",IF(TABLEAU!$I$61&lt;&gt;0,"",IF(TODAY&lt;&gt;"MARDI","",IF(TABLEAU!$AF$61=" ","",IF(TABLEAU!$AF$61="","",IF(AND(HOUR(TABLEAU!$AF$61)&gt;0,MINUTE(TABLEAU!$AF$61)&lt;10),CONCATENATE(HOUR(TABLEAU!$AF$61),"H0",MINUTE(TABLEAU!$AF$61)),IF(AND(HOUR(TABLEAU!$AF$61)&gt;0,MINUTE(TABLEAU!$AF$61)&gt;9),CONCATENATE(HOUR(TABLEAU!$AF$61),"H",MINUTE(TABLEAU!$AF$61)),CONCATENATE(MINUTE(TABLEAU!$AF$61)," MIN"))))))))</f>
        <v/>
      </c>
      <c r="AH61" s="983" t="str">
        <f ca="1">IF(TABLEAU!$I$61="","",IF(MINUTE(TABLEAU!$I$61)&gt;9,CONCATENATE(HOUR(TABLEAU!$I$61),"H",MINUTE(TABLEAU!$I$61)),CONCATENATE(HOUR(TABLEAU!$I$61),"H0",MINUTE(TABLEAU!$I$61))))</f>
        <v/>
      </c>
      <c r="AI61" s="1642"/>
      <c r="AJ61" s="78" t="str">
        <f ca="1">IF(TABLEAU!$B$61="","",TABLEAU!$P$61)</f>
        <v/>
      </c>
      <c r="AK61" s="78" t="str">
        <f ca="1">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O$61,"DEPASSE","&amp;&amp;&amp;"),"A",""),"B",""),"C",""),"D",""),"E",""),"F",""),"G",""),"H",""),"I",""),"J",""),"K",""),"L",""),"M",""),"N",""),"O",""),"P",""),"Q",""),"R",""),"S",""),"T",""),"U",""),"V",""),"W",""),"X",""),"Y",""),"Z",""),"0",""),"1",""),"2",""),"3",""),"4",""),"5",""),"6",""),"7",""),"8",""),"9",""),":",""),"(",""),")",""),"[",""),"]","")," ",""))</f>
        <v/>
      </c>
      <c r="AL61" s="634" t="str">
        <f ca="1">UPPER(IF(DATE.RDV.TV&lt;&gt;"MARDI","",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B$61,"DEPASSE ","¤¤"),"A",""),"B",""),"C",""),"D",""),"E",""),"F",""),"G",""),"H",""),"I",""),"J",""),"K",""),"L",""),"M",""),"N",""),"O",""),"P",""),"Q",""),"R",""),"S",""),"T",""),"U",""),"V",""),"W",""),"X",""),"Y",""),"Z",""),"1",""),"2",""),"3",""),"4",""),"5",""),"6",""),"7",""),"8",""),"9",""),"0",""),"-",""),"(",""),")",""),"{",""),"}",""),"=",""),"[",""),"]",""),"#",""),"+",""),":",""),"/",""),"'",""),".","")," &amp; ","")," ° ",""))))</f>
        <v/>
      </c>
      <c r="AM61" s="836" t="str">
        <f ca="1">UPPER(IF(DATE.RDV.TV&lt;&gt;"MARDI","",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C$61,"CHAMPIONNAT","¤"),"LDC","¤¤"),"UEFA","¤¤¤"),"FRANCE","¤¤¤¤"),"LIGUE","¤¤¤¤¤"),"GP","¤¤¤¤¤¤"),"MONDIAL","¤¤¤¤¤¤¤"),"EURO","¤¤¤¤¤¤¤¤"),"CONFEDERATIONS","¤¤¤¤¤¤¤¤¤"),"A",""),"B",""),"C",""),"D",""),"E",""),"F",""),"G",""),"H",""),"I",""),"J",""),"K",""),"L",""),"M",""),"N",""),"O",""),"P",""),"Q",""),"R",""),"S",""),"T",""),"U",""),"V",""),"W",""),"X",""),"Y",""),"Z",""),"1",""),"2",""),"3",""),"4",""),"5",""),"6",""),"7",""),"8",""),"9",""),"0",""),"-",""),"(",""),")",""),"{",""),"}",""),"=",""),"[",""),"]",""),"#",""),"+",""),":",""),"/",""),"'",""),".","")," &amp; ","")," ° ",""),"~",""))))</f>
        <v/>
      </c>
      <c r="AN61" s="1576" t="str">
        <f ca="1">IF(TABLEAU!$B$61=TABLEAU!$B$60,"",IF(OR(TABLEAU!$A$61="#DEPASSE#",TABLEAU!$P$61="#DEPASSE#"),TABLEAU!$B$61,""))</f>
        <v/>
      </c>
      <c r="AO61" s="1577"/>
      <c r="AP61" s="1577"/>
      <c r="AQ61" s="1577"/>
      <c r="AR61" s="1577"/>
      <c r="AS61" s="1577"/>
      <c r="AT61" s="1577"/>
      <c r="AU61" s="1577"/>
      <c r="AV61" s="1577"/>
      <c r="AW61" s="1577"/>
      <c r="AX61" s="1578"/>
      <c r="AY61" s="1243">
        <f ca="1">IF(AND(TABLEAU!$C$61&lt;&gt;"",TABLEAU!$B$61=""),1,0)</f>
        <v>0</v>
      </c>
      <c r="AZ61" s="2576"/>
      <c r="BA61" s="2577"/>
    </row>
    <row r="62" spans="1:53" ht="12" customHeight="1" thickBot="1">
      <c r="A62" s="1508" t="str">
        <f ca="1">IF(TABLEAU!$B$62="","",IF(OR(TABLEAU!$AL$62="¤¤",TABLEAU!$P$62&lt;&gt;""),"#DEPASSE#",SUBSTITUTE(IF(OR(MARDI.4="",TABLEAU!$C$62=""),"",IF(AND(TODAY="MARDI",HOUR((H.M))&gt;HOUR(MARDI.4),MINUTE((H.M))&gt;MINUTE(MARDI.4)),"",IF(TODAY&lt;&gt;"MARDI","",IF(HOUR(TABLEAU!$I$62)&gt;0,CONCATENATE("DANS ",HOUR(TABLEAU!$I$62),"H",TABLEAU!$N$62),CONCATENATE("DANS ",HOUR(TABLEAU!$I$62),"H",TABLEAU!$N$62," MIN")))))," 0H"," ")))</f>
        <v/>
      </c>
      <c r="B62" s="1514" t="str">
        <f ca="1">SUBSTITUTE(SUBSTITUTE(SUBSTITUTE(IF(OR(TABLEAU!$C62,TABLEAU!$D62=""),"",SUBSTITUTE(SUBSTITUTE(SUBSTITUTE(SUBSTITUTE(SUBSTITUTE(SUBSTITUTE(SUBSTITUTE(SUBSTITUTE(SUBSTITUTE(SUBSTITUTE(SUBSTITUTE(SUBSTITUTE(SUBSTITUTE(SUBSTITUTE(SUBSTITUTE(SUBSTITUTE(SUBSTITUTE(SUBSTITUTE(SUBSTITUTE(SUBSTITUTE(SUBSTITUTE(SUBSTITUTE(SUBSTITUTE(SUBSTITUTE(IF(TABLEAU!$C62="","",SUBSTITUTE(IF(TABLEAU!$AE62="",TABLEAU!$U62,TABLEAU!$AE62),CONCATENATE(CVB,YEAR(A)," "),""))," #"," "),"] &amp; D","]# &amp; #D")," &amp; (A",CONCATENATE("# &amp; #",TABLEAU!$H62,"A")),"&amp; DEPASSE","&amp; #DEPASSE"),"## &amp; #A","# &amp; #(A"),"DANS MAINTENANT","MAINTENANT"),CONCATENATE(" H",TABLEAU!$N62),CONCATENATE(" ",TABLEAU!$N62," MIN"))," 0"," "),"] &amp;D","]# &amp; #D"),"}  MIN","} H"),"# &amp; D","# &amp; #D"),CONCATENATE("#MAINTENANT (A ",TABLEAU!$Z62,"): MAINTENANT"),"#MAINTENANT"),TABLEAU!$AB$2,""),TABLEAU!$AM$5,"")," MINAMILTON","HAMILTON"),CONCATENATE(TABLEAU!$Z62," ",TABLEAU!$Z62),TABLEAU!$Z62),"DEPUIS  MINIER","DEPUIS HIER"),"MINONGRIE","HONGRIE"),"#DANS (#DEPASSE","#DEPASSE"),CONCATENATE(" ",YEAR(A)),""),"]= [","= ["),")])",")]"),"#DEPASSE DEPUISDANS","#DANS"),"(A 1A ):",CONCATENATE("(A ",HOUR(TABLEAU!$D62),"H",TABLEAU!$F62,"):"))),"SUR "," SUR "),"  SUR "," SUR "),CONCATENATE("DEPASSE DEPUIS ",TABLEAU!$M62," (A DANS"),"DANS")</f>
        <v/>
      </c>
      <c r="C62" s="631" t="str">
        <f ca="1">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IF(4-COUNTBLANK(PROG.MARDI)=0,"",CONCATENATE(MARDI.PROG.1,MARDI.PROG.2,MARDI.PROG.3,MARDI.PROG.4)),CONCATENATE("(A ",TABLEAU!$E$60,"H",TABLEAU!$X$60,"): "),""),JOUR.PLUS,""),MARDI.VERIFIER,"")," &amp; #DANS"," &amp; DANS"),"](A","] &amp; (A"),CONCATENATE("#DEPASSE",TABLEAU!$M$60," "),"#DEPASSE "),"] &amp; D","]# &amp; #D"),CONCATENATE("DEMAIN= ",DIF.L1," ~ "),""),CONCATENATE("DEMAIN= ",DIF.LDC," ~ "),""),CONCATENATE("DEMAIN= ",DIF.UEFA," ~ "),""),CONCATENATE("DEMAIN= ",DIF.FRANCE," ~ "),""),CONCATENATE("DEMAIN= ",DIF.LIGUE," ~ "),""),CONCATENATE("DEMAIN= ",DIF.GP," ~ "),""),CONCATENATE("DEMAIN= ",DIF.MONDIAL," ~ "),""),CONCATENATE("DEMAIN= ",DIF.EURO," ~ "),""),CONCATENATE("DEMAIN= ",DIF.CONFEDERATIONS," ~ "),""),"'' (",CONCATENATE("'' ~ (MARDI ",DAY(MARDI.DATE)," ",LOOKUP(MONTH(MARDI.DATE),MOIS)," ")),"= ''","DANS ''"),"UEF A 2019-20= &amp; ","UEFA 2019-20]# &amp; #"),"~ ",""),"''(","'' ("),"DEMAINDANS","DEMAIN DANS"),"JOURSDANS","JOURS"),DIF.L1,""),DIF.LDC,""),DIF.UEFA,""),DIF.FRANCE,""),DIF.LIGUE,""),DIF.GP,""),DIF.MONDIAL,""),DIF.EURO,""),DIF.CONFEDERATIONS,""),MARDI.DANS,""),"#  (","#("),"[ ",""),"[MAINTENANT","MAINTENANT"))</f>
        <v/>
      </c>
      <c r="D62" s="632" t="str">
        <f ca="1">IF(4-COUNTBLANK(PROG.MARDI)=0,"",IF(MARDI.HEURE.1&lt;&gt;"",MARDI.HEURE.1,IF(MARDI.HEURE.2&lt;&gt;"",MARDI.HEURE.2,IF(MARDI.HEURE.3&lt;&gt;"",MARDI.HEURE.3,IF(MARDI.HEURE.4&lt;&gt;"",MARDI.HEURE.4,"")))))</f>
        <v/>
      </c>
      <c r="E62" s="2643" t="str">
        <f ca="1">IF(TABLEAU!$D62="","",IF(TABLEAU!$D62="23:59","",HOUR(TABLEAU!$D62)))</f>
        <v/>
      </c>
      <c r="F62" s="2641" t="str">
        <f>IF(OR(TABLEAU!$D$60="",TABLEAU!$D$60="23:59"),"59",IF(MINUTE(TABLEAU!$D$60)&lt;10,CONCATENATE("0",MINUTE(TABLEAU!$D$60)),CONCATENATE(MINUTE(TABLEAU!$D$60))))</f>
        <v>50</v>
      </c>
      <c r="G62" s="580" t="str">
        <f ca="1">UPPER(SUBSTITUTE(SUBSTITUTE(SUBSTITUTE(IF(TABLEAU!$D$62="","",SUBSTITUTE(SUBSTITUTE(SUBSTITUTE(SUBSTITUTE(SUBSTITUTE(SUBSTITUTE(SUBSTITUTE(SUBSTITUTE(SUBSTITUTE(SUBSTITUTE(SUBSTITUTE(SUBSTITUTE(SUBSTITUTE(SUBSTITUTE(SUBSTITUTE(IF(OR(TABLEAU!$D$62="",TABLEAU!$C$62=""),"",IF(AND(TODAY="MARDI",HOUR((H.M))&gt;HOUR(TABLEAU!$D$62),MINUTE((H.M))&gt;MINUTE(TABLEAU!$D$62)),CONCATENATE("#DEPASSE DEPUIS",TABLEAU!$M$62," ",TABLEAU!$C$62,"#"),IF(TABLEAU!$P$62&lt;&gt;"",CONCATENATE("#DEPASSE DEPUIS",TABLEAU!$M$62," ",TABLEAU!$C$62,"#"),IF(TODAY&lt;&gt;"MARDI",CONCATENATE("#",MARDI.DANS," (MARDI ",DAY(MARDI.DATE)," ",LOOKUP(MONTH(MARDI.DATE),MOIS)," A ",HOUR(TABLEAU!$D$62),"H",TABLEAU!$F$62,"): ",TABLEAU!$C$62,"#"),CONCATENATE("#",TABLEAU!$L$62," (A ",TABLEAU!$Z$62,"): ",SUBSTITUTE(TABLEAU!$C$62,"#",""),"#"))))),CONCATENATE(LOOKUP(MONTH(MARDI.DATE),MOIS)," (A"),CONCATENATE(LOOKUP(MONTH(MARDI.DATE),MOIS)," A")),"##","#"),CONCATENATE("#DEPASSE DEPUIS  (A ): ",TABLEAU!$C$62,"#"),""),CONCATENATE("(A ",TABLEAU!$E$62,"H",TABLEAU!$X$62,"): "),""),CONCATENATE(TABLEAU!$L$62," DEPUIS"),"DEPASSE DEPUIS"),CONCATENATE("A ",HOUR(TABLEAU!$D$62),"H",TABLEAU!$F$62,"): (A ",HOUR(TABLEAU!$D$62),"H",TABLEAU!$F$62),CONCATENATE("A ",HOUR(TABLEAU!$D$62),"H",TABLEAU!$F$62)),"#DEPASSEDEPASSE","#DEPASSE"),"# (",CONCATENATE("#",TABLEAU!$H$62)),CONCATENATE("A ",SUBSTITUTE(TABLEAU!$M$33,":","H"),"): ~ (A ",SUBSTITUTE(TABLEAU!$M$33,":","H")),CONCATENATE("A ",SUBSTITUTE(TABLEAU!$M$33,":","H"))),CONCATENATE("#DEPASSE ",TABLEAU!$M$62,"#D"),"#D")," D"," #D"),"#DEPUIS","DEPUIS"),"COURS ","COURS# "),"#DE ","DE "),"GP #D","GP D")),"# &amp; #",CONCATENATE("# &amp; #DEPASSE DEPUIS",TABLEAU!$M$62," ")),"] &amp; (",CONCATENATE("]# &amp; DANS ",TABLEAU!$AH$62," ("))," 0"," "))</f>
        <v/>
      </c>
      <c r="H62" s="554" t="str">
        <f ca="1">SUBSTITUTE(IF(OR(DATE.RDV.TV&lt;&gt;"MARDI",TABLEAU!$C$62=""),"",IF(HOUR(TABLEAU!$I$62)=0,CONCATENATE("DANS ",TABLEAU!$N$62," MIN ("),CONCATENATE("DANS ",HOUR(TABLEAU!$I$62),"H",TABLEAU!$N$62," ("))),"DANS  MIN (","")</f>
        <v/>
      </c>
      <c r="I62" s="417" t="str">
        <f ca="1">IF(OR(TODAY&lt;&gt;"MARDI",TABLEAU!$C$62=""),"",IF(OR(TABLEAU!$D$62="",TABLEAU!$P$62="#DEPASSE#",TODAY&lt;&gt;"MARDI"),0,IF(HOUR((H.M))&gt;HOUR(TABLEAU!$D$62),0,TABLEAU!$D$62-H.M)))</f>
        <v/>
      </c>
      <c r="J62" s="418" t="str">
        <f ca="1">SUBSTITUTE(SUBSTITUTE(SUBSTITUTE(IF(TABLEAU!$I$62="","",SUBSTITUTE(SUBSTITUTE(SUBSTITUTE(SUBSTITUTE(SUBSTITUTE(SUBSTITUTE(SUBSTITUTE(SUBSTITUTE(SUBSTITUTE(SUBSTITUTE(SUBSTITUTE(SUBSTITUTE(SUBSTITUTE(SUBSTITUTE(SUBSTITUTE(SUBSTITUTE(SUBSTITUTE(SUBSTITUTE(SUBSTITUTE(SUBSTITUTE(IF(DATE.DEPASSE&lt;0,TABLEAU!$U$62,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G62,"  "," "),CONCATENATE("(A ",TABLEAU!$Z$62,"): (A ",TABLEAU!$Z$62),CONCATENATE("(A ",TABLEAU!$Z$62)),CONCATENATE("#DEPASSE",TABLEAU!$M$62,"#DEPASSE",TABLEAU!$M$62),CONCATENATE("#DEPASSE",TABLEAU!$M$62)),CONCATENATE("#DEPASSE",TABLEAU!$L$62,"DEPASSE"),"#DEPASSE"),CONCATENATE(TABLEAU!$L$62," (A ",TABLEAU!$Z$62,"): DEPUIS"),"DEPASSE DEPUIS")," 1 "," 1ER "),"DEPASSE DEPUIS DEPASSE DEPUIS","DEPASSE DEPUIS"),CONCATENATE("DEPASSE ",TRIM(TABLEAU!$L$62)," DEPASSE ",TRIM(TABLEAU!$L$62)),CONCATENATE("DEPASSE ",TRIM(TABLEAU!$L$62))),"1ER MIN","1 MIN"),"1ER ERREUR","1 ERREUR"),CONCATENATE("(A ",TABLEAU!$Z$62,"): (A ",TABLEAU!$E$62,":",TABLEAU!$F$62),CONCATENATE("(A ",TABLEAU!$Z$62))," (A ):",""),"DEPASSE DEPUIS (",TABLEAU!$H$62),"] &amp; D","]# &amp; #D"),CONCATENATE("#DEPASSE",TABLEAU!$M$62,"DEPASSE"),"#DEPASSE")," [","): ["),"):):","):"),"DEPUIS ",TABLEAU!$L$62),CONCATENATE(SUBSTITUTE(TABLEAU!$M$62,"DEPUIS ",""))," "),"DEPUIS",CONCATENATE(TABLEAU!$M$62," (",MARDI.VERIFIER," A ")),SUBSTITUTE(TABLEAU!$M$62,"DEPUIS","A"),""),"DEPASSE  ","DEPASSE"),"  A "," A"),"  "," "),TRIM(SUBSTITUTE(TABLEAU!$M$62," DEPUIS ","A ")),"EEE"),"EEE",CONCATENATE("A ",TABLEAU!$Z$62)),CONCATENATE("DEPASSE ",TABLEAU!$L$62,"HIER"),"DEPASSE DEPUIS HIER"),"DEPASSEDEPASSE","DEPASSE DEPUIS "),CONCATENATE(" A ",TABLEAU!$Z$59," (A ",TABLEAU!$Z$59),CONCATENATE(" A ",TABLEAU!$Z$59)),CONCATENATE("A ",TABLEAU!$Z$62," ",TABLEAU!$C$62),TABLEAU!$C$62),CONCATENATE(MOIS.MAINTENANT.2," (A"),CONCATENATE(MOIS.MAINTENANT.2," A")),"#DEPASSE #DEPASSEDEPUIS","#DEPASSE DEPUIS"),"A (A","A"),CONCATENATE(TABLEAU!$L$62," DEPASSE"),"DEPASSE"),"DEPASSE (",CONCATENATE("DEPASSE DEPUIS ",TABLEAU!$Q$62," (")),"''MIN","MIN"),"=):","]="),CONCATENATE("#DEPASSE ",TABLEAU!$Q$62),CONCATENATE("#DEPASSE DEPUIS ",TABLEAU!$Q$62)),"DEPASSE","DEPASSE DEPUIS"),"DEPUIS DEPUIS","DEPUIS")),"US A","USA"),CONCATENATE("DEPASSE DEPUIS ",TABLEAU!$Q$62,"DEPASSE DEPUIS ",TABLEAU!$Q$62),CONCATENATE("DEPASSE DEPUIS ",TABLEAU!$Q$62)),CONCATENATE("#DEPASSE DEPUIS ",TABLEAU!$Q$62," #DEPASSE DEPUIS ",TABLEAU!$Q$62),CONCATENATE("#DEPASSE DEPUIS ",TABLEAU!$Q$62)),"#DEPASSE DEPUIS #DEPASSE DEPUIS","#DEPASSE DEPUIS"),CONCATENATE("): ",MARDI.DANS," (A ",TABLEAU!$E$62,"H",TABLEAU!$F$62),"")," &amp; D"," &amp; #D"),CONCATENATE(MARDI.DANS," (MARDI ",DAY(MARDI.DATE)," ",LOOKUP(MONTH(MARDI.DATE),MOIS)," A ",TABLEAU!$E$62,"H",TABLEAU!$F$62,"): DANS"),"DANS"),CONCATENATE(MARDI.DANS," (MARDI ",DAY(MARDI.DATE)," ",LOOKUP(MONTH(MARDI.DATE),MOIS)," A ",TABLEAU!$E$62,"H",TABLEAU!$F$62,"): ",MARDI.DANS,"= ",TABLEAU!$AN$23,"(A ",TABLEAU!$E$62,"H",TABLEAU!$F$62),CONCATENATE(MARDI.DANS,"= ",TABLEAU!$AN$23," (MARDI ",DAY(MARDI.DATE)," ",LOOKUP(MONTH(MARDI.DATE),MOIS)," A ",TABLEAU!$E$62,"H",TABLEAU!$F$62)),CONCATENATE(MARDI.DANS," (MARDI ",DAY(MARDI.DATE)," ",LOOKUP(MONTH(MARDI.DATE),MOIS)," A ",TABLEAU!$E$62,"H",TABLEAU!$F$62,"): DANS"),"DANS"),"# (",CONCATENATE("#",TABLEAU!$H$62)),"DANS 0","DANS "),"# ~ ",CONCATENATE("#",FICHIER.A.MODIFIER," ~ ")),CONCATENATE("A ",SUBSTITUTE(TABLEAU!$M$33,":","H"),"): ~ (A ",SUBSTITUTE(TABLEAU!$M$33,":","H")),CONCATENATE("A ",SUBSTITUTE(TABLEAU!$M$33,":","H"))),CONCATENATE("(A ",TABLEAU!$Z$62,"): ~ (A"),"(A"),"DANS 0 MIN","MAINTENANT"),"DEPUIS(",CONCATENATE("DEPUIS ",TABLEAU!$M$62," (")),"DEPUIS DEPUIS  (A",CONCATENATE("DEPUIS ",TABLEAU!$M$62," (A")),"(A 1 ",CONCATENATE("(A ",TABLEAU!$E$62,":00")),"#A",CONCATENATE("#DANS ",HOUR(TABLEAU!$I$62),"H",TABLEAU!$N$62," (A")),"DEPUIS DEPUIS",CONCATENATE("DEPUIS ",TABLEAU!$M$62))),"]#D","]# &amp; #D"),"DEPUIS =",CONCATENATE("DEPUIS ",TABLEAU!$M$62)),"DANS  MAINTENANT","MAINTENANT")</f>
        <v/>
      </c>
      <c r="K62" s="419" t="str">
        <f ca="1">TRIM(SUBSTITUTE(SUBSTITUTE(SUBSTITUTE(SUBSTITUTE(SUBSTITUTE(SUBSTITUTE(SUBSTITUTE(SUBSTITUTE(SUBSTITUTE(TABLEAU!$O$62,CONCATENATE("): (",TABLEAU!$W$62),""),CONCATENATE("A ",TABLEAU!$E$62,"H",TABLEAU!$X$62,"): ("),""),"(SUR",CONCATENATE("(A ",TABLEAU!$E$62,"H",TABLEAU!$X$62," SUR"))," &amp; (",CONCATENATE(" &amp; ",TABLEAU!$L$62," (")),"AUJOURD'HUI",""),"##","#"),"1ER MIN","1 MIN"),CONCATENATE("DEPASSE ",TRIM(TABLEAU!$L$62)," DEPASSE"),"DEPASSE")," (A ):",""))</f>
        <v/>
      </c>
      <c r="L62" s="420" t="str">
        <f ca="1">UPPER(IF(TABLEAU!$P$62&lt;&gt;"","",IF(TABLEAU!$P$62="","",IF(TABLEAU!$AM$62&lt;&gt;"","#DEPASSE DEPUIS ",IF(TODAY&lt;&gt;"MARDI","",IF(COUNTIF(ENCOURS,"#EN COURS#")&lt;&gt;0,"MAINTENANT",SUBSTITUTE(SUBSTITUTE(SUBSTITUTE(IF(OR(TABLEAU!$C$62="",TABLEAU!$D$62=""),"",IF(HOUR(TABLEAU!$I$62)=0,CONCATENATE("DANS ",TABLEAU!$N$62," MIN"),CONCATENATE("DANS ",HOUR(TABLEAU!$I$62),"H",TABLEAU!$N$62))),"DANS 0","DANS "),"DANS  MIN",TABLEAU!$M$62),"DANS 0 MIN","MAINTENANT")))))))</f>
        <v/>
      </c>
      <c r="M62" s="420" t="str">
        <f ca="1">IF(TODAY&lt;&gt;"MARDI","",SUBSTITUTE(IF(TABLEAU!$D$62="","",IF(TABLEAU!$AF$62=" ","",IF(TABLEAU!$D$62-H.M&gt;0,"",IF(AND(HOUR(TABLEAU!$AF$62)&gt;0,MINUTE(TABLEAU!$AF$62)&lt;10),CONCATENATE(" ",HOUR(TABLEAU!$AF$62),"H0",MINUTE(TABLEAU!$AF$62)),IF(AND(HOUR(TABLEAU!$AF$62)&gt;0,MINUTE(TABLEAU!$AF$62)&gt;9),CONCATENATE(" ",HOUR(TABLEAU!$AF$62),"H",MINUTE(TABLEAU!$AF$62)),CONCATENATE(" 0",MINUTE(TABLEAU!$AF$62)," MIN"))))))," 0",""))</f>
        <v/>
      </c>
      <c r="N62" s="420" t="str">
        <f ca="1">IF(TABLEAU!$D$62="","",IF(OR(TABLEAU!$C$62="",TODAY&lt;&gt;"MARDI"),"",IF(TABLEAU!$P$62="#DEPASSE#","",IF(HOUR((H.M))&gt;HOUR(TABLEAU!$D$62),"",IF(MINUTE(TABLEAU!$I$62)&lt;10,CONCATENATE("0",MINUTE(TABLEAU!$I$62)),MINUTE(TABLEAU!$I$62))))))</f>
        <v/>
      </c>
      <c r="O62" s="421" t="str">
        <f ca="1">UPPER(SUBSTITUTE(SUBSTITUTE(SUBSTITUTE(SUBSTITUTE(SUBSTITUTE(SUBSTITUTE(SUBSTITUTE(SUBSTITUTE(SUBSTITUTE(TABLEAU!$J$62,"DANS 0H","DANS "),"DANS 0","DANS "),CONCATENATE("(A ",TABLEAU!$E$62,"H",TABLEAU!$X$62,"): (",LOOKUP(WEEKDAY(MARDI.DATE),SEMAINE)," ",DAY(MARDI.DATE)," ",LOOKUP(MONTH(MARDI.DATE),MOIS)," A 20H00): "),CONCATENATE(TABLEAU!$L$62," (A ",TABLEAU!$E$62,"H",TABLEAU!$X$62,")")),"DEPUIS 0","DEPUIS "),"&amp; A","&amp; (A"),CONCATENATE("(",NBA),""),"#DEPASSE DEPUIS (A","(A"),"DANS  MAINTENANT","MAINTENANT"),"] &amp; #","]# &amp; #"))</f>
        <v/>
      </c>
      <c r="P62" s="422" t="str">
        <f ca="1">IF(OR(TABLEAU!$D$62="",TODAY&lt;&gt;"MARDI"),"",IF(AND(HOUR((H.M))=HOUR(TABLEAU!$D$62),MINUTE((H.M))&gt;MINUTE(TABLEAU!$D$62)),"#DEPASSE#",IF(HOUR((H.M))&gt;HOUR(TABLEAU!$D$62),"#DEPASSE#","")))</f>
        <v/>
      </c>
      <c r="Q62" s="423" t="str">
        <f ca="1">IF(OR(TABLEAU!$P$62="",TABLEAU!$S$62=""),"",IF(AND(HOUR(TABLEAU!$S$62)&gt;0,MINUTE(TABLEAU!$S$62)&lt;10),CONCATENATE(HOUR(TABLEAU!$S$62),"H0",MINUTE(TABLEAU!$S$62)),IF(AND(HOUR(TABLEAU!$S$62)=0,MINUTE(TABLEAU!$S$62)&lt;10),CONCATENATE(MINUTE(TABLEAU!$S$62)," MIN"),IF(AND(HOUR(TABLEAU!$S$62)&gt;0,MINUTE(TABLEAU!$S$62)&gt;9),CONCATENATE(HOUR(TABLEAU!$S$62),"H",MINUTE(TABLEAU!$S$62)),CONCATENATE(MINUTE(TABLEAU!$S$62)," MIN")))))</f>
        <v/>
      </c>
      <c r="R62" s="423" t="str">
        <f ca="1">UPPER(IF(OR(TABLEAU!$C$62="",TODAY&lt;&gt;"MARDI"),"",IF(OR(TABLEAU!$D$62="",TABLEAU!$D$62="23:59",TABLEAU!$C$62=""),"",IF(AND(TODAY="MARDI",HOUR(TABLEAU!$I$62)&lt;1,MINUTE(TABLEAU!$I$62)&lt;5,TABLEAU!$I$62&lt;&gt;"",TABLEAU!$I$62&lt;&gt;0),"BIENTOT",""))))</f>
        <v/>
      </c>
      <c r="S62" s="620" t="str">
        <f ca="1">IF(TABLEAU!$D$62="","",IF(TODAY&lt;&gt;"MARDI","",IF((H.M)&gt;TABLEAU!$D$62,"",(H.M)-TABLEAU!$D$62)))</f>
        <v/>
      </c>
      <c r="T62" s="2301"/>
      <c r="U62" s="419" t="str">
        <f ca="1">UPPER(TRIM(SUBSTITUTE(SUBSTITUTE(SUBSTITUTE(SUBSTITUTE(SUBSTITUTE(SUBSTITUTE(SUBSTITUTE(SUBSTITUTE(SUBSTITUTE(SUBSTITUTE(SUBSTITUTE(SUBSTITUTE(SUBSTITUTE(SUBSTITUTE(SUBSTITUTE(SUBSTITUTE(SUBSTITUTE(SUBSTITUTE(IF(TABLEAU!$D$62="","",SUBSTITUTE(SUBSTITUTE(SUBSTITUTE(SUBSTITUTE(SUBSTITUTE(SUBSTITUTE(SUBSTITUTE(SUBSTITUTE(SUBSTITUTE(SUBSTITUTE(SUBSTITUTE(SUBSTITUTE(SUBSTITUTE(SUBSTITUTE(SUBSTITUTE(IF(OR(TABLEAU!$C$62="",TABLEAU!$D$62=""),"",IF(AND(TODAY="MARDI",TABLEAU!$P$62&lt;&gt;""),CONCATENATE("#DEPASSE DEPUIS ",TABLEAU!$M$62," ",TABLEAU!$W$62,"#"),CONCATENATE("#",MARDI.DANS," ",TABLEAU!$H$62,TABLEAU!$C$62,"#"))),": =",":"),CONCATENATE(NBA,"("),""),CONCATENATE(LOOKUP(MONTH(MARDI.DATE),MOIS)," (A"),CONCATENATE(LOOKUP(MONTH(MARDI.DATE),MOIS)," A")),"1ER MIN","1 MIN"),"((","("),"##","#"),"# ","#"),CONCATENATE("#",TABLEAU!$H$62,"DEPUIS"),"#DEPASSE DEPUIS"),"DEMAIN (",CONCATENATE("DEMAIN (MARDI ",DAY(MARDI.DATE)," ",LOOKUP(MONTH(MARDI.DATE),MOIS)," ")),"JOURS (A ",CONCATENATE("JOURS (MARDI ",DAY(MARDI.DATE)," ",LOOKUP(MONTH(MARDI.DATE),MOIS)," A ")),"(A","(MARDI A"),"DANS 00 MIN","DANS "),"DANS 0","DANS "),"#&amp;","# &amp; "),"JOURS [",CONCATENATE("JOURS (",LOOKUP(WEEKDAY(MARDI.DATE),SEMAINE)," ",DAY(MARDI.DATE)," ",LOOKUP(MONTH(MARDI.DATE),MOIS)," A ",HOUR(TABLEAU!$D$62),"H",TABLEAU!$F$62,"): ["))),CONCATENATE(MARDI.DANS," ",MARDI.DANS),CONCATENATE(" ",MARDI.DANS)),"# ","#"),"#&amp; #","# &amp; #"),"US A","USA"),"(~ ("," ~ ("),"MARDI A ","A "),CONCATENATE("#",TABLEAU!$H$62,TABLEAU!$W$62),TABLEAU!$W$62),"DEMAINDANS","DEMAIN DANS"),"''(","'' ("),CONCATENATE("#DANS ",TRIM(TABLEAU!$AH$62)," (#DEPASSE "),"#DEPASSE "),"]#D","]# &amp; #D"),"(MATCH","MATCH"),"COURS &amp; D","COURS# &amp; #D"),"#&amp; ","# &amp; #"),"# &amp; # ","# &amp; #"),CONCATENATE("#DEPASSE DEPUIS ",TABLEAU!$M$62," #"),"#"),"# &amp; ##","# &amp; #"),"DANS  (MAINTENANT","MAINTENANT")))</f>
        <v/>
      </c>
      <c r="V62" s="419" t="str">
        <f ca="1">UPPER(TRIM(SUBSTITUTE(SUBSTITUTE(IF(OR(TABLEAU!$C$62="",TABLEAU!$D$62="",MARDI.DANS&lt;&gt;""),"",TABLEAU!$J$62),JOUR.PLUS,""),"DANS  MAINTENANT","MAINTENANT")))</f>
        <v/>
      </c>
      <c r="W62" s="426" t="str">
        <f ca="1">UPPER(IF(TABLEAU!$C$62=0,"",TABLEAU!$C$62))</f>
        <v/>
      </c>
      <c r="X62" s="780"/>
      <c r="Y62" s="284" t="str">
        <f ca="1">IF(OR(TODAY&lt;&gt;"MARDI",TABLEAU!$C$62=""),"",IF(OR(TABLEAU!$C$62="",TABLEAU!$D$62=""),"",HOUR(TABLEAU!$D$62)))</f>
        <v/>
      </c>
      <c r="Z62" s="284" t="str">
        <f ca="1">IF(TABLEAU!$AM$62&lt;&gt;""," ",IF(OR(TODAY&lt;&gt;"MARDI",TABLEAU!$C$62="",TABLEAU!$D$62="")," ",IF(MINUTE(TABLEAU!$D$62)&lt;10,CONCATENATE(HOUR(TABLEAU!$D$62),"H0",MINUTE(TABLEAU!$D$62)),IF(MINUTE(TABLEAU!$D$62)&gt;9,CONCATENATE(HOUR(TABLEAU!$D$62),"H",MINUTE(TABLEAU!$D$62))))))</f>
        <v xml:space="preserve"> </v>
      </c>
      <c r="AA62" s="428" t="str">
        <f ca="1">TRIM(SUBSTITUTE(SUBSTITUTE(SUBSTITUTE(SUBSTITUTE(IF(TABLEAU!$P$62="#DEPASSE#",TABLEAU!$AB$62,TABLEAU!$U$62),"# ","#"),"#&amp; #","# &amp; #"),"DANS (MAINTENANT","MAINTENANT"),SUBSTITUTE(SUBSTITUTE(CONCATENATE("#",TABLEAU!$H$62,"",TABLEAU!$H$62)," 0"," ")," 0"," "),SUBSTITUTE(TABLEAU!$H$62," 0"," ")))</f>
        <v/>
      </c>
      <c r="AB62" s="420" t="str">
        <f ca="1">UPPER(TRIM(SUBSTITUTE(SUBSTITUTE(SUBSTITUTE(SUBSTITUTE(SUBSTITUTE(SUBSTITUTE(TABLEAU!$K$62,CONCATENATE(LOOKUP(MONTH(A),MOIS)," (A"),CONCATENATE(LOOKUP(MONTH(A),MOIS)," A ")),CONCATENATE(LOOKUP(MONTH(A)+1,MOIS)," (A"),CONCATENATE(LOOKUP(MONTH(A)+1,MOIS)," A ")),CONCATENATE("(",YEAR(MARDI.DATE)),""),"] &amp; DANS","]# &amp; #DANS"),"DANS MAINTENANT","MAINTENANT"),SUBSTITUTE(CONCATENATE("#",SUBSTITUTE(TABLEAU!$H$62,"(",""),"#",TABLEAU!$H$62)," 0"," "),SUBSTITUTE(TABLEAU!$H$62," 0"," "))))</f>
        <v/>
      </c>
      <c r="AC62" s="685" t="str">
        <f ca="1">IF(TABLEAU!$P$62="#DEPASSE#",CONCATENATE(TABLEAU!$AC$61," &amp; ",TABLEAU!$B$62),TABLEAU!$AC$61)</f>
        <v/>
      </c>
      <c r="AD62" s="1827"/>
      <c r="AE62" s="421" t="str">
        <f ca="1">UPPER(TRIM(SUBSTITUTE(SUBSTITUTE(SUBSTITUTE(SUBSTITUTE(SUBSTITUTE(SUBSTITUTE(SUBSTITUTE(SUBSTITUTE(SUBSTITUTE(SUBSTITUTE(SUBSTITUTE(SUBSTITUTE(SUBSTITUTE(SUBSTITUTE(SUBSTITUTE(SUBSTITUTE(SUBSTITUTE(SUBSTITUTE(SUBSTITUTE(SUBSTITUTE(SUBSTITUTE(SUBSTITUTE(SUBSTITUTE(SUBSTITUTE(IF(TABLEAU!$P$62="#DEPASSE#",TABLEAU!$J$62,IF(TABLEAU!$C$62="","",TRIM(SUBSTITUTE(SUBSTITUTE(SUBSTITUTE(SUBSTITUTE(SUBSTITUTE(SUBSTITUTE(SUBSTITUTE(IF(TABLEAU!$L$62="#DEPASSE DEPUIS ",MODIF,IF(TABLEAU!$I$62=SUBSTITUTE(DEPP,"#",""),DEPP,SUBSTITUTE(SUBSTITUTE(SUBSTITUTE(SUBSTITUTE(SUBSTITUTE(SUBSTITUTE(SUBSTITUTE(SUBSTITUTE(SUBSTITUTE(SUBSTITUTE(SUBSTITUTE(SUBSTITUTE(SUBSTITUTE(SUBSTITUTE(SUBSTITUTE(SUBSTITUTE(SUBSTITUTE(SUBSTITUTE(TABLEAU!$AB$62,CONCATENATE(TABLEAU!$K$62," A "),CONCATENATE(TABLEAU!$K$62," (A ")),"JANVIER (","JANVIER "),"FEVRIER (","FEVRIER "),"MARS (","MARS "),"AVRIL (","AVRIL "),"MAI (","MAI "),"JUIN (","JUIN "),"JUILLET (","JUILLET "),"AOUT (","AOUT "),"SEPTEMBRE (","SEPTEMBRE "),"OCTOBRE (","OCTOBRE "),"NOVEMBRE (","NOVEMBRE "),"DECEMBRE (","DECEMBRE "),CONCATENATE(" &amp; ",TABLEAU!$K$62," (")," &amp; "),CONCATENATE(" &amp;",TABLEAU!$L$62,"(")," &amp; ")," &amp; ("," &amp; "),CONCATENATE(TABLEAU!$K$62," (A ",TABLEAU!$AC$62,"): HIER"),"DEPASSE DEPUIS HIER")," &amp; A"," &amp; (A"))),"(A ",CONCATENATE("(",DATE.RDV.TV," A ")),"((","("),CONCATENATE(DATE.RDV.TV," ("),""),CONCATENATE(DATE.RDV.TV," A "),"A "),CONCATENATE(YEAR(A)," (A"),"A"),CONCATENATE(TABLEAU!$L$62," (DEPASSE"),"DEPASSE"),CONCATENATE("DEPASSE",TABLEAU!$L$62,"(",LOOKUP(WEEKDAY(MARDI.DATE),SEMAINE)," ",DAY(MARDI.DATE)," ",LOOKUP(MONTH(MARDI.DATE),MOIS)," A"),"DEPASSE DEPUIS")))),"#&amp; ","# &amp; #"),"DANS (A","MAINTENANT (A"),"DANS (MATCH","DANS MATCH"),CONCATENATE("(DEMAIN= ",DIF.L1," ~ "),""),CONCATENATE("(DEMAIN= ",DIF.LDC," ~ "),""),CONCATENATE("(DEMAIN= ",DIF.UEFA," ~ "),""),CONCATENATE("(DEMAIN= ",DIF.FRANCE," ~ "),""),CONCATENATE("(DEMAIN= ",DIF.LIGUE," ~ "),""),CONCATENATE("(DEMAIN= ",DIF.GP," ~ "),""),CONCATENATE("(DEMAIN= ",DIF.MONDIAL," ~ "),""),CONCATENATE("(DEMAIN= ",DIF.EURO," ~ "),""),CONCATENATE("(DEMAIN= ",DIF.CONFEDERATIONS," ~ "),""),CONCATENATE(TABLEAU!$K$3," A"),"A"),"MARDI A","A"),"MERCREDI A","A"),"JEUDI A","A"),"VENDREDI A","A"),"SAMEDI A","A"),"DIMANCHE A","A"),"00H","0H"),"DEPUIS DEPUIS",CONCATENATE("DEPUIS ",TABLEAU!$M$62)),"] &amp;D","]# &amp; #D"),"A 2A",CONCATENATE("A ",TABLEAU!$Y62,"H",TABLEAU!$F$62))," )",")")))</f>
        <v/>
      </c>
      <c r="AF62" s="984" t="str">
        <f ca="1">IF(TODAY&lt;&gt;"MARDI"," ",IF(TABLEAU!$D$62="","",H.M-TABLEAU!$D$62))</f>
        <v xml:space="preserve"> </v>
      </c>
      <c r="AG62" s="984" t="str">
        <f ca="1">IF(TABLEAU!$B$62="","",IF(TABLEAU!$I$62&lt;&gt;0,"",IF(TODAY&lt;&gt;"MARDI","",IF(TABLEAU!$AF$62=" ","",IF(TABLEAU!$AF$62="","",IF(AND(HOUR(TABLEAU!$AF$62)&gt;0,MINUTE(TABLEAU!$AF$62)&lt;10),CONCATENATE(HOUR(TABLEAU!$AF$62),"H0",MINUTE(TABLEAU!$AF$62)),IF(AND(HOUR(TABLEAU!$AF$62)&gt;0,MINUTE(TABLEAU!$AF$62)&gt;9),CONCATENATE(HOUR(TABLEAU!$AF$62),"H",MINUTE(TABLEAU!$AF$62)),CONCATENATE(MINUTE(TABLEAU!$AF$62)," MIN"))))))))</f>
        <v/>
      </c>
      <c r="AH62" s="984" t="str">
        <f ca="1">IF(TABLEAU!$I$62="","",IF(MINUTE(TABLEAU!$I$62)&gt;9,CONCATENATE(HOUR(TABLEAU!$I$62),"H",MINUTE(TABLEAU!$I$62)),CONCATENATE(HOUR(TABLEAU!$I$62),"H0",MINUTE(TABLEAU!$I$62))))</f>
        <v/>
      </c>
      <c r="AI62" s="1642"/>
      <c r="AJ62" s="79" t="str">
        <f ca="1">IF(TABLEAU!$B$62="","",TABLEAU!$P$62)</f>
        <v/>
      </c>
      <c r="AK62" s="79" t="str">
        <f ca="1">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O$62,"DEPASSE","&amp;&amp;&amp;"),"A",""),"B",""),"C",""),"D",""),"E",""),"F",""),"G",""),"H",""),"I",""),"J",""),"K",""),"L",""),"M",""),"N",""),"O",""),"P",""),"Q",""),"R",""),"S",""),"T",""),"U",""),"V",""),"W",""),"X",""),"Y",""),"Z",""),"0",""),"1",""),"2",""),"3",""),"4",""),"5",""),"6",""),"7",""),"8",""),"9",""),":",""),"(",""),")",""),"[",""),"]","")," ",""))</f>
        <v/>
      </c>
      <c r="AL62" s="637" t="str">
        <f ca="1">UPPER(IF(DATE.RDV.TV&lt;&gt;"MARDI","",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B$62,"DEPASSE ","¤¤"),"A",""),"B",""),"C",""),"D",""),"E",""),"F",""),"G",""),"H",""),"I",""),"J",""),"K",""),"L",""),"M",""),"N",""),"O",""),"P",""),"Q",""),"R",""),"S",""),"T",""),"U",""),"V",""),"W",""),"X",""),"Y",""),"Z",""),"1",""),"2",""),"3",""),"4",""),"5",""),"6",""),"7",""),"8",""),"9",""),"0",""),"-",""),"(",""),")",""),"{",""),"}",""),"=",""),"[",""),"]",""),"#",""),"+",""),":",""),"/",""),"'",""),".","")," &amp; ","")," ° ",""))))</f>
        <v/>
      </c>
      <c r="AM62" s="837" t="str">
        <f ca="1">UPPER(IF(DATE.RDV.TV&lt;&gt;"MARDI","",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C$62,"CHAMPIONNAT","¤"),"LDC","¤¤"),"UEFA","¤¤¤"),"FRANCE","¤¤¤¤"),"LIGUE","¤¤¤¤¤"),"GP","¤¤¤¤¤¤"),"MONDIAL","¤¤¤¤¤¤¤"),"EURO","¤¤¤¤¤¤¤¤"),"CONFEDERATIONS","¤¤¤¤¤¤¤¤¤"),"A",""),"B",""),"C",""),"D",""),"E",""),"F",""),"G",""),"H",""),"I",""),"J",""),"K",""),"L",""),"M",""),"N",""),"O",""),"P",""),"Q",""),"R",""),"S",""),"T",""),"U",""),"V",""),"W",""),"X",""),"Y",""),"Z",""),"1",""),"2",""),"3",""),"4",""),"5",""),"6",""),"7",""),"8",""),"9",""),"0",""),"-",""),"(",""),")",""),"{",""),"}",""),"=",""),"[",""),"]",""),"#",""),"+",""),":",""),"/",""),"'",""),".","")," &amp; ","")," ° ",""),"~",""))))</f>
        <v/>
      </c>
      <c r="AN62" s="1607" t="str">
        <f ca="1">IF(TABLEAU!$B$62=TABLEAU!$B$61,"",IF(OR(TABLEAU!$A$62="#DEPASSE#",TABLEAU!$P$62="#DEPASSE#"),TABLEAU!$B$62,""))</f>
        <v/>
      </c>
      <c r="AO62" s="1608"/>
      <c r="AP62" s="1608"/>
      <c r="AQ62" s="1608"/>
      <c r="AR62" s="1608"/>
      <c r="AS62" s="1608"/>
      <c r="AT62" s="1608"/>
      <c r="AU62" s="1608"/>
      <c r="AV62" s="1608"/>
      <c r="AW62" s="1608"/>
      <c r="AX62" s="1609"/>
      <c r="AY62" s="1243">
        <f ca="1">IF(AND(TABLEAU!$C$62&lt;&gt;"",TABLEAU!$B$62=""),1,0)</f>
        <v>0</v>
      </c>
      <c r="AZ62" s="2576"/>
      <c r="BA62" s="2577"/>
    </row>
    <row r="63" spans="1:53" ht="12" customHeight="1">
      <c r="A63" s="1509" t="str">
        <f ca="1">IF(TABLEAU!$B$63="","",IF(OR(TABLEAU!$AL$63="¤¤",TABLEAU!$P$63&lt;&gt;""),"#DEPASSE#",SUBSTITUTE(IF(OR(MERCREDI.1="",TABLEAU!$C$63=""),"",IF(AND(TODAY="MERCREDI",HOUR((H.M))&gt;HOUR(MERCREDI.1),MINUTE((H.M))&gt;MINUTE(MERCREDI.1)),"",IF(TODAY&lt;&gt;"MERCREDI","",IF(HOUR(TABLEAU!$I$63)&gt;0,CONCATENATE("DANS ",HOUR(TABLEAU!$I$63),"H",TABLEAU!$N$63),CONCATENATE("DANS ",HOUR(TABLEAU!$I$63),"H",TABLEAU!$N$63," MIN")))))," 0H"," ")))</f>
        <v/>
      </c>
      <c r="B63" s="1511" t="str">
        <f ca="1">SUBSTITUTE(SUBSTITUTE(SUBSTITUTE(IF(OR(TABLEAU!$C63,TABLEAU!$D63=""),"",SUBSTITUTE(SUBSTITUTE(SUBSTITUTE(SUBSTITUTE(SUBSTITUTE(SUBSTITUTE(SUBSTITUTE(SUBSTITUTE(SUBSTITUTE(SUBSTITUTE(SUBSTITUTE(SUBSTITUTE(SUBSTITUTE(SUBSTITUTE(SUBSTITUTE(SUBSTITUTE(SUBSTITUTE(SUBSTITUTE(SUBSTITUTE(SUBSTITUTE(SUBSTITUTE(SUBSTITUTE(SUBSTITUTE(SUBSTITUTE(IF(TABLEAU!$C63="","",SUBSTITUTE(IF(TABLEAU!$AE63="",TABLEAU!$U63,TABLEAU!$AE63),CONCATENATE(CVB,YEAR(A)," "),""))," #"," "),"] &amp; D","]# &amp; #D")," &amp; (A",CONCATENATE("# &amp; #",TABLEAU!$H63,"A")),"&amp; DEPASSE","&amp; #DEPASSE"),"## &amp; #A","# &amp; #(A"),"DANS MAINTENANT","MAINTENANT"),CONCATENATE(" H",TABLEAU!$N63),CONCATENATE(" ",TABLEAU!$N63," MIN"))," 0"," "),"] &amp;D","]# &amp; #D"),"}  MIN","} H"),"# &amp; D","# &amp; #D"),CONCATENATE("#MAINTENANT (A ",TABLEAU!$Z63,"): MAINTENANT"),"#MAINTENANT"),TABLEAU!$AB$2,""),TABLEAU!$AM$5,"")," MINAMILTON","HAMILTON"),CONCATENATE(TABLEAU!$Z63," ",TABLEAU!$Z63),TABLEAU!$Z63),"DEPUIS  MINIER","DEPUIS HIER"),"MINONGRIE","HONGRIE"),"#DANS (#DEPASSE","#DEPASSE"),CONCATENATE(" ",YEAR(A)),""),"]= [","= ["),")])",")]"),"#DEPASSE DEPUISDANS","#DANS"),"(A 1A ):",CONCATENATE("(A ",HOUR(TABLEAU!$D63),"H",TABLEAU!$F63,"):"))),"SUR "," SUR "),"  SUR "," SUR "),CONCATENATE("DEPASSE DEPUIS ",TABLEAU!$M63," (A DANS"),"DANS")</f>
        <v>#DANS 4 JOURS (MERCREDI 6 NOVEMBRE A 18H50 SUR TFX): [TELE-REALITE]#</v>
      </c>
      <c r="C63" s="629" t="s">
        <v>169</v>
      </c>
      <c r="D63" s="630">
        <v>0.78472222222222221</v>
      </c>
      <c r="E63" s="2644">
        <f>IF(TABLEAU!$D63="","",IF(TABLEAU!$D63="23:59","",HOUR(TABLEAU!$D63)))</f>
        <v>18</v>
      </c>
      <c r="F63" s="2645" t="str">
        <f>IF(OR(TABLEAU!$D$63="",TABLEAU!$D$63="23:59"),"59",IF(MINUTE(TABLEAU!$D$63)&lt;10,CONCATENATE("0",MINUTE(TABLEAU!$D$63)),CONCATENATE(MINUTE(TABLEAU!$D$63))))</f>
        <v>50</v>
      </c>
      <c r="G63" s="581" t="str">
        <f ca="1">UPPER(SUBSTITUTE(SUBSTITUTE(SUBSTITUTE(IF(TABLEAU!$D$63="","",SUBSTITUTE(SUBSTITUTE(SUBSTITUTE(SUBSTITUTE(SUBSTITUTE(SUBSTITUTE(SUBSTITUTE(SUBSTITUTE(SUBSTITUTE(SUBSTITUTE(SUBSTITUTE(SUBSTITUTE(SUBSTITUTE(SUBSTITUTE(SUBSTITUTE(IF(OR(TABLEAU!$D$63="",TABLEAU!$C$63=""),"",IF(AND(TODAY="MERCREDI",HOUR((H.M))&gt;HOUR(TABLEAU!$D$63),MINUTE((H.M))&gt;MINUTE(TABLEAU!$D$63)),CONCATENATE("#DEPASSE DEPUIS",TABLEAU!$M$63," ",TABLEAU!$C$63,"#"),IF(TABLEAU!$P$63&lt;&gt;"",CONCATENATE("#DEPASSE DEPUIS",TABLEAU!$M$63," ",TABLEAU!$C$63,"#"),IF(TODAY&lt;&gt;"MERCREDI",CONCATENATE("#",MERCREDI.DANS," (MERCREDI ",DAY(MERCREDI.DATE)," ",LOOKUP(MONTH(MERCREDI.DATE),MOIS)," A ",HOUR(TABLEAU!$D$63),"H",TABLEAU!$F$63,"): ",TABLEAU!$C$63,"#"),CONCATENATE("#",TABLEAU!$L$63," (A ",TABLEAU!$Z$63,"): ",SUBSTITUTE(TABLEAU!$C$63,"#",""),"#"))))),CONCATENATE(LOOKUP(MONTH(MERCREDI.DATE),MOIS)," (A"),CONCATENATE(LOOKUP(MONTH(MERCREDI.DATE),MOIS)," A")),"##","#"),CONCATENATE("#DEPASSE DEPUIS  (A ): ",TABLEAU!$C$63,"#"),""),CONCATENATE("(A ",TABLEAU!$E$63,"H",TABLEAU!$X$63,"): "),""),CONCATENATE(TABLEAU!$L$63," DEPUIS"),"DEPASSE DEPUIS"),CONCATENATE("A ",HOUR(TABLEAU!$D$63),"H",TABLEAU!$F$63,"): (A ",HOUR(TABLEAU!$D$63),"H",TABLEAU!$F$63),CONCATENATE("A ",HOUR(TABLEAU!$D$63),"H",TABLEAU!$F$63)),"#DEPASSEDEPASSE","#DEPASSE"),"# (",CONCATENATE("#",TABLEAU!$H$63)),CONCATENATE("A ",SUBSTITUTE(TABLEAU!$M$33,":","H"),"): ~ (A ",SUBSTITUTE(TABLEAU!$M$33,":","H")),CONCATENATE("A ",SUBSTITUTE(TABLEAU!$M$33,":","H"))),CONCATENATE("#DEPASSE ",TABLEAU!$M$63,"#D"),"#D")," D"," #D"),"#DEPUIS","DEPUIS"),"COURS ","COURS# "),"#DE ","DE "),"GP #D","GP D")),"# &amp; #",CONCATENATE("# &amp; #DEPASSE DEPUIS",TABLEAU!$M$63," ")),"] &amp; (",CONCATENATE("]# &amp; DANS ",TABLEAU!$AH$63," ("))," 0"," "))</f>
        <v>#DANS 4 JOURS (MERCREDI 6 NOVEMBRE A 18H50 SUR TFX): [TELE-REALITE]#</v>
      </c>
      <c r="H63" s="555" t="str">
        <f ca="1">SUBSTITUTE(IF(OR(DATE.RDV.TV&lt;&gt;"MERCREDI",TABLEAU!$C$63=""),"",IF(HOUR(TABLEAU!$I$63)=0,CONCATENATE("DANS ",TABLEAU!$N$63," MIN ("),CONCATENATE("DANS ",HOUR(TABLEAU!$I$63),"H",TABLEAU!$N$63," ("))),"DANS  MIN (","")</f>
        <v/>
      </c>
      <c r="I63" s="986" t="str">
        <f ca="1">IF(OR(TODAY&lt;&gt;"MERCREDI",TABLEAU!$C$63=""),"",IF(OR(TABLEAU!$D$63="",TABLEAU!$P$63="#DEPASSE#",TODAY&lt;&gt;"MERCREDI"),0,IF(HOUR((H.M))&gt;HOUR(TABLEAU!$D$63),0,TABLEAU!$D$63-H.M)))</f>
        <v/>
      </c>
      <c r="J63" s="328" t="str">
        <f ca="1">SUBSTITUTE(SUBSTITUTE(SUBSTITUTE(IF(TABLEAU!$I$63="","",SUBSTITUTE(SUBSTITUTE(SUBSTITUTE(SUBSTITUTE(SUBSTITUTE(SUBSTITUTE(SUBSTITUTE(SUBSTITUTE(SUBSTITUTE(SUBSTITUTE(SUBSTITUTE(SUBSTITUTE(SUBSTITUTE(SUBSTITUTE(SUBSTITUTE(SUBSTITUTE(SUBSTITUTE(SUBSTITUTE(SUBSTITUTE(SUBSTITUTE(IF(DATE.DEPASSE&lt;0,TABLEAU!$U$63,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G63,"  "," "),CONCATENATE("(A ",TABLEAU!$Z$63,"): (A ",TABLEAU!$Z$63),CONCATENATE("(A ",TABLEAU!$Z$63)),CONCATENATE("#DEPASSE",TABLEAU!$M$63,"#DEPASSE",TABLEAU!$M$63),CONCATENATE("#DEPASSE",TABLEAU!$M$63)),CONCATENATE("#DEPASSE",TABLEAU!$L$63,"DEPASSE"),"#DEPASSE"),CONCATENATE(TABLEAU!$L$63," (A ",TABLEAU!$Z$63,"): DEPUIS"),"DEPASSE DEPUIS")," 1 "," 1ER "),"DEPASSE DEPUIS DEPASSE DEPUIS","DEPASSE DEPUIS"),CONCATENATE("DEPASSE ",TRIM(TABLEAU!$L$63)," DEPASSE ",TRIM(TABLEAU!$L$63)),CONCATENATE("DEPASSE ",TRIM(TABLEAU!$L$63))),"1ER MIN","1 MIN"),"1ER ERREUR","1 ERREUR"),CONCATENATE("(A ",TABLEAU!$Z$63,"): (A ",TABLEAU!$E$63,":",TABLEAU!$F$63),CONCATENATE("(A ",TABLEAU!$Z$63))," (A ):",""),"DEPASSE DEPUIS (",TABLEAU!$H$63),"] &amp; D","]# &amp; #D"),CONCATENATE("#DEPASSE",TABLEAU!$M$63,"DEPASSE"),"#DEPASSE")," [","): ["),"):):","):"),"DEPUIS ",TABLEAU!$L$63),CONCATENATE(SUBSTITUTE(TABLEAU!$M$63,"DEPUIS ",""))," "),"DEPUIS",CONCATENATE(TABLEAU!$M$63," (",MERCREDI.VERIFIER," A ")),SUBSTITUTE(TABLEAU!$M$63,"DEPUIS","A"),""),"DEPASSE  ","DEPASSE"),"  A "," A"),"  "," "),TRIM(SUBSTITUTE(TABLEAU!$M$63," DEPUIS ","A ")),"EEE"),"EEE",CONCATENATE("A ",TABLEAU!$Z$63)),CONCATENATE("DEPASSE ",TABLEAU!$L$63,"HIER"),"DEPASSE DEPUIS HIER"),"DEPASSEDEPASSE","DEPASSE DEPUIS "),CONCATENATE(" A ",TABLEAU!$Z$59," (A ",TABLEAU!$Z$59),CONCATENATE(" A ",TABLEAU!$Z$59)),CONCATENATE("A ",TABLEAU!$Z$63," ",TABLEAU!$C$63),TABLEAU!$C$63),CONCATENATE(MOIS.MAINTENANT.2," (A"),CONCATENATE(MOIS.MAINTENANT.2," A")),"#DEPASSE #DEPASSEDEPUIS","#DEPASSE DEPUIS"),"A (A","A"),CONCATENATE(TABLEAU!$L$63," DEPASSE"),"DEPASSE"),"DEPASSE (",CONCATENATE("DEPASSE DEPUIS ",TABLEAU!$Q$63," (")),"''MIN","MIN"),"=):","]="),CONCATENATE("#DEPASSE ",TABLEAU!$Q$63),CONCATENATE("#DEPASSE DEPUIS ",TABLEAU!$Q$63)),"DEPASSE","DEPASSE DEPUIS"),"DEPUIS DEPUIS","DEPUIS")),"US A","USA"),CONCATENATE("DEPASSE DEPUIS ",TABLEAU!$Q$63,"DEPASSE DEPUIS ",TABLEAU!$Q$63),CONCATENATE("DEPASSE DEPUIS ",TABLEAU!$Q$63)),CONCATENATE("#DEPASSE DEPUIS ",TABLEAU!$Q$63," #DEPASSE DEPUIS ",TABLEAU!$Q$63),CONCATENATE("#DEPASSE DEPUIS ",TABLEAU!$Q$63)),"#DEPASSE DEPUIS #DEPASSE DEPUIS","#DEPASSE DEPUIS"),CONCATENATE("): ",MERCREDI.DANS," (A ",TABLEAU!$E$63,"H",TABLEAU!$F$63),"")," &amp; D"," &amp; #D"),CONCATENATE(MERCREDI.DANS," (MERCREDI ",DAY(MERCREDI.DATE)," ",LOOKUP(MONTH(MERCREDI.DATE),MOIS)," A ",TABLEAU!$E$63,"H",TABLEAU!$F$63,"): DANS"),"DANS"),CONCATENATE(MERCREDI.DANS," (MERCREDI ",DAY(MERCREDI.DATE)," ",LOOKUP(MONTH(MERCREDI.DATE),MOIS)," A ",TABLEAU!$E$63,"H",TABLEAU!$F$63,"): ",MERCREDI.DANS,"= ",TABLEAU!$AN$23,"(A ",TABLEAU!$E$63,"H",TABLEAU!$F$63),CONCATENATE(MERCREDI.DANS,"= ",TABLEAU!$AN$23," (MERCREDI ",DAY(MERCREDI.DATE)," ",LOOKUP(MONTH(MERCREDI.DATE),MOIS)," A ",TABLEAU!$E$63,"H",TABLEAU!$F$63)),CONCATENATE(MERCREDI.DANS," (MERCREDI ",DAY(MERCREDI.DATE)," ",LOOKUP(MONTH(MERCREDI.DATE),MOIS)," A ",TABLEAU!$E$63,"H",TABLEAU!$F$63,"): DANS"),"DANS"),"# (",CONCATENATE("#",TABLEAU!$H$63)),"DANS 0","DANS "),"# ~ ",CONCATENATE("#",FICHIER.A.MODIFIER," ~ ")),CONCATENATE("A ",SUBSTITUTE(TABLEAU!$M$33,":","H"),"): ~ (A ",SUBSTITUTE(TABLEAU!$M$33,":","H")),CONCATENATE("A ",SUBSTITUTE(TABLEAU!$M$33,":","H"))),CONCATENATE("(A ",TABLEAU!$Z$63,"): ~ (A"),"(A"),"DANS 0 MIN","MAINTENANT"),"DEPUIS(",CONCATENATE("DEPUIS ",TABLEAU!$M$63," (")),"DEPUIS DEPUIS  (A",CONCATENATE("DEPUIS ",TABLEAU!$M$63," (A")),"(A 1 ",CONCATENATE("(A ",TABLEAU!$E$63,":00")),"#A",CONCATENATE("#DANS ",HOUR(TABLEAU!$I$63),"H",TABLEAU!$N$63," (A")),"DEPUIS DEPUIS",CONCATENATE("DEPUIS ",TABLEAU!$M$63))),"]#D","]# &amp; #D"),"DEPUIS =",CONCATENATE("DEPUIS ",TABLEAU!$M$63)),"DANS  MAINTENANT","MAINTENANT")</f>
        <v/>
      </c>
      <c r="K63" s="189" t="str">
        <f ca="1">TRIM(SUBSTITUTE(SUBSTITUTE(SUBSTITUTE(SUBSTITUTE(SUBSTITUTE(SUBSTITUTE(SUBSTITUTE(SUBSTITUTE(SUBSTITUTE(TABLEAU!$O$63,CONCATENATE("): (",TABLEAU!$W$63),""),CONCATENATE("A ",TABLEAU!$E$63,"H",TABLEAU!$X$63,"): ("),""),"(SUR",CONCATENATE("(A ",TABLEAU!$E$63,"H",TABLEAU!$X$63," SUR"))," &amp; (",CONCATENATE(" &amp; ",TABLEAU!$L$63," (")),"AUJOURD'HUI",""),"##","#"),"1ER MIN","1 MIN"),CONCATENATE("DEPASSE ",TRIM(TABLEAU!$L$63)," DEPASSE"),"DEPASSE")," (A ):",""))</f>
        <v/>
      </c>
      <c r="L63" s="231" t="str">
        <f ca="1">UPPER(IF(TABLEAU!$P$63&lt;&gt;"","",IF(TABLEAU!$P$63="","",IF(TABLEAU!$AM$63&lt;&gt;"","#DEPASSE DEPUIS ",IF(TODAY&lt;&gt;"MERCREDI","",IF(COUNTIF(ENCOURS,"#EN COURS#")&lt;&gt;0,"MAINTENANT",SUBSTITUTE(SUBSTITUTE(SUBSTITUTE(IF(OR(TABLEAU!$C$63="",TABLEAU!$D$63=""),"",IF(HOUR(TABLEAU!$I$63)=0,CONCATENATE("DANS ",TABLEAU!$N$63," MIN"),CONCATENATE("DANS ",HOUR(TABLEAU!$I$63),"H",TABLEAU!$N$63))),"DANS 0","DANS "),"DANS  MIN",TABLEAU!$M$63),"DANS 0 MIN","MAINTENANT")))))))</f>
        <v/>
      </c>
      <c r="M63" s="231" t="str">
        <f ca="1">IF(TODAY&lt;&gt;"MERCREDI","",SUBSTITUTE(IF(TABLEAU!$D$63="","",IF(TABLEAU!$AF$63=" ","",IF(TABLEAU!$D$63-H.M&gt;0,"",IF(AND(HOUR(TABLEAU!$AF$63)&gt;0,MINUTE(TABLEAU!$AF$63)&lt;10),CONCATENATE(" ",HOUR(TABLEAU!$AF$63),"H0",MINUTE(TABLEAU!$AF$63)),IF(AND(HOUR(TABLEAU!$AF$63)&gt;0,MINUTE(TABLEAU!$AF$63)&gt;9),CONCATENATE(" ",HOUR(TABLEAU!$AF$63),"H",MINUTE(TABLEAU!$AF$63)),CONCATENATE(" 0",MINUTE(TABLEAU!$AF$63)," MIN"))))))," 0",""))</f>
        <v/>
      </c>
      <c r="N63" s="266" t="str">
        <f ca="1">IF(TABLEAU!$D$63="","",IF(OR(TABLEAU!$C$63="",TODAY&lt;&gt;"MERCREDI"),"",IF(TABLEAU!$P$63="#DEPASSE#","",IF(HOUR((H.M))&gt;HOUR(TABLEAU!$D$63),"",IF(MINUTE(TABLEAU!$I$63)&lt;10,CONCATENATE("0",MINUTE(TABLEAU!$I$63)),MINUTE(TABLEAU!$I$63))))))</f>
        <v/>
      </c>
      <c r="O63" s="190" t="str">
        <f ca="1">UPPER(SUBSTITUTE(SUBSTITUTE(SUBSTITUTE(SUBSTITUTE(SUBSTITUTE(SUBSTITUTE(SUBSTITUTE(SUBSTITUTE(SUBSTITUTE(TABLEAU!$J$63,"DANS 0H","DANS "),"DANS 0","DANS "),CONCATENATE("(A ",TABLEAU!$E$63,"H",TABLEAU!$X$63,"): (",LOOKUP(WEEKDAY(MERCREDI.DATE),SEMAINE)," ",DAY(MERCREDI.DATE)," ",LOOKUP(MONTH(MERCREDI.DATE),MOIS)," A 20H00): "),CONCATENATE(TABLEAU!$L$63," (A ",TABLEAU!$E$63,"H",TABLEAU!$X$63,")")),"DEPUIS 0","DEPUIS "),"&amp; A","&amp; (A"),CONCATENATE("(",NBA),""),"#DEPASSE DEPUIS (A","(A"),"DANS  MAINTENANT","MAINTENANT"),"] &amp; #","]# &amp; #"))</f>
        <v/>
      </c>
      <c r="P63" s="204" t="str">
        <f ca="1">IF(OR(TABLEAU!$D$63="",TODAY&lt;&gt;"MERCREDI"),"",IF(AND(HOUR((H.M))=HOUR(TABLEAU!$D$63),MINUTE((H.M))&gt;MINUTE(TABLEAU!$D$63)),"#DEPASSE#",IF(HOUR((H.M))&gt;HOUR(TABLEAU!$D$63),"#DEPASSE#","")))</f>
        <v/>
      </c>
      <c r="Q63" s="205" t="str">
        <f ca="1">IF(OR(TABLEAU!$P$63="",TABLEAU!$S$63=""),"",IF(AND(HOUR(TABLEAU!$S$63)&gt;0,MINUTE(TABLEAU!$S$63)&lt;10),CONCATENATE(HOUR(TABLEAU!$S$63),"H0",MINUTE(TABLEAU!$S$63)),IF(AND(HOUR(TABLEAU!$S$63)=0,MINUTE(TABLEAU!$S$63)&lt;10),CONCATENATE(MINUTE(TABLEAU!$S$63)," MIN"),IF(AND(HOUR(TABLEAU!$S$63)&gt;0,MINUTE(TABLEAU!$S$63)&gt;9),CONCATENATE(HOUR(TABLEAU!$S$63),"H",MINUTE(TABLEAU!$S$63)),CONCATENATE(MINUTE(TABLEAU!$S$63)," MIN")))))</f>
        <v/>
      </c>
      <c r="R63" s="205" t="str">
        <f ca="1">UPPER(IF(OR(TABLEAU!$C$63="",TODAY&lt;&gt;"MERCREDI"),"",IF(OR(TABLEAU!$D$63="",TABLEAU!$D$63="23:59",TABLEAU!$C$63=""),"",IF(AND(TODAY="MERCREDI",HOUR(TABLEAU!$I$63)&lt;1,MINUTE(TABLEAU!$I$63)&lt;5,TABLEAU!$I$63&lt;&gt;"",TABLEAU!$I$63&lt;&gt;0),"BIENTOT",""))))</f>
        <v/>
      </c>
      <c r="S63" s="617" t="str">
        <f ca="1">IF(TABLEAU!$D$63="","",IF(TODAY&lt;&gt;"MERCREDI","",IF((H.M)&gt;TABLEAU!$D$63,"",(H.M)-TABLEAU!$D$63)))</f>
        <v/>
      </c>
      <c r="T63" s="2308">
        <f ca="1">IF(TODAY="JEUDI",A+6,IF(TODAY="VENDREDI",A+5,IF(TODAY="SAMEDI",A+4,IF(TODAY="DIMANCHE",A+3,IF(TODAY=TABLEAU!$K$3,A+2,IF(TODAY="MARDI",A+1,IF(TODAY="MERCREDI",A)))))))</f>
        <v>43775</v>
      </c>
      <c r="U63" s="189" t="str">
        <f ca="1">UPPER(TRIM(SUBSTITUTE(SUBSTITUTE(SUBSTITUTE(SUBSTITUTE(SUBSTITUTE(SUBSTITUTE(SUBSTITUTE(SUBSTITUTE(SUBSTITUTE(SUBSTITUTE(SUBSTITUTE(SUBSTITUTE(SUBSTITUTE(SUBSTITUTE(SUBSTITUTE(SUBSTITUTE(SUBSTITUTE(SUBSTITUTE(IF(TABLEAU!$D$63="","",SUBSTITUTE(SUBSTITUTE(SUBSTITUTE(SUBSTITUTE(SUBSTITUTE(SUBSTITUTE(SUBSTITUTE(SUBSTITUTE(SUBSTITUTE(SUBSTITUTE(SUBSTITUTE(SUBSTITUTE(SUBSTITUTE(SUBSTITUTE(SUBSTITUTE(IF(OR(TABLEAU!$C$63="",TABLEAU!$D$63=""),"",IF(AND(TODAY="MERCREDI",TABLEAU!$P$63&lt;&gt;""),CONCATENATE("#DEPASSE DEPUIS ",TABLEAU!$M$63," ",TABLEAU!$W$63,"#"),CONCATENATE("#",MERCREDI.DANS," ",TABLEAU!$H$63,TABLEAU!$C$63,"#"))),": =",":"),CONCATENATE(NBA,"("),""),CONCATENATE(LOOKUP(MONTH(MERCREDI.DATE),MOIS)," (A"),CONCATENATE(LOOKUP(MONTH(MERCREDI.DATE),MOIS)," A")),"1ER MIN","1 MIN"),"((","("),"##","#"),"# ","#"),CONCATENATE("#",TABLEAU!$H$63,"DEPUIS"),"#DEPASSE DEPUIS"),"DEMAIN (",CONCATENATE("DEMAIN (MERCREDI ",DAY(MERCREDI.DATE)," ",LOOKUP(MONTH(MERCREDI.DATE),MOIS)," ")),"JOURS (A ",CONCATENATE("JOURS (MERCREDI ",DAY(MERCREDI.DATE)," ",LOOKUP(MONTH(MERCREDI.DATE),MOIS)," A ")),"(A","(MERCREDI A"),"DANS 00 MIN","DANS "),"DANS 0","DANS "),"#&amp;","# &amp; "),"JOURS [",CONCATENATE("JOURS (",LOOKUP(WEEKDAY(MERCREDI.DATE),SEMAINE)," ",DAY(MERCREDI.DATE)," ",LOOKUP(MONTH(MERCREDI.DATE),MOIS)," A ",HOUR(TABLEAU!$D$63),"H",TABLEAU!$F$63,"): ["))),CONCATENATE(MERCREDI.DANS," ",MERCREDI.DANS),CONCATENATE(" ",MERCREDI.DANS)),"# ","#"),"#&amp; #","# &amp; #"),"US A","USA"),"(~ ("," ~ ("),"MERCREDI A ","A "),CONCATENATE("#",TABLEAU!$H$63,TABLEAU!$W$63),TABLEAU!$W$63),"DEMAINDANS","DEMAIN DANS"),"''(","'' ("),CONCATENATE("#DANS ",TRIM(TABLEAU!$AH$63)," (#DEPASSE "),"#DEPASSE "),"]#D","]# &amp; #D"),"(MATCH","MATCH"),"COURS &amp; D","COURS# &amp; #D"),"#&amp; ","# &amp; #"),"# &amp; # ","# &amp; #"),CONCATENATE("#DEPASSE DEPUIS ",TABLEAU!$M$63," #"),"#"),"# &amp; ##","# &amp; #"),"DANS  (MAINTENANT","MAINTENANT")))</f>
        <v>#DANS 4 JOURS (MERCREDI 6 NOVEMBRE A 18H50 SUR TFX): [TELE-REALITE]#</v>
      </c>
      <c r="V63" s="189" t="str">
        <f ca="1">UPPER(TRIM(SUBSTITUTE(SUBSTITUTE(IF(OR(TABLEAU!$C$63="",TABLEAU!$D$63="",MERCREDI.DANS&lt;&gt;""),"",TABLEAU!$J$63),JOUR.PLUS,""),"DANS  MAINTENANT","MAINTENANT")))</f>
        <v/>
      </c>
      <c r="W63" s="222" t="str">
        <f>UPPER(IF(TABLEAU!$C$63=0,"",TABLEAU!$C$63))</f>
        <v>(A 18H50 SUR TFX): [TELE-REALITE]</v>
      </c>
      <c r="X63" s="781"/>
      <c r="Y63" s="231" t="str">
        <f ca="1">IF(OR(TODAY&lt;&gt;"MERCREDI",TABLEAU!$C$63=""),"",IF(OR(TABLEAU!$C$63="",TABLEAU!$D$63=""),"",HOUR(TABLEAU!$D$63)))</f>
        <v/>
      </c>
      <c r="Z63" s="231" t="str">
        <f ca="1">IF(TABLEAU!$AM$63&lt;&gt;""," ",IF(OR(TODAY&lt;&gt;"MERCREDI",TABLEAU!$C$63="",TABLEAU!$D$63="")," ",IF(MINUTE(TABLEAU!$D$63)&lt;10,CONCATENATE(HOUR(TABLEAU!$D$63),"H0",MINUTE(TABLEAU!$D$63)),IF(MINUTE(TABLEAU!$D$63)&gt;9,CONCATENATE(HOUR(TABLEAU!$D$63),"H",MINUTE(TABLEAU!$D$63))))))</f>
        <v xml:space="preserve"> </v>
      </c>
      <c r="AA63" s="240" t="str">
        <f ca="1">TRIM(SUBSTITUTE(SUBSTITUTE(SUBSTITUTE(SUBSTITUTE(IF(TABLEAU!$P$63="#DEPASSE#",TABLEAU!$AB$63,TABLEAU!$U$63),"# ","#"),"#&amp; #","# &amp; #"),"DANS (MAINTENANT","MAINTENANT"),SUBSTITUTE(SUBSTITUTE(CONCATENATE("#",TABLEAU!$H$63,"",TABLEAU!$H$63)," 0"," ")," 0"," "),SUBSTITUTE(TABLEAU!$H$63," 0"," ")))</f>
        <v>DANS 4 JOURS (MERCREDI 6 NOVEMBRE A 18H50 SUR TFX): [TELE-REALITE]</v>
      </c>
      <c r="AB63" s="231" t="str">
        <f ca="1">UPPER(TRIM(SUBSTITUTE(SUBSTITUTE(SUBSTITUTE(SUBSTITUTE(SUBSTITUTE(SUBSTITUTE(TABLEAU!$K$63,CONCATENATE(LOOKUP(MONTH(A),MOIS)," (A"),CONCATENATE(LOOKUP(MONTH(A),MOIS)," A ")),CONCATENATE(LOOKUP(MONTH(A)+1,MOIS)," (A"),CONCATENATE(LOOKUP(MONTH(A)+1,MOIS)," A ")),CONCATENATE("(",YEAR(MERCREDI.DATE)),""),"] &amp; DANS","]# &amp; #DANS"),"DANS MAINTENANT","MAINTENANT"),SUBSTITUTE(CONCATENATE("#",SUBSTITUTE(TABLEAU!$H$63,"(",""),"#",TABLEAU!$H$63)," 0"," "),SUBSTITUTE(TABLEAU!$H$63," 0"," "))))</f>
        <v/>
      </c>
      <c r="AC63" s="686" t="str">
        <f ca="1">SUBSTITUTE(IF(AND(TABLEAU!$P$63="#DEPASSE#",TABLEAU!$U$63=TABLEAU!$AM$1),TABLEAU!$B$33,IF(TABLEAU!$P$63="#DEPASSE#",TABLEAU!$U$63,"")),CONCATENATE(DATE.RDV.TV," A "),"A ")</f>
        <v/>
      </c>
      <c r="AD63" s="1855" t="str">
        <f ca="1">CONCATENATE(LOOKUP(WEEKDAY(MERCREDI.DATE),SEMAINE)," ",DAY(MERCREDI.DATE)," ",LOOKUP(MONTH(MERCREDI.DATE),MOIS)," ")</f>
        <v xml:space="preserve">MERCREDI 6 NOVEMBRE </v>
      </c>
      <c r="AE63" s="190" t="str">
        <f ca="1">UPPER(TRIM(SUBSTITUTE(SUBSTITUTE(SUBSTITUTE(SUBSTITUTE(SUBSTITUTE(SUBSTITUTE(SUBSTITUTE(SUBSTITUTE(SUBSTITUTE(SUBSTITUTE(SUBSTITUTE(SUBSTITUTE(SUBSTITUTE(SUBSTITUTE(SUBSTITUTE(SUBSTITUTE(SUBSTITUTE(SUBSTITUTE(SUBSTITUTE(SUBSTITUTE(SUBSTITUTE(SUBSTITUTE(SUBSTITUTE(SUBSTITUTE(IF(TABLEAU!$P$63="#DEPASSE#",TABLEAU!$J$63,IF(TABLEAU!$C$63="","",TRIM(SUBSTITUTE(SUBSTITUTE(SUBSTITUTE(SUBSTITUTE(SUBSTITUTE(SUBSTITUTE(SUBSTITUTE(IF(TABLEAU!$L$63="#DEPASSE DEPUIS ",MODIF,IF(TABLEAU!$I$63=SUBSTITUTE(DEPP,"#",""),DEPP,SUBSTITUTE(SUBSTITUTE(SUBSTITUTE(SUBSTITUTE(SUBSTITUTE(SUBSTITUTE(SUBSTITUTE(SUBSTITUTE(SUBSTITUTE(SUBSTITUTE(SUBSTITUTE(SUBSTITUTE(SUBSTITUTE(SUBSTITUTE(SUBSTITUTE(SUBSTITUTE(SUBSTITUTE(SUBSTITUTE(TABLEAU!$AB$63,CONCATENATE(TABLEAU!$K$63," A "),CONCATENATE(TABLEAU!$K$63," (A ")),"JANVIER (","JANVIER "),"FEVRIER (","FEVRIER "),"MARS (","MARS "),"AVRIL (","AVRIL "),"MAI (","MAI "),"JUIN (","JUIN "),"JUILLET (","JUILLET "),"AOUT (","AOUT "),"SEPTEMBRE (","SEPTEMBRE "),"OCTOBRE (","OCTOBRE "),"NOVEMBRE (","NOVEMBRE "),"DECEMBRE (","DECEMBRE "),CONCATENATE(" &amp; ",TABLEAU!$K$63," (")," &amp; "),CONCATENATE(" &amp;",TABLEAU!$L$63,"(")," &amp; ")," &amp; ("," &amp; "),CONCATENATE(TABLEAU!$K$63," (A ",TABLEAU!$AC$63,"): HIER"),"DEPASSE DEPUIS HIER")," &amp; A"," &amp; (A"))),"(A ",CONCATENATE("(",DATE.RDV.TV," A ")),"((","("),CONCATENATE(DATE.RDV.TV," ("),""),CONCATENATE(DATE.RDV.TV," A "),"A "),CONCATENATE(YEAR(A)," (A"),"A"),CONCATENATE(TABLEAU!$L$63," (DEPASSE"),"DEPASSE"),CONCATENATE("DEPASSE",TABLEAU!$L$63,"(",LOOKUP(WEEKDAY(MERCREDI.DATE),SEMAINE)," ",DAY(MERCREDI.DATE)," ",LOOKUP(MONTH(MERCREDI.DATE),MOIS)," A"),"DEPASSE DEPUIS")))),"#&amp; ","# &amp; #"),"DANS (A","MAINTENANT (A"),"DANS (MATCH","DANS MATCH"),CONCATENATE("(DEMAIN= ",DIF.L1," ~ "),""),CONCATENATE("(DEMAIN= ",DIF.LDC," ~ "),""),CONCATENATE("(DEMAIN= ",DIF.UEFA," ~ "),""),CONCATENATE("(DEMAIN= ",DIF.FRANCE," ~ "),""),CONCATENATE("(DEMAIN= ",DIF.LIGUE," ~ "),""),CONCATENATE("(DEMAIN= ",DIF.GP," ~ "),""),CONCATENATE("(DEMAIN= ",DIF.MONDIAL," ~ "),""),CONCATENATE("(DEMAIN= ",DIF.EURO," ~ "),""),CONCATENATE("(DEMAIN= ",DIF.CONFEDERATIONS," ~ "),""),CONCATENATE(TABLEAU!$K$3," A"),"A"),"MARDI A","A"),"MERCREDI A","A"),"JEUDI A","A"),"VENDREDI A","A"),"SAMEDI A","A"),"DIMANCHE A","A"),"00H","0H"),"DEPUIS DEPUIS",CONCATENATE("DEPUIS ",TABLEAU!$M$63)),"] &amp;D","]# &amp; #D"),"A 2A",CONCATENATE("A ",TABLEAU!$Y63,"H",TABLEAU!$F$63))," )",")")))</f>
        <v/>
      </c>
      <c r="AF63" s="985" t="str">
        <f ca="1">IF(TODAY&lt;&gt;"MERCREDI"," ",IF(TABLEAU!$D$63="","",H.M-TABLEAU!$D$63))</f>
        <v xml:space="preserve"> </v>
      </c>
      <c r="AG63" s="985" t="str">
        <f ca="1">IF(TABLEAU!$B$63="","",IF(TABLEAU!$I$63&lt;&gt;0,"",IF(TODAY&lt;&gt;"MERCREDI","",IF(TABLEAU!$AF$63=" ","",IF(TABLEAU!$AF$63="","",IF(AND(HOUR(TABLEAU!$AF$63)&gt;0,MINUTE(TABLEAU!$AF$63)&lt;10),CONCATENATE(HOUR(TABLEAU!$AF$63),"H0",MINUTE(TABLEAU!$AF$63)),IF(AND(HOUR(TABLEAU!$AF$63)&gt;0,MINUTE(TABLEAU!$AF$63)&gt;9),CONCATENATE(HOUR(TABLEAU!$AF$63),"H",MINUTE(TABLEAU!$AF$63)),CONCATENATE(MINUTE(TABLEAU!$AF$63)," MIN"))))))))</f>
        <v/>
      </c>
      <c r="AH63" s="985" t="str">
        <f ca="1">IF(TABLEAU!$I$63="","",IF(MINUTE(TABLEAU!$I$63)&gt;9,CONCATENATE(HOUR(TABLEAU!$I$63),"H",MINUTE(TABLEAU!$I$63)),CONCATENATE(HOUR(TABLEAU!$I$63),"H0",MINUTE(TABLEAU!$I$63))))</f>
        <v/>
      </c>
      <c r="AI63" s="1659" t="str">
        <f ca="1">SUBSTITUTE(SUBSTITUTE(CONCATENATE(MERCREDI.TV.1,MERCREDI.TV.2,MERCREDI.TV.3,MERCREDI.TV.4),"##","# &amp; #"),CONCATENATE(" &amp; #",MERCREDI.DANS," (",MERCREDI.VERIFIER)," &amp; #(")</f>
        <v>#DANS 4 JOURS (MERCREDI 6 NOVEMBRE A 18H50 SUR TFX): [TELE-REALITE]# &amp; #(A 19H50 SUR W9): [LES MARSEILLAIS]# &amp; #(A 20H40 SUR AB1): [RAW]#</v>
      </c>
      <c r="AJ63" s="81" t="str">
        <f ca="1">IF(TABLEAU!$B$63="","",TABLEAU!$P$63)</f>
        <v/>
      </c>
      <c r="AK63" s="81" t="str">
        <f ca="1">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O$63,"DEPASSE","&amp;&amp;&amp;"),"A",""),"B",""),"C",""),"D",""),"E",""),"F",""),"G",""),"H",""),"I",""),"J",""),"K",""),"L",""),"M",""),"N",""),"O",""),"P",""),"Q",""),"R",""),"S",""),"T",""),"U",""),"V",""),"W",""),"X",""),"Y",""),"Z",""),"0",""),"1",""),"2",""),"3",""),"4",""),"5",""),"6",""),"7",""),"8",""),"9",""),":",""),"(",""),")",""),"[",""),"]","")," ",""))</f>
        <v/>
      </c>
      <c r="AL63" s="633" t="str">
        <f ca="1">UPPER(IF(DATE.RDV.TV&lt;&gt;"MERCREDI","",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B$63,"DEPASSE ","¤¤"),"A",""),"B",""),"C",""),"D",""),"E",""),"F",""),"G",""),"H",""),"I",""),"J",""),"K",""),"L",""),"M",""),"N",""),"O",""),"P",""),"Q",""),"R",""),"S",""),"T",""),"U",""),"V",""),"W",""),"X",""),"Y",""),"Z",""),"1",""),"2",""),"3",""),"4",""),"5",""),"6",""),"7",""),"8",""),"9",""),"0",""),"-",""),"(",""),")",""),"{",""),"}",""),"=",""),"[",""),"]",""),"#",""),"+",""),":",""),"/",""),"'",""),".","")," &amp; ","")," ° ",""))))</f>
        <v/>
      </c>
      <c r="AM63" s="834" t="str">
        <f ca="1">UPPER(IF(DATE.RDV.TV&lt;&gt;"MERCEDI","",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C$63,"CHAMPIONNAT","¤"),"LDC","¤¤"),"UEFA","¤¤¤"),"FRANCE","¤¤¤¤"),"LIGUE","¤¤¤¤¤"),"GP","¤¤¤¤¤¤"),"MONDIAL","¤¤¤¤¤¤¤"),"EURO","¤¤¤¤¤¤¤¤"),"CONFEDERATIONS","¤¤¤¤¤¤¤¤¤"),"A",""),"B",""),"C",""),"D",""),"E",""),"F",""),"G",""),"H",""),"I",""),"J",""),"K",""),"L",""),"M",""),"N",""),"O",""),"P",""),"Q",""),"R",""),"S",""),"T",""),"U",""),"V",""),"W",""),"X",""),"Y",""),"Z",""),"1",""),"2",""),"3",""),"4",""),"5",""),"6",""),"7",""),"8",""),"9",""),"0",""),"-",""),"(",""),")",""),"{",""),"}",""),"=",""),"[",""),"]",""),"#",""),"+",""),":",""),"/",""),"'",""),".","")," &amp; ","")," ° ",""),"~",""))))</f>
        <v/>
      </c>
      <c r="AN63" s="1616" t="str">
        <f ca="1">IF(OR(TABLEAU!$A$63="#DEPASSE#",TABLEAU!$P$63="#DEPASSE#"),TABLEAU!$B$63,"")</f>
        <v/>
      </c>
      <c r="AO63" s="1617"/>
      <c r="AP63" s="1617"/>
      <c r="AQ63" s="1617"/>
      <c r="AR63" s="1617"/>
      <c r="AS63" s="1617"/>
      <c r="AT63" s="1617"/>
      <c r="AU63" s="1617"/>
      <c r="AV63" s="1617"/>
      <c r="AW63" s="1617"/>
      <c r="AX63" s="1618"/>
      <c r="AY63" s="1243">
        <f ca="1">IF(AND(TABLEAU!$C$63&lt;&gt;"",TABLEAU!$B$63=""),1,0)</f>
        <v>0</v>
      </c>
      <c r="AZ63" s="2576"/>
      <c r="BA63" s="2577"/>
    </row>
    <row r="64" spans="1:53" ht="12" customHeight="1">
      <c r="A64" s="1508" t="str">
        <f ca="1">IF(TABLEAU!$B$64="","",IF(OR(TABLEAU!$AL$64="¤¤",TABLEAU!$P$64&lt;&gt;""),"#DEPASSE#",SUBSTITUTE(IF(OR(MERCREDI.2="",TABLEAU!$C$64=""),"",IF(AND(TODAY="MERCREDI",HOUR((H.M))&gt;HOUR(MERCREDI.2),MINUTE((H.M))&gt;MINUTE(MERCREDI.2)),"",IF(TODAY&lt;&gt;"MERCREDI","",IF(HOUR(TABLEAU!$I$64)&gt;0,CONCATENATE("DANS ",HOUR(TABLEAU!$I$64),"H",TABLEAU!$N$64),CONCATENATE("DANS ",HOUR(TABLEAU!$I$64),"H",TABLEAU!$N$64," MIN")))))," 0H"," ")))</f>
        <v/>
      </c>
      <c r="B64" s="1512" t="str">
        <f ca="1">SUBSTITUTE(SUBSTITUTE(SUBSTITUTE(IF(OR(TABLEAU!$C64,TABLEAU!$D64=""),"",SUBSTITUTE(SUBSTITUTE(SUBSTITUTE(SUBSTITUTE(SUBSTITUTE(SUBSTITUTE(SUBSTITUTE(SUBSTITUTE(SUBSTITUTE(SUBSTITUTE(SUBSTITUTE(SUBSTITUTE(SUBSTITUTE(SUBSTITUTE(SUBSTITUTE(SUBSTITUTE(SUBSTITUTE(SUBSTITUTE(SUBSTITUTE(SUBSTITUTE(SUBSTITUTE(SUBSTITUTE(SUBSTITUTE(SUBSTITUTE(IF(TABLEAU!$C64="","",SUBSTITUTE(IF(TABLEAU!$AE64="",TABLEAU!$U64,TABLEAU!$AE64),CONCATENATE(CVB,YEAR(A)," "),""))," #"," "),"] &amp; D","]# &amp; #D")," &amp; (A",CONCATENATE("# &amp; #",TABLEAU!$H64,"A")),"&amp; DEPASSE","&amp; #DEPASSE"),"## &amp; #A","# &amp; #(A"),"DANS MAINTENANT","MAINTENANT"),CONCATENATE(" H",TABLEAU!$N64),CONCATENATE(" ",TABLEAU!$N64," MIN"))," 0"," "),"] &amp;D","]# &amp; #D"),"}  MIN","} H"),"# &amp; D","# &amp; #D"),CONCATENATE("#MAINTENANT (A ",TABLEAU!$Z64,"): MAINTENANT"),"#MAINTENANT"),TABLEAU!$AB$2,""),TABLEAU!$AM$5,"")," MINAMILTON","HAMILTON"),CONCATENATE(TABLEAU!$Z64," ",TABLEAU!$Z64),TABLEAU!$Z64),"DEPUIS  MINIER","DEPUIS HIER"),"MINONGRIE","HONGRIE"),"#DANS (#DEPASSE","#DEPASSE"),CONCATENATE(" ",YEAR(A)),""),"]= [","= ["),")])",")]"),"#DEPASSE DEPUISDANS","#DANS"),"(A 1A ):",CONCATENATE("(A ",HOUR(TABLEAU!$D64),"H",TABLEAU!$F64,"):"))),"SUR "," SUR "),"  SUR "," SUR "),CONCATENATE("DEPASSE DEPUIS ",TABLEAU!$M64," (A DANS"),"DANS")</f>
        <v>#DANS 4 JOURS (MERCREDI 6 NOVEMBRE A 19H50 SUR W9): [LES MARSEILLAIS]#</v>
      </c>
      <c r="C64" s="631" t="s">
        <v>170</v>
      </c>
      <c r="D64" s="632">
        <v>0.82638888888888884</v>
      </c>
      <c r="E64" s="2646">
        <f>IF(TABLEAU!$D64="","",IF(TABLEAU!$D64="23:59","",HOUR(TABLEAU!$D64)))</f>
        <v>19</v>
      </c>
      <c r="F64" s="2647" t="str">
        <f>IF(OR(TABLEAU!$D$64="",TABLEAU!$D$64="23:59"),"59",IF(MINUTE(TABLEAU!$D$64)&lt;10,CONCATENATE("0",MINUTE(TABLEAU!$D$64)),CONCATENATE(MINUTE(TABLEAU!$D$64))))</f>
        <v>50</v>
      </c>
      <c r="G64" s="582" t="str">
        <f ca="1">UPPER(SUBSTITUTE(SUBSTITUTE(SUBSTITUTE(IF(TABLEAU!$D$64="","",SUBSTITUTE(SUBSTITUTE(SUBSTITUTE(SUBSTITUTE(SUBSTITUTE(SUBSTITUTE(SUBSTITUTE(SUBSTITUTE(SUBSTITUTE(SUBSTITUTE(SUBSTITUTE(SUBSTITUTE(SUBSTITUTE(SUBSTITUTE(SUBSTITUTE(IF(OR(TABLEAU!$D$64="",TABLEAU!$C$64=""),"",IF(AND(TODAY="MERCREDI",HOUR((H.M))&gt;HOUR(TABLEAU!$D$64),MINUTE((H.M))&gt;MINUTE(TABLEAU!$D$64)),CONCATENATE("#DEPASSE DEPUIS",TABLEAU!$M$64," ",TABLEAU!$C$64,"#"),IF(TABLEAU!$P$64&lt;&gt;"",CONCATENATE("#DEPASSE DEPUIS",TABLEAU!$M$64," ",TABLEAU!$C$64,"#"),IF(TODAY&lt;&gt;"MERCREDI",CONCATENATE("#",MERCREDI.DANS," (MERCREDI ",DAY(MERCREDI.DATE)," ",LOOKUP(MONTH(MERCREDI.DATE),MOIS)," A ",HOUR(TABLEAU!$D$64),"H",TABLEAU!$F$64,"): ",TABLEAU!$C$64,"#"),CONCATENATE("#",TABLEAU!$L$64," (A ",TABLEAU!$Z$64,"): ",SUBSTITUTE(TABLEAU!$C$64,"#",""),"#"))))),CONCATENATE(LOOKUP(MONTH(MERCREDI.DATE),MOIS)," (A"),CONCATENATE(LOOKUP(MONTH(MERCREDI.DATE),MOIS)," A")),"##","#"),CONCATENATE("#DEPASSE DEPUIS  (A ): ",TABLEAU!$C$64,"#"),""),CONCATENATE("(A ",TABLEAU!$E$64,"H",TABLEAU!$X$64,"): "),""),CONCATENATE(TABLEAU!$L$64," DEPUIS"),"DEPASSE DEPUIS"),CONCATENATE("A ",HOUR(TABLEAU!$D$64),"H",TABLEAU!$F$64,"): (A ",HOUR(TABLEAU!$D$64),"H",TABLEAU!$F$64),CONCATENATE("A ",HOUR(TABLEAU!$D$64),"H",TABLEAU!$F$64)),"#DEPASSEDEPASSE","#DEPASSE"),"# (",CONCATENATE("#",TABLEAU!$H$64)),CONCATENATE("A ",SUBSTITUTE(TABLEAU!$M$33,":","H"),"): ~ (A ",SUBSTITUTE(TABLEAU!$M$33,":","H")),CONCATENATE("A ",SUBSTITUTE(TABLEAU!$M$33,":","H"))),CONCATENATE("#DEPASSE ",TABLEAU!$M$64,"#D"),"#D")," D"," #D"),"#DEPUIS","DEPUIS"),"COURS ","COURS# "),"#DE ","DE "),"GP #D","GP D")),"# &amp; #",CONCATENATE("# &amp; #DEPASSE DEPUIS",TABLEAU!$M$64," ")),"] &amp; (",CONCATENATE("]# &amp; DANS ",TABLEAU!$AH$64," ("))," 0"," "))</f>
        <v>#DANS 4 JOURS (MERCREDI 6 NOVEMBRE A 19H50 SUR W9): [LES MARSEILLAIS]#</v>
      </c>
      <c r="H64" s="556" t="str">
        <f ca="1">SUBSTITUTE(IF(OR(DATE.RDV.TV&lt;&gt;"MERCREDI",TABLEAU!$C$64=""),"",IF(HOUR(TABLEAU!$I$64)=0,CONCATENATE("DANS ",TABLEAU!$N$64," MIN ("),CONCATENATE("DANS ",HOUR(TABLEAU!$I$64),"H",TABLEAU!$N$64," ("))),"DANS  MIN (","")</f>
        <v/>
      </c>
      <c r="I64" s="294" t="str">
        <f ca="1">IF(OR(TODAY&lt;&gt;"MERCREDI",TABLEAU!$C$64=""),"",IF(OR(TABLEAU!$D$64="",TABLEAU!$P$64="#DEPASSE#",TODAY&lt;&gt;"MERCREDI"),0,IF(HOUR((H.M))&gt;HOUR(TABLEAU!$D$64),0,TABLEAU!$D$64-H.M)))</f>
        <v/>
      </c>
      <c r="J64" s="285" t="str">
        <f ca="1">SUBSTITUTE(SUBSTITUTE(SUBSTITUTE(IF(TABLEAU!$I$64="","",SUBSTITUTE(SUBSTITUTE(SUBSTITUTE(SUBSTITUTE(SUBSTITUTE(SUBSTITUTE(SUBSTITUTE(SUBSTITUTE(SUBSTITUTE(SUBSTITUTE(SUBSTITUTE(SUBSTITUTE(SUBSTITUTE(SUBSTITUTE(SUBSTITUTE(SUBSTITUTE(SUBSTITUTE(SUBSTITUTE(SUBSTITUTE(SUBSTITUTE(IF(DATE.DEPASSE&lt;0,TABLEAU!$U$64,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G64,"  "," "),CONCATENATE("(A ",TABLEAU!$Z$64,"): (A ",TABLEAU!$Z$64),CONCATENATE("(A ",TABLEAU!$Z$64)),CONCATENATE("#DEPASSE",TABLEAU!$M$64,"#DEPASSE",TABLEAU!$M$64),CONCATENATE("#DEPASSE",TABLEAU!$M$64)),CONCATENATE("#DEPASSE",TABLEAU!$L$64,"DEPASSE"),"#DEPASSE"),CONCATENATE(TABLEAU!$L$64," (A ",TABLEAU!$Z$64,"): DEPUIS"),"DEPASSE DEPUIS")," 1 "," 1ER "),"DEPASSE DEPUIS DEPASSE DEPUIS","DEPASSE DEPUIS"),CONCATENATE("DEPASSE ",TRIM(TABLEAU!$L$64)," DEPASSE ",TRIM(TABLEAU!$L$64)),CONCATENATE("DEPASSE ",TRIM(TABLEAU!$L$64))),"1ER MIN","1 MIN"),"1ER ERREUR","1 ERREUR"),CONCATENATE("(A ",TABLEAU!$Z$64,"): (A ",TABLEAU!$E$64,":",TABLEAU!$F$64),CONCATENATE("(A ",TABLEAU!$Z$64))," (A ):",""),"DEPASSE DEPUIS (",TABLEAU!$H$64),"] &amp; D","]# &amp; #D"),CONCATENATE("#DEPASSE",TABLEAU!$M$64,"DEPASSE"),"#DEPASSE")," [","): ["),"):):","):"),"DEPUIS ",TABLEAU!$L$64),CONCATENATE(SUBSTITUTE(TABLEAU!$M$64,"DEPUIS ",""))," "),"DEPUIS",CONCATENATE(TABLEAU!$M$64," (",MERCREDI.VERIFIER," A ")),SUBSTITUTE(TABLEAU!$M$64,"DEPUIS","A"),""),"DEPASSE  ","DEPASSE"),"  A "," A"),"  "," "),TRIM(SUBSTITUTE(TABLEAU!$M$64," DEPUIS ","A ")),"EEE"),"EEE",CONCATENATE("A ",TABLEAU!$Z$64)),CONCATENATE("DEPASSE ",TABLEAU!$L$64,"HIER"),"DEPASSE DEPUIS HIER"),"DEPASSEDEPASSE","DEPASSE DEPUIS "),CONCATENATE(" A ",TABLEAU!$Z$59," (A ",TABLEAU!$Z$59),CONCATENATE(" A ",TABLEAU!$Z$59)),CONCATENATE("A ",TABLEAU!$Z$64," ",TABLEAU!$C$64),TABLEAU!$C$64),CONCATENATE(MOIS.MAINTENANT.2," (A"),CONCATENATE(MOIS.MAINTENANT.2," A")),"#DEPASSE #DEPASSEDEPUIS","#DEPASSE DEPUIS"),"A (A","A"),CONCATENATE(TABLEAU!$L$64," DEPASSE"),"DEPASSE"),"DEPASSE (",CONCATENATE("DEPASSE DEPUIS ",TABLEAU!$Q$64," (")),"''MIN","MIN"),"=):","]="),CONCATENATE("#DEPASSE ",TABLEAU!$Q$64),CONCATENATE("#DEPASSE DEPUIS ",TABLEAU!$Q$64)),"DEPASSE","DEPASSE DEPUIS"),"DEPUIS DEPUIS","DEPUIS")),"US A","USA"),CONCATENATE("DEPASSE DEPUIS ",TABLEAU!$Q$64,"DEPASSE DEPUIS ",TABLEAU!$Q$64),CONCATENATE("DEPASSE DEPUIS ",TABLEAU!$Q$64)),CONCATENATE("#DEPASSE DEPUIS ",TABLEAU!$Q$64," #DEPASSE DEPUIS ",TABLEAU!$Q$64),CONCATENATE("#DEPASSE DEPUIS ",TABLEAU!$Q$64)),"#DEPASSE DEPUIS #DEPASSE DEPUIS","#DEPASSE DEPUIS"),CONCATENATE("): ",MERCREDI.DANS," (A ",TABLEAU!$E$64,"H",TABLEAU!$F$64),"")," &amp; D"," &amp; #D"),CONCATENATE(MERCREDI.DANS," (MERCREDI ",DAY(MERCREDI.DATE)," ",LOOKUP(MONTH(MERCREDI.DATE),MOIS)," A ",TABLEAU!$E$64,"H",TABLEAU!$F$64,"): DANS"),"DANS"),CONCATENATE(MERCREDI.DANS," (MERCREDI ",DAY(MERCREDI.DATE)," ",LOOKUP(MONTH(MERCREDI.DATE),MOIS)," A ",TABLEAU!$E$64,"H",TABLEAU!$F$64,"): ",MERCREDI.DANS,"= ",TABLEAU!$AN$23,"(A ",TABLEAU!$E$64,"H",TABLEAU!$F$64),CONCATENATE(MERCREDI.DANS,"= ",TABLEAU!$AN$23," (MERCREDI ",DAY(MERCREDI.DATE)," ",LOOKUP(MONTH(MERCREDI.DATE),MOIS)," A ",TABLEAU!$E$64,"H",TABLEAU!$F$64)),CONCATENATE(MERCREDI.DANS," (MERCREDI ",DAY(MERCREDI.DATE)," ",LOOKUP(MONTH(MERCREDI.DATE),MOIS)," A ",TABLEAU!$E$64,"H",TABLEAU!$F$64,"): DANS"),"DANS"),"# (",CONCATENATE("#",TABLEAU!$H$64)),"DANS 0","DANS "),"# ~ ",CONCATENATE("#",FICHIER.A.MODIFIER," ~ ")),CONCATENATE("A ",SUBSTITUTE(TABLEAU!$M$33,":","H"),"): ~ (A ",SUBSTITUTE(TABLEAU!$M$33,":","H")),CONCATENATE("A ",SUBSTITUTE(TABLEAU!$M$33,":","H"))),CONCATENATE("(A ",TABLEAU!$Z$64,"): ~ (A"),"(A"),"DANS 0 MIN","MAINTENANT"),"DEPUIS(",CONCATENATE("DEPUIS ",TABLEAU!$M$64," (")),"DEPUIS DEPUIS  (A",CONCATENATE("DEPUIS ",TABLEAU!$M$64," (A")),"(A 1 ",CONCATENATE("(A ",TABLEAU!$E$64,":00")),"#A",CONCATENATE("#DANS ",HOUR(TABLEAU!$I$64),"H",TABLEAU!$N$64," (A")),"DEPUIS DEPUIS",CONCATENATE("DEPUIS ",TABLEAU!$M$64))),"]#D","]# &amp; #D"),"DEPUIS =",CONCATENATE("DEPUIS ",TABLEAU!$M$64)),"DANS  MAINTENANT","MAINTENANT")</f>
        <v/>
      </c>
      <c r="K64" s="286" t="str">
        <f ca="1">TRIM(SUBSTITUTE(SUBSTITUTE(SUBSTITUTE(SUBSTITUTE(SUBSTITUTE(SUBSTITUTE(SUBSTITUTE(SUBSTITUTE(SUBSTITUTE(TABLEAU!$O$64,CONCATENATE("): (",TABLEAU!$W$64),""),CONCATENATE("A ",TABLEAU!$E$64,"H",TABLEAU!$X$64,"): ("),""),"(SUR",CONCATENATE("(A ",TABLEAU!$E$64,"H",TABLEAU!$X$64," SUR"))," &amp; (",CONCATENATE(" &amp; ",TABLEAU!$L$64," (")),"AUJOURD'HUI",""),"##","#"),"1ER MIN","1 MIN"),CONCATENATE("DEPASSE ",TRIM(TABLEAU!$L$64)," DEPASSE"),"DEPASSE")," (A ):",""))</f>
        <v/>
      </c>
      <c r="L64" s="287" t="str">
        <f ca="1">UPPER(IF(TABLEAU!$P$64&lt;&gt;"","",IF(TABLEAU!$P$64="","",IF(TABLEAU!$AM$64&lt;&gt;"","#DEPASSE DEPUIS ",IF(TODAY&lt;&gt;"MERCREDI","",IF(COUNTIF(ENCOURS,"#EN COURS#")&lt;&gt;0,"MAINTENANT",SUBSTITUTE(SUBSTITUTE(SUBSTITUTE(IF(OR(TABLEAU!$C$64="",TABLEAU!$D$64=""),"",IF(HOUR(TABLEAU!$I$64)=0,CONCATENATE("DANS ",TABLEAU!$N$64," MIN"),CONCATENATE("DANS ",HOUR(TABLEAU!$I$64),"H",TABLEAU!$N$64))),"DANS 0","DANS "),"DANS  MIN",TABLEAU!$M$64),"DANS 0 MIN","MAINTENANT")))))))</f>
        <v/>
      </c>
      <c r="M64" s="287" t="str">
        <f ca="1">IF(TODAY&lt;&gt;"MERCREDI","",SUBSTITUTE(IF(TABLEAU!$D$64="","",IF(TABLEAU!$AF$64=" ","",IF(TABLEAU!$D$64-H.M&gt;0,"",IF(AND(HOUR(TABLEAU!$AF$64)&gt;0,MINUTE(TABLEAU!$AF$64)&lt;10),CONCATENATE(" ",HOUR(TABLEAU!$AF$64),"H0",MINUTE(TABLEAU!$AF$64)),IF(AND(HOUR(TABLEAU!$AF$64)&gt;0,MINUTE(TABLEAU!$AF$64)&gt;9),CONCATENATE(" ",HOUR(TABLEAU!$AF$64),"H",MINUTE(TABLEAU!$AF$64)),CONCATENATE(" 0",MINUTE(TABLEAU!$AF$64)," MIN"))))))," 0",""))</f>
        <v/>
      </c>
      <c r="N64" s="276" t="str">
        <f ca="1">IF(TABLEAU!$D$64="","",IF(OR(TABLEAU!$C$64="",TODAY&lt;&gt;"MERCREDI"),"",IF(TABLEAU!$P$64="#DEPASSE#","",IF(HOUR((H.M))&gt;HOUR(TABLEAU!$D$64),"",IF(MINUTE(TABLEAU!$I$64)&lt;10,CONCATENATE("0",MINUTE(TABLEAU!$I$64)),MINUTE(TABLEAU!$I$64))))))</f>
        <v/>
      </c>
      <c r="O64" s="288" t="str">
        <f ca="1">UPPER(SUBSTITUTE(SUBSTITUTE(SUBSTITUTE(SUBSTITUTE(SUBSTITUTE(SUBSTITUTE(SUBSTITUTE(SUBSTITUTE(SUBSTITUTE(TABLEAU!$J$64,"DANS 0H","DANS "),"DANS 0","DANS "),CONCATENATE("(A ",TABLEAU!$E$64,"H",TABLEAU!$X$64,"): (",LOOKUP(WEEKDAY(MERCREDI.DATE),SEMAINE)," ",DAY(MERCREDI.DATE)," ",LOOKUP(MONTH(MERCREDI.DATE),MOIS)," A 20H00): "),CONCATENATE(TABLEAU!$L$64," (A ",TABLEAU!$E$64,"H",TABLEAU!$X$64,")")),"DEPUIS 0","DEPUIS "),"&amp; A","&amp; (A"),CONCATENATE("(",NBA),""),"#DEPASSE DEPUIS (A","(A"),"DANS  MAINTENANT","MAINTENANT"),"] &amp; #","]# &amp; #"))</f>
        <v/>
      </c>
      <c r="P64" s="387" t="str">
        <f ca="1">IF(OR(TABLEAU!$D$64="",TODAY&lt;&gt;"MERCREDI"),"",IF(AND(HOUR((H.M))=HOUR(TABLEAU!$D$64),MINUTE((H.M))&gt;MINUTE(TABLEAU!$D$64)),"#DEPASSE#",IF(HOUR((H.M))&gt;HOUR(TABLEAU!$D$64),"#DEPASSE#","")))</f>
        <v/>
      </c>
      <c r="Q64" s="287" t="str">
        <f ca="1">IF(OR(TABLEAU!$P$64="",TABLEAU!$S$64=""),"",IF(AND(HOUR(TABLEAU!$S$64)&gt;0,MINUTE(TABLEAU!$S$64)&lt;10),CONCATENATE(HOUR(TABLEAU!$S$64),"H0",MINUTE(TABLEAU!$S$64)),IF(AND(HOUR(TABLEAU!$S$64)=0,MINUTE(TABLEAU!$S$64)&lt;10),CONCATENATE(MINUTE(TABLEAU!$S$64)," MIN"),IF(AND(HOUR(TABLEAU!$S$64)&gt;0,MINUTE(TABLEAU!$S$64)&gt;9),CONCATENATE(HOUR(TABLEAU!$S$64),"H",MINUTE(TABLEAU!$S$64)),CONCATENATE(MINUTE(TABLEAU!$S$64)," MIN")))))</f>
        <v/>
      </c>
      <c r="R64" s="287" t="str">
        <f ca="1">UPPER(IF(OR(TABLEAU!$C$64="",TODAY&lt;&gt;"MERCREDI"),"",IF(OR(TABLEAU!$D$64="",TABLEAU!$D$64="23:59",TABLEAU!$C$64=""),"",IF(AND(TODAY="MERCREDI",HOUR(TABLEAU!$I$64)&lt;1,MINUTE(TABLEAU!$I$64)&lt;5,TABLEAU!$I$64&lt;&gt;"",TABLEAU!$I$64&lt;&gt;0),"BIENTOT",""))))</f>
        <v/>
      </c>
      <c r="S64" s="619" t="str">
        <f ca="1">IF(TABLEAU!$D$64="","",IF(TODAY&lt;&gt;"MERCREDI","",IF((H.M)&gt;TABLEAU!$D$64,"",(H.M)-TABLEAU!$D$64)))</f>
        <v/>
      </c>
      <c r="T64" s="2309"/>
      <c r="U64" s="286" t="str">
        <f ca="1">UPPER(TRIM(SUBSTITUTE(SUBSTITUTE(SUBSTITUTE(SUBSTITUTE(SUBSTITUTE(SUBSTITUTE(SUBSTITUTE(SUBSTITUTE(SUBSTITUTE(SUBSTITUTE(SUBSTITUTE(SUBSTITUTE(SUBSTITUTE(SUBSTITUTE(SUBSTITUTE(SUBSTITUTE(SUBSTITUTE(SUBSTITUTE(IF(TABLEAU!$D$64="","",SUBSTITUTE(SUBSTITUTE(SUBSTITUTE(SUBSTITUTE(SUBSTITUTE(SUBSTITUTE(SUBSTITUTE(SUBSTITUTE(SUBSTITUTE(SUBSTITUTE(SUBSTITUTE(SUBSTITUTE(SUBSTITUTE(SUBSTITUTE(SUBSTITUTE(IF(OR(TABLEAU!$C$64="",TABLEAU!$D$64=""),"",IF(AND(TODAY="MERCREDI",TABLEAU!$P$64&lt;&gt;""),CONCATENATE("#DEPASSE DEPUIS ",TABLEAU!$M$64," ",TABLEAU!$W$64,"#"),CONCATENATE("#",MERCREDI.DANS," ",TABLEAU!$H$64,TABLEAU!$C$64,"#"))),": =",":"),CONCATENATE(NBA,"("),""),CONCATENATE(LOOKUP(MONTH(MERCREDI.DATE),MOIS)," (A"),CONCATENATE(LOOKUP(MONTH(MERCREDI.DATE),MOIS)," A")),"1ER MIN","1 MIN"),"((","("),"##","#"),"# ","#"),CONCATENATE("#",TABLEAU!$H$64,"DEPUIS"),"#DEPASSE DEPUIS"),"DEMAIN (",CONCATENATE("DEMAIN (MERCREDI ",DAY(MERCREDI.DATE)," ",LOOKUP(MONTH(MERCREDI.DATE),MOIS)," ")),"JOURS (A ",CONCATENATE("JOURS (MERCREDI ",DAY(MERCREDI.DATE)," ",LOOKUP(MONTH(MERCREDI.DATE),MOIS)," A ")),"(A","(MERCREDI A"),"DANS 00 MIN","DANS "),"DANS 0","DANS "),"#&amp;","# &amp; "),"JOURS [",CONCATENATE("JOURS (",LOOKUP(WEEKDAY(MERCREDI.DATE),SEMAINE)," ",DAY(MERCREDI.DATE)," ",LOOKUP(MONTH(MERCREDI.DATE),MOIS)," A ",HOUR(TABLEAU!$D$64),"H",TABLEAU!$F$64,"): ["))),CONCATENATE(MERCREDI.DANS," ",MERCREDI.DANS),CONCATENATE(" ",MERCREDI.DANS)),"# ","#"),"#&amp; #","# &amp; #"),"US A","USA"),"(~ ("," ~ ("),"MERCREDI A ","A "),CONCATENATE("#",TABLEAU!$H$64,TABLEAU!$W$64),TABLEAU!$W$64),"DEMAINDANS","DEMAIN DANS"),"''(","'' ("),CONCATENATE("#DANS ",TRIM(TABLEAU!$AH$64)," (#DEPASSE "),"#DEPASSE "),"]#D","]# &amp; #D"),"(MATCH","MATCH"),"COURS &amp; D","COURS# &amp; #D"),"#&amp; ","# &amp; #"),"# &amp; # ","# &amp; #"),CONCATENATE("#DEPASSE DEPUIS ",TABLEAU!$M$64," #"),"#"),"# &amp; ##","# &amp; #"),"DANS  (MAINTENANT","MAINTENANT")))</f>
        <v>#DANS 4 JOURS (MERCREDI 6 NOVEMBRE A 19H50 SUR W9): [LES MARSEILLAIS]#</v>
      </c>
      <c r="V64" s="286" t="str">
        <f ca="1">UPPER(TRIM(SUBSTITUTE(SUBSTITUTE(IF(OR(TABLEAU!$C$64="",TABLEAU!$D$64="",MERCREDI.DANS&lt;&gt;""),"",TABLEAU!$J$64),JOUR.PLUS,""),"DANS  MAINTENANT","MAINTENANT")))</f>
        <v/>
      </c>
      <c r="W64" s="346" t="str">
        <f>UPPER(IF(TABLEAU!$C$64=0,"",TABLEAU!$C$64))</f>
        <v>(A 19H50 SUR W9): [LES MARSEILLAIS]</v>
      </c>
      <c r="X64" s="781"/>
      <c r="Y64" s="287" t="str">
        <f ca="1">IF(OR(TODAY&lt;&gt;"MERCREDI",TABLEAU!$C$64=""),"",IF(OR(TABLEAU!$C$64="",TABLEAU!$D$64=""),"",HOUR(TABLEAU!$D$64)))</f>
        <v/>
      </c>
      <c r="Z64" s="287" t="str">
        <f ca="1">IF(TABLEAU!$AM$64&lt;&gt;""," ",IF(OR(TODAY&lt;&gt;"MERCREDI",TABLEAU!$C$64="",TABLEAU!$D$64="")," ",IF(MINUTE(TABLEAU!$D$64)&lt;10,CONCATENATE(HOUR(TABLEAU!$D$64),"H0",MINUTE(TABLEAU!$D$64)),IF(MINUTE(TABLEAU!$D$64)&gt;9,CONCATENATE(HOUR(TABLEAU!$D$64),"H",MINUTE(TABLEAU!$D$64))))))</f>
        <v xml:space="preserve"> </v>
      </c>
      <c r="AA64" s="355" t="str">
        <f ca="1">TRIM(SUBSTITUTE(SUBSTITUTE(SUBSTITUTE(SUBSTITUTE(IF(TABLEAU!$P$64="#DEPASSE#",TABLEAU!$AB$64,TABLEAU!$U$64),"# ","#"),"#&amp; #","# &amp; #"),"DANS (MAINTENANT","MAINTENANT"),SUBSTITUTE(SUBSTITUTE(CONCATENATE("#",TABLEAU!$H$64,"",TABLEAU!$H$64)," 0"," ")," 0"," "),SUBSTITUTE(TABLEAU!$H$64," 0"," ")))</f>
        <v>DANS 4 JOURS (MERCREDI 6 NOVEMBRE A 19H50 SUR W9): [LES MARSEILLAIS]</v>
      </c>
      <c r="AB64" s="287" t="str">
        <f ca="1">UPPER(TRIM(SUBSTITUTE(SUBSTITUTE(SUBSTITUTE(SUBSTITUTE(SUBSTITUTE(SUBSTITUTE(TABLEAU!$K$64,CONCATENATE(LOOKUP(MONTH(A),MOIS)," (A"),CONCATENATE(LOOKUP(MONTH(A),MOIS)," A ")),CONCATENATE(LOOKUP(MONTH(A)+1,MOIS)," (A"),CONCATENATE(LOOKUP(MONTH(A)+1,MOIS)," A ")),CONCATENATE("(",YEAR(MERCREDI.DATE)),""),"] &amp; DANS","]# &amp; #DANS"),"DANS MAINTENANT","MAINTENANT"),SUBSTITUTE(CONCATENATE("#",SUBSTITUTE(TABLEAU!$H$64,"(",""),"#",TABLEAU!$H$64)," 0"," "),SUBSTITUTE(TABLEAU!$H$64," 0"," "))))</f>
        <v/>
      </c>
      <c r="AC64" s="687" t="str">
        <f ca="1">IF(TABLEAU!$P$64="#DEPASSE#",CONCATENATE(TABLEAU!$AC$63," &amp; ",TABLEAU!$B$64),TABLEAU!$AC$63)</f>
        <v/>
      </c>
      <c r="AD64" s="1856"/>
      <c r="AE64" s="288" t="str">
        <f ca="1">UPPER(TRIM(SUBSTITUTE(SUBSTITUTE(SUBSTITUTE(SUBSTITUTE(SUBSTITUTE(SUBSTITUTE(SUBSTITUTE(SUBSTITUTE(SUBSTITUTE(SUBSTITUTE(SUBSTITUTE(SUBSTITUTE(SUBSTITUTE(SUBSTITUTE(SUBSTITUTE(SUBSTITUTE(SUBSTITUTE(SUBSTITUTE(SUBSTITUTE(SUBSTITUTE(SUBSTITUTE(SUBSTITUTE(SUBSTITUTE(SUBSTITUTE(IF(TABLEAU!$P$64="#DEPASSE#",TABLEAU!$J$64,IF(TABLEAU!$C$64="","",TRIM(SUBSTITUTE(SUBSTITUTE(SUBSTITUTE(SUBSTITUTE(SUBSTITUTE(SUBSTITUTE(SUBSTITUTE(IF(TABLEAU!$L$64="#DEPASSE DEPUIS ",MODIF,IF(TABLEAU!$I$64=SUBSTITUTE(DEPP,"#",""),DEPP,SUBSTITUTE(SUBSTITUTE(SUBSTITUTE(SUBSTITUTE(SUBSTITUTE(SUBSTITUTE(SUBSTITUTE(SUBSTITUTE(SUBSTITUTE(SUBSTITUTE(SUBSTITUTE(SUBSTITUTE(SUBSTITUTE(SUBSTITUTE(SUBSTITUTE(SUBSTITUTE(SUBSTITUTE(SUBSTITUTE(TABLEAU!$AB$64,CONCATENATE(TABLEAU!$K$64," A "),CONCATENATE(TABLEAU!$K$64," (A ")),"JANVIER (","JANVIER "),"FEVRIER (","FEVRIER "),"MARS (","MARS "),"AVRIL (","AVRIL "),"MAI (","MAI "),"JUIN (","JUIN "),"JUILLET (","JUILLET "),"AOUT (","AOUT "),"SEPTEMBRE (","SEPTEMBRE "),"OCTOBRE (","OCTOBRE "),"NOVEMBRE (","NOVEMBRE "),"DECEMBRE (","DECEMBRE "),CONCATENATE(" &amp; ",TABLEAU!$K$64," (")," &amp; "),CONCATENATE(" &amp;",TABLEAU!$L$64,"(")," &amp; ")," &amp; ("," &amp; "),CONCATENATE(TABLEAU!$K$64," (A ",TABLEAU!$AC$64,"): HIER"),"DEPASSE DEPUIS HIER")," &amp; A"," &amp; (A"))),"(A ",CONCATENATE("(",DATE.RDV.TV," A ")),"((","("),CONCATENATE(DATE.RDV.TV," ("),""),CONCATENATE(DATE.RDV.TV," A "),"A "),CONCATENATE(YEAR(A)," (A"),"A"),CONCATENATE(TABLEAU!$L$64," (DEPASSE"),"DEPASSE"),CONCATENATE("DEPASSE",TABLEAU!$L$64,"(",LOOKUP(WEEKDAY(MERCREDI.DATE),SEMAINE)," ",DAY(MERCREDI.DATE)," ",LOOKUP(MONTH(MERCREDI.DATE),MOIS)," A"),"DEPASSE DEPUIS")))),"#&amp; ","# &amp; #"),"DANS (A","MAINTENANT (A"),"DANS (MATCH","DANS MATCH"),CONCATENATE("(DEMAIN= ",DIF.L1," ~ "),""),CONCATENATE("(DEMAIN= ",DIF.LDC," ~ "),""),CONCATENATE("(DEMAIN= ",DIF.UEFA," ~ "),""),CONCATENATE("(DEMAIN= ",DIF.FRANCE," ~ "),""),CONCATENATE("(DEMAIN= ",DIF.LIGUE," ~ "),""),CONCATENATE("(DEMAIN= ",DIF.GP," ~ "),""),CONCATENATE("(DEMAIN= ",DIF.MONDIAL," ~ "),""),CONCATENATE("(DEMAIN= ",DIF.EURO," ~ "),""),CONCATENATE("(DEMAIN= ",DIF.CONFEDERATIONS," ~ "),""),CONCATENATE(TABLEAU!$K$3," A"),"A"),"MARDI A","A"),"MERCREDI A","A"),"JEUDI A","A"),"VENDREDI A","A"),"SAMEDI A","A"),"DIMANCHE A","A"),"00H","0H"),"DEPUIS DEPUIS",CONCATENATE("DEPUIS ",TABLEAU!$M$64)),"] &amp;D","]# &amp; #D"),"A 2A",CONCATENATE("A ",TABLEAU!$Y64,"H",TABLEAU!$F$64))," )",")")))</f>
        <v/>
      </c>
      <c r="AF64" s="982" t="str">
        <f ca="1">IF(TODAY&lt;&gt;"MERCREDI"," ",IF(TABLEAU!$D$64="","",H.M-TABLEAU!$D$64))</f>
        <v xml:space="preserve"> </v>
      </c>
      <c r="AG64" s="982" t="str">
        <f ca="1">IF(TABLEAU!$B$64="","",IF(TABLEAU!$I$64&lt;&gt;0,"",IF(TODAY&lt;&gt;"MERCREDI","",IF(TABLEAU!$AF$64=" ","",IF(TABLEAU!$AF$64="","",IF(AND(HOUR(TABLEAU!$AF$64)&gt;0,MINUTE(TABLEAU!$AF$64)&lt;10),CONCATENATE(HOUR(TABLEAU!$AF$64),"H0",MINUTE(TABLEAU!$AF$64)),IF(AND(HOUR(TABLEAU!$AF$64)&gt;0,MINUTE(TABLEAU!$AF$64)&gt;9),CONCATENATE(HOUR(TABLEAU!$AF$64),"H",MINUTE(TABLEAU!$AF$64)),CONCATENATE(MINUTE(TABLEAU!$AF$64)," MIN"))))))))</f>
        <v/>
      </c>
      <c r="AH64" s="982" t="str">
        <f ca="1">IF(TABLEAU!$I$64="","",IF(MINUTE(TABLEAU!$I$64)&gt;9,CONCATENATE(HOUR(TABLEAU!$I$64),"H",MINUTE(TABLEAU!$I$64)),CONCATENATE(HOUR(TABLEAU!$I$64),"H0",MINUTE(TABLEAU!$I$64))))</f>
        <v/>
      </c>
      <c r="AI64" s="1660"/>
      <c r="AJ64" s="82" t="str">
        <f ca="1">IF(TABLEAU!$B$64="","",TABLEAU!$P$64)</f>
        <v/>
      </c>
      <c r="AK64" s="82" t="str">
        <f ca="1">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O$64,"DEPASSE","&amp;&amp;&amp;"),"A",""),"B",""),"C",""),"D",""),"E",""),"F",""),"G",""),"H",""),"I",""),"J",""),"K",""),"L",""),"M",""),"N",""),"O",""),"P",""),"Q",""),"R",""),"S",""),"T",""),"U",""),"V",""),"W",""),"X",""),"Y",""),"Z",""),"0",""),"1",""),"2",""),"3",""),"4",""),"5",""),"6",""),"7",""),"8",""),"9",""),":",""),"(",""),")",""),"[",""),"]","")," ",""))</f>
        <v/>
      </c>
      <c r="AL64" s="61" t="str">
        <f ca="1">UPPER(IF(DATE.RDV.TV&lt;&gt;"MERCREDI","",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B$64,"DEPASSE ","¤¤"),"A",""),"B",""),"C",""),"D",""),"E",""),"F",""),"G",""),"H",""),"I",""),"J",""),"K",""),"L",""),"M",""),"N",""),"O",""),"P",""),"Q",""),"R",""),"S",""),"T",""),"U",""),"V",""),"W",""),"X",""),"Y",""),"Z",""),"1",""),"2",""),"3",""),"4",""),"5",""),"6",""),"7",""),"8",""),"9",""),"0",""),"-",""),"(",""),")",""),"{",""),"}",""),"=",""),"[",""),"]",""),"#",""),"+",""),":",""),"/",""),"'",""),".","")," &amp; ","")," ° ",""))))</f>
        <v/>
      </c>
      <c r="AM64" s="835" t="str">
        <f ca="1">UPPER(IF(DATE.RDV.TV&lt;&gt;"MERCEDI","",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C$64,"CHAMPIONNAT","¤"),"LDC","¤¤"),"UEFA","¤¤¤"),"FRANCE","¤¤¤¤"),"LIGUE","¤¤¤¤¤"),"GP","¤¤¤¤¤¤"),"MONDIAL","¤¤¤¤¤¤¤"),"EURO","¤¤¤¤¤¤¤¤"),"CONFEDERATIONS","¤¤¤¤¤¤¤¤¤"),"A",""),"B",""),"C",""),"D",""),"E",""),"F",""),"G",""),"H",""),"I",""),"J",""),"K",""),"L",""),"M",""),"N",""),"O",""),"P",""),"Q",""),"R",""),"S",""),"T",""),"U",""),"V",""),"W",""),"X",""),"Y",""),"Z",""),"1",""),"2",""),"3",""),"4",""),"5",""),"6",""),"7",""),"8",""),"9",""),"0",""),"-",""),"(",""),")",""),"{",""),"}",""),"=",""),"[",""),"]",""),"#",""),"+",""),":",""),"/",""),"'",""),".","")," &amp; ","")," ° ",""),"~",""))))</f>
        <v/>
      </c>
      <c r="AN64" s="1579" t="str">
        <f ca="1">IF(TABLEAU!$B$64=TABLEAU!$B$63,"",IF(OR(TABLEAU!$A$64="#DEPASSE#",TABLEAU!$P$64="#DEPASSE#"),TABLEAU!$B$64,""))</f>
        <v/>
      </c>
      <c r="AO64" s="1580"/>
      <c r="AP64" s="1580"/>
      <c r="AQ64" s="1580"/>
      <c r="AR64" s="1580"/>
      <c r="AS64" s="1580"/>
      <c r="AT64" s="1580"/>
      <c r="AU64" s="1580"/>
      <c r="AV64" s="1580"/>
      <c r="AW64" s="1580"/>
      <c r="AX64" s="1581"/>
      <c r="AY64" s="1243">
        <f ca="1">IF(AND(TABLEAU!$C$64&lt;&gt;"",TABLEAU!$B$64=""),1,0)</f>
        <v>0</v>
      </c>
      <c r="AZ64" s="2576"/>
      <c r="BA64" s="2577"/>
    </row>
    <row r="65" spans="1:53" ht="12" customHeight="1">
      <c r="A65" s="1508" t="str">
        <f ca="1">IF(TABLEAU!$B$65="","",IF(OR(TABLEAU!$AL$65="¤¤",TABLEAU!$P$65&lt;&gt;""),"#DEPASSE#",SUBSTITUTE(IF(OR(MERCREDI.3="",TABLEAU!$C$65=""),"",IF(AND(TODAY="MERCREDI",HOUR((H.M))&gt;HOUR(MERCREDI.3),MINUTE((H.M))&gt;MINUTE(MERCREDI.3)),"",IF(TODAY&lt;&gt;"MERCREDI","",IF(HOUR(TABLEAU!$I$65)&gt;0,CONCATENATE("DANS ",HOUR(TABLEAU!$I$65),"H",TABLEAU!$N$65),CONCATENATE("DANS ",HOUR(TABLEAU!$I$65),"H",TABLEAU!$N$65," MIN")))))," 0H"," ")))</f>
        <v/>
      </c>
      <c r="B65" s="1513" t="str">
        <f ca="1">SUBSTITUTE(SUBSTITUTE(SUBSTITUTE(IF(OR(TABLEAU!$C65,TABLEAU!$D65=""),"",SUBSTITUTE(SUBSTITUTE(SUBSTITUTE(SUBSTITUTE(SUBSTITUTE(SUBSTITUTE(SUBSTITUTE(SUBSTITUTE(SUBSTITUTE(SUBSTITUTE(SUBSTITUTE(SUBSTITUTE(SUBSTITUTE(SUBSTITUTE(SUBSTITUTE(SUBSTITUTE(SUBSTITUTE(SUBSTITUTE(SUBSTITUTE(SUBSTITUTE(SUBSTITUTE(SUBSTITUTE(SUBSTITUTE(SUBSTITUTE(IF(TABLEAU!$C65="","",SUBSTITUTE(IF(TABLEAU!$AE65="",TABLEAU!$U65,TABLEAU!$AE65),CONCATENATE(CVB,YEAR(A)," "),""))," #"," "),"] &amp; D","]# &amp; #D")," &amp; (A",CONCATENATE("# &amp; #",TABLEAU!$H65,"A")),"&amp; DEPASSE","&amp; #DEPASSE"),"## &amp; #A","# &amp; #(A"),"DANS MAINTENANT","MAINTENANT"),CONCATENATE(" H",TABLEAU!$N65),CONCATENATE(" ",TABLEAU!$N65," MIN"))," 0"," "),"] &amp;D","]# &amp; #D"),"}  MIN","} H"),"# &amp; D","# &amp; #D"),CONCATENATE("#MAINTENANT (A ",TABLEAU!$Z65,"): MAINTENANT"),"#MAINTENANT"),TABLEAU!$AB$2,""),TABLEAU!$AM$5,"")," MINAMILTON","HAMILTON"),CONCATENATE(TABLEAU!$Z65," ",TABLEAU!$Z65),TABLEAU!$Z65),"DEPUIS  MINIER","DEPUIS HIER"),"MINONGRIE","HONGRIE"),"#DANS (#DEPASSE","#DEPASSE"),CONCATENATE(" ",YEAR(A)),""),"]= [","= ["),")])",")]"),"#DEPASSE DEPUISDANS","#DANS"),"(A 1A ):",CONCATENATE("(A ",HOUR(TABLEAU!$D65),"H",TABLEAU!$F65,"):"))),"SUR "," SUR "),"  SUR "," SUR "),CONCATENATE("DEPASSE DEPUIS ",TABLEAU!$M65," (A DANS"),"DANS")</f>
        <v>#DANS 4 JOURS (MERCREDI 6 NOVEMBRE A 20H40 SUR AB1): [RAW]#</v>
      </c>
      <c r="C65" s="832" t="s">
        <v>136</v>
      </c>
      <c r="D65" s="833">
        <v>0.86111111111111116</v>
      </c>
      <c r="E65" s="2646">
        <f>IF(TABLEAU!$D65="","",IF(TABLEAU!$D65="23:59","",HOUR(TABLEAU!$D65)))</f>
        <v>20</v>
      </c>
      <c r="F65" s="2647" t="str">
        <f>IF(OR(TABLEAU!$D$65="",TABLEAU!$D$65="23:59"),"59",IF(MINUTE(TABLEAU!$D$65)&lt;10,CONCATENATE("0",MINUTE(TABLEAU!$D$65)),CONCATENATE(MINUTE(TABLEAU!$D$65))))</f>
        <v>40</v>
      </c>
      <c r="G65" s="583" t="str">
        <f ca="1">UPPER(SUBSTITUTE(SUBSTITUTE(SUBSTITUTE(IF(TABLEAU!$D$65="","",SUBSTITUTE(SUBSTITUTE(SUBSTITUTE(SUBSTITUTE(SUBSTITUTE(SUBSTITUTE(SUBSTITUTE(SUBSTITUTE(SUBSTITUTE(SUBSTITUTE(SUBSTITUTE(SUBSTITUTE(SUBSTITUTE(SUBSTITUTE(SUBSTITUTE(IF(OR(TABLEAU!$D$65="",TABLEAU!$C$65=""),"",IF(AND(TODAY="MERCREDI",HOUR((H.M))&gt;HOUR(TABLEAU!$D$65),MINUTE((H.M))&gt;MINUTE(TABLEAU!$D$65)),CONCATENATE("#DEPASSE DEPUIS",TABLEAU!$M$65," ",TABLEAU!$C$65,"#"),IF(TABLEAU!$P$65&lt;&gt;"",CONCATENATE("#DEPASSE DEPUIS",TABLEAU!$M$65," ",TABLEAU!$C$65,"#"),IF(TODAY&lt;&gt;"MERCREDI",CONCATENATE("#",MERCREDI.DANS," (MERCREDI ",DAY(MERCREDI.DATE)," ",LOOKUP(MONTH(MERCREDI.DATE),MOIS)," A ",HOUR(TABLEAU!$D$65),"H",TABLEAU!$F$65,"): ",TABLEAU!$C$65,"#"),CONCATENATE("#",TABLEAU!$L$65," (A ",TABLEAU!$Z$65,"): ",SUBSTITUTE(TABLEAU!$C$65,"#",""),"#"))))),CONCATENATE(LOOKUP(MONTH(MERCREDI.DATE),MOIS)," (A"),CONCATENATE(LOOKUP(MONTH(MERCREDI.DATE),MOIS)," A")),"##","#"),CONCATENATE("#DEPASSE DEPUIS  (A ): ",TABLEAU!$C$65,"#"),""),CONCATENATE("(A ",TABLEAU!$E$65,"H",TABLEAU!$X$65,"): "),""),CONCATENATE(TABLEAU!$L$65," DEPUIS"),"DEPASSE DEPUIS"),CONCATENATE("A ",HOUR(TABLEAU!$D$65),"H",TABLEAU!$F$65,"): (A ",HOUR(TABLEAU!$D$65),"H",TABLEAU!$F$65),CONCATENATE("A ",HOUR(TABLEAU!$D$65),"H",TABLEAU!$F$65)),"#DEPASSEDEPASSE","#DEPASSE"),"# (",CONCATENATE("#",TABLEAU!$H$65)),CONCATENATE("A ",SUBSTITUTE(TABLEAU!$M$33,":","H"),"): ~ (A ",SUBSTITUTE(TABLEAU!$M$33,":","H")),CONCATENATE("A ",SUBSTITUTE(TABLEAU!$M$33,":","H"))),CONCATENATE("#DEPASSE ",TABLEAU!$M$65,"#D"),"#D")," D"," #D"),"#DEPUIS","DEPUIS"),"COURS ","COURS# "),"#DE ","DE "),"GP #D","GP D")),"# &amp; #",CONCATENATE("# &amp; #DEPASSE DEPUIS",TABLEAU!$M$65," ")),"] &amp; (",CONCATENATE("]# &amp; DANS ",TABLEAU!$AH$65," ("))," 0"," "))</f>
        <v>#DANS 4 JOURS (MERCREDI 6 NOVEMBRE A 20H40 SUR AB1): [RAW]#</v>
      </c>
      <c r="H65" s="557" t="str">
        <f ca="1">SUBSTITUTE(IF(OR(DATE.RDV.TV&lt;&gt;"MERCREDI",TABLEAU!$C$65=""),"",IF(HOUR(TABLEAU!$I$65)=0,CONCATENATE("DANS ",TABLEAU!$N$65," MIN ("),CONCATENATE("DANS ",HOUR(TABLEAU!$I$65),"H",TABLEAU!$N$65," ("))),"DANS  MIN (","")</f>
        <v/>
      </c>
      <c r="I65" s="329" t="str">
        <f ca="1">IF(OR(TODAY&lt;&gt;"MERCREDI",TABLEAU!$C$65=""),"",IF(OR(TABLEAU!$D$65="",TABLEAU!$P$65="#DEPASSE#",TODAY&lt;&gt;"MERCREDI"),0,IF(HOUR((H.M))&gt;HOUR(TABLEAU!$D$65),0,TABLEAU!$D$65-H.M)))</f>
        <v/>
      </c>
      <c r="J65" s="330" t="str">
        <f ca="1">SUBSTITUTE(SUBSTITUTE(SUBSTITUTE(IF(TABLEAU!$I$65="","",SUBSTITUTE(SUBSTITUTE(SUBSTITUTE(SUBSTITUTE(SUBSTITUTE(SUBSTITUTE(SUBSTITUTE(SUBSTITUTE(SUBSTITUTE(SUBSTITUTE(SUBSTITUTE(SUBSTITUTE(SUBSTITUTE(SUBSTITUTE(SUBSTITUTE(SUBSTITUTE(SUBSTITUTE(SUBSTITUTE(SUBSTITUTE(SUBSTITUTE(IF(DATE.DEPASSE&lt;0,TABLEAU!$U$65,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G65,"  "," "),CONCATENATE("(A ",TABLEAU!$Z$65,"): (A ",TABLEAU!$Z$65),CONCATENATE("(A ",TABLEAU!$Z$65)),CONCATENATE("#DEPASSE",TABLEAU!$M$65,"#DEPASSE",TABLEAU!$M$65),CONCATENATE("#DEPASSE",TABLEAU!$M$65)),CONCATENATE("#DEPASSE",TABLEAU!$L$65,"DEPASSE"),"#DEPASSE"),CONCATENATE(TABLEAU!$L$65," (A ",TABLEAU!$Z$65,"): DEPUIS"),"DEPASSE DEPUIS")," 1 "," 1ER "),"DEPASSE DEPUIS DEPASSE DEPUIS","DEPASSE DEPUIS"),CONCATENATE("DEPASSE ",TRIM(TABLEAU!$L$65)," DEPASSE ",TRIM(TABLEAU!$L$65)),CONCATENATE("DEPASSE ",TRIM(TABLEAU!$L$65))),"1ER MIN","1 MIN"),"1ER ERREUR","1 ERREUR"),CONCATENATE("(A ",TABLEAU!$Z$65,"): (A ",TABLEAU!$E$65,":",TABLEAU!$F$65),CONCATENATE("(A ",TABLEAU!$Z$65))," (A ):",""),"DEPASSE DEPUIS (",TABLEAU!$H$65),"] &amp; D","]# &amp; #D"),CONCATENATE("#DEPASSE",TABLEAU!$M$65,"DEPASSE"),"#DEPASSE")," [","): ["),"):):","):"),"DEPUIS ",TABLEAU!$L$65),CONCATENATE(SUBSTITUTE(TABLEAU!$M$65,"DEPUIS ",""))," "),"DEPUIS",CONCATENATE(TABLEAU!$M$65," (",MERCREDI.VERIFIER," A ")),SUBSTITUTE(TABLEAU!$M$65,"DEPUIS","A"),""),"DEPASSE  ","DEPASSE"),"  A "," A"),"  "," "),TRIM(SUBSTITUTE(TABLEAU!$M$65," DEPUIS ","A ")),"EEE"),"EEE",CONCATENATE("A ",TABLEAU!$Z$65)),CONCATENATE("DEPASSE ",TABLEAU!$L$65,"HIER"),"DEPASSE DEPUIS HIER"),"DEPASSEDEPASSE","DEPASSE DEPUIS "),CONCATENATE(" A ",TABLEAU!$Z$59," (A ",TABLEAU!$Z$59),CONCATENATE(" A ",TABLEAU!$Z$59)),CONCATENATE("A ",TABLEAU!$Z$65," ",TABLEAU!$C$65),TABLEAU!$C$65),CONCATENATE(MOIS.MAINTENANT.2," (A"),CONCATENATE(MOIS.MAINTENANT.2," A")),"#DEPASSE #DEPASSEDEPUIS","#DEPASSE DEPUIS"),"A (A","A"),CONCATENATE(TABLEAU!$L$65," DEPASSE"),"DEPASSE"),"DEPASSE (",CONCATENATE("DEPASSE DEPUIS ",TABLEAU!$Q$65," (")),"''MIN","MIN"),"=):","]="),CONCATENATE("#DEPASSE ",TABLEAU!$Q$65),CONCATENATE("#DEPASSE DEPUIS ",TABLEAU!$Q$65)),"DEPASSE","DEPASSE DEPUIS"),"DEPUIS DEPUIS","DEPUIS")),"US A","USA"),CONCATENATE("DEPASSE DEPUIS ",TABLEAU!$Q$65,"DEPASSE DEPUIS ",TABLEAU!$Q$65),CONCATENATE("DEPASSE DEPUIS ",TABLEAU!$Q$65)),CONCATENATE("#DEPASSE DEPUIS ",TABLEAU!$Q$65," #DEPASSE DEPUIS ",TABLEAU!$Q$65),CONCATENATE("#DEPASSE DEPUIS ",TABLEAU!$Q$65)),"#DEPASSE DEPUIS #DEPASSE DEPUIS","#DEPASSE DEPUIS"),CONCATENATE("): ",MERCREDI.DANS," (A ",TABLEAU!$E$65,"H",TABLEAU!$F$65),"")," &amp; D"," &amp; #D"),CONCATENATE(MERCREDI.DANS," (MERCREDI ",DAY(MERCREDI.DATE)," ",LOOKUP(MONTH(MERCREDI.DATE),MOIS)," A ",TABLEAU!$E$65,"H",TABLEAU!$F$65,"): DANS"),"DANS"),CONCATENATE(MERCREDI.DANS," (MERCREDI ",DAY(MERCREDI.DATE)," ",LOOKUP(MONTH(MERCREDI.DATE),MOIS)," A ",TABLEAU!$E$65,"H",TABLEAU!$F$65,"): ",MERCREDI.DANS,"= ",TABLEAU!$AN$23,"(A ",TABLEAU!$E$65,"H",TABLEAU!$F$65),CONCATENATE(MERCREDI.DANS,"= ",TABLEAU!$AN$23," (MERCREDI ",DAY(MERCREDI.DATE)," ",LOOKUP(MONTH(MERCREDI.DATE),MOIS)," A ",TABLEAU!$E$65,"H",TABLEAU!$F$65)),CONCATENATE(MERCREDI.DANS," (MERCREDI ",DAY(MERCREDI.DATE)," ",LOOKUP(MONTH(MERCREDI.DATE),MOIS)," A ",TABLEAU!$E$65,"H",TABLEAU!$F$65,"): DANS"),"DANS"),"# (",CONCATENATE("#",TABLEAU!$H$65)),"DANS 0","DANS "),"# ~ ",CONCATENATE("#",FICHIER.A.MODIFIER," ~ ")),CONCATENATE("A ",SUBSTITUTE(TABLEAU!$M$33,":","H"),"): ~ (A ",SUBSTITUTE(TABLEAU!$M$33,":","H")),CONCATENATE("A ",SUBSTITUTE(TABLEAU!$M$33,":","H"))),CONCATENATE("(A ",TABLEAU!$Z$65,"): ~ (A"),"(A"),"DANS 0 MIN","MAINTENANT"),"DEPUIS(",CONCATENATE("DEPUIS ",TABLEAU!$M$65," (")),"DEPUIS DEPUIS  (A",CONCATENATE("DEPUIS ",TABLEAU!$M$65," (A")),"(A 1 ",CONCATENATE("(A ",TABLEAU!$E$65,":00")),"#A",CONCATENATE("#DANS ",HOUR(TABLEAU!$I$65),"H",TABLEAU!$N$65," (A")),"DEPUIS DEPUIS",CONCATENATE("DEPUIS ",TABLEAU!$M$65))),"]#D","]# &amp; #D"),"DEPUIS =",CONCATENATE("DEPUIS ",TABLEAU!$M$65)),"DANS  MAINTENANT","MAINTENANT")</f>
        <v/>
      </c>
      <c r="K65" s="198" t="str">
        <f ca="1">TRIM(SUBSTITUTE(SUBSTITUTE(SUBSTITUTE(SUBSTITUTE(SUBSTITUTE(SUBSTITUTE(SUBSTITUTE(SUBSTITUTE(SUBSTITUTE(TABLEAU!$O$65,CONCATENATE("): (",TABLEAU!$W$65),""),CONCATENATE("A ",TABLEAU!$E$65,"H",TABLEAU!$X$65,"): ("),""),"(SUR",CONCATENATE("(A ",TABLEAU!$E$65,"H",TABLEAU!$X$65," SUR"))," &amp; (",CONCATENATE(" &amp; ",TABLEAU!$L$65," (")),"AUJOURD'HUI",""),"##","#"),"1ER MIN","1 MIN"),CONCATENATE("DEPASSE ",TRIM(TABLEAU!$L$65)," DEPASSE"),"DEPASSE")," (A ):",""))</f>
        <v/>
      </c>
      <c r="L65" s="209" t="str">
        <f ca="1">UPPER(IF(TABLEAU!$P$65&lt;&gt;"","",IF(TABLEAU!$P$65="","",IF(TABLEAU!$AM$65&lt;&gt;"","#DEPASSE DEPUIS ",IF(TODAY&lt;&gt;"MERCREDI","",IF(COUNTIF(ENCOURS,"#EN COURS#")&lt;&gt;0,"MAINTENANT",SUBSTITUTE(SUBSTITUTE(SUBSTITUTE(IF(OR(TABLEAU!$C$65="",TABLEAU!$D$65=""),"",IF(HOUR(TABLEAU!$I$65)=0,CONCATENATE("DANS ",TABLEAU!$N$65," MIN"),CONCATENATE("DANS ",HOUR(TABLEAU!$I$65),"H",TABLEAU!$N$65))),"DANS 0","DANS "),"DANS  MIN",TABLEAU!$M$65),"DANS 0 MIN","MAINTENANT")))))))</f>
        <v/>
      </c>
      <c r="M65" s="209" t="str">
        <f ca="1">IF(TODAY&lt;&gt;"MERCREDI","",SUBSTITUTE(IF(TABLEAU!$D$65="","",IF(TABLEAU!$AF$65=" ","",IF(TABLEAU!$D$65-H.M&gt;0,"",IF(AND(HOUR(TABLEAU!$AF$65)&gt;0,MINUTE(TABLEAU!$AF$65)&lt;10),CONCATENATE(" ",HOUR(TABLEAU!$AF$65),"H0",MINUTE(TABLEAU!$AF$65)),IF(AND(HOUR(TABLEAU!$AF$65)&gt;0,MINUTE(TABLEAU!$AF$65)&gt;9),CONCATENATE(" ",HOUR(TABLEAU!$AF$65),"H",MINUTE(TABLEAU!$AF$65)),CONCATENATE(" 0",MINUTE(TABLEAU!$AF$65)," MIN"))))))," 0",""))</f>
        <v/>
      </c>
      <c r="N65" s="270" t="str">
        <f ca="1">IF(TABLEAU!$D$65="","",IF(OR(TABLEAU!$C$65="",TODAY&lt;&gt;"MERCREDI"),"",IF(TABLEAU!$P$65="#DEPASSE#","",IF(HOUR((H.M))&gt;HOUR(TABLEAU!$D$65),"",IF(MINUTE(TABLEAU!$I$65)&lt;10,CONCATENATE("0",MINUTE(TABLEAU!$I$65)),MINUTE(TABLEAU!$I$65))))))</f>
        <v/>
      </c>
      <c r="O65" s="199" t="str">
        <f ca="1">UPPER(SUBSTITUTE(SUBSTITUTE(SUBSTITUTE(SUBSTITUTE(SUBSTITUTE(SUBSTITUTE(SUBSTITUTE(SUBSTITUTE(SUBSTITUTE(TABLEAU!$J$65,"DANS 0H","DANS "),"DANS 0","DANS "),CONCATENATE("(A ",TABLEAU!$E$65,"H",TABLEAU!$X$65,"): (",LOOKUP(WEEKDAY(MERCREDI.DATE),SEMAINE)," ",DAY(MERCREDI.DATE)," ",LOOKUP(MONTH(MERCREDI.DATE),MOIS)," A 20H00): "),CONCATENATE(TABLEAU!$L$65," (A ",TABLEAU!$E$65,"H",TABLEAU!$X$65,")")),"DEPUIS 0","DEPUIS "),"&amp; A","&amp; (A"),CONCATENATE("(",NBA),""),"#DEPASSE DEPUIS (A","(A"),"DANS  MAINTENANT","MAINTENANT"),"] &amp; #","]# &amp; #"))</f>
        <v/>
      </c>
      <c r="P65" s="208" t="str">
        <f ca="1">IF(OR(TABLEAU!$D$65="",TODAY&lt;&gt;"MERCREDI"),"",IF(AND(HOUR((H.M))=HOUR(TABLEAU!$D$65),MINUTE((H.M))&gt;MINUTE(TABLEAU!$D$65)),"#DEPASSE#",IF(HOUR((H.M))&gt;HOUR(TABLEAU!$D$65),"#DEPASSE#","")))</f>
        <v/>
      </c>
      <c r="Q65" s="209" t="str">
        <f ca="1">IF(OR(TABLEAU!$P$65="",TABLEAU!$S$65=""),"",IF(AND(HOUR(TABLEAU!$S$65)&gt;0,MINUTE(TABLEAU!$S$65)&lt;10),CONCATENATE(HOUR(TABLEAU!$S$65),"H0",MINUTE(TABLEAU!$S$65)),IF(AND(HOUR(TABLEAU!$S$65)=0,MINUTE(TABLEAU!$S$65)&lt;10),CONCATENATE(MINUTE(TABLEAU!$S$65)," MIN"),IF(AND(HOUR(TABLEAU!$S$65)&gt;0,MINUTE(TABLEAU!$S$65)&gt;9),CONCATENATE(HOUR(TABLEAU!$S$65),"H",MINUTE(TABLEAU!$S$65)),CONCATENATE(MINUTE(TABLEAU!$S$65)," MIN")))))</f>
        <v/>
      </c>
      <c r="R65" s="209" t="str">
        <f ca="1">UPPER(IF(OR(TABLEAU!$C$65="",TODAY&lt;&gt;"MERCREDI"),"",IF(OR(TABLEAU!$D$65="",TABLEAU!$D$65="23:59",TABLEAU!$C$65=""),"",IF(AND(TODAY="MERCREDI",HOUR(TABLEAU!$I$65)&lt;1,MINUTE(TABLEAU!$I$65)&lt;5,TABLEAU!$I$65&lt;&gt;"",TABLEAU!$I$65&lt;&gt;0),"BIENTOT",""))))</f>
        <v/>
      </c>
      <c r="S65" s="618" t="str">
        <f ca="1">IF(TABLEAU!$D$65="","",IF(TODAY&lt;&gt;"MERCREDI","",IF((H.M)&gt;TABLEAU!$D$65,"",(H.M)-TABLEAU!$D$65)))</f>
        <v/>
      </c>
      <c r="T65" s="2306" t="str">
        <f ca="1">UPPER(IF(TODAY="JEUDI","DANS 6 JOURS",IF(TODAY="VENDREDI","DANS 5 JOURS",IF(TODAY="SAMEDI","DANS 4 JOURS",IF(TODAY="DIMANCHE","DANS 3 JOURS",IF(TODAY=TABLEAU!$K$3,"DANS 2 JOURS",IF(TODAY="MARDI","DEMAIN",IF(TODAY="MERCREDI",""))))))))</f>
        <v>DANS 4 JOURS</v>
      </c>
      <c r="U65" s="198" t="str">
        <f ca="1">UPPER(TRIM(SUBSTITUTE(SUBSTITUTE(SUBSTITUTE(SUBSTITUTE(SUBSTITUTE(SUBSTITUTE(SUBSTITUTE(SUBSTITUTE(SUBSTITUTE(SUBSTITUTE(SUBSTITUTE(SUBSTITUTE(SUBSTITUTE(SUBSTITUTE(SUBSTITUTE(SUBSTITUTE(SUBSTITUTE(SUBSTITUTE(IF(TABLEAU!$D$65="","",SUBSTITUTE(SUBSTITUTE(SUBSTITUTE(SUBSTITUTE(SUBSTITUTE(SUBSTITUTE(SUBSTITUTE(SUBSTITUTE(SUBSTITUTE(SUBSTITUTE(SUBSTITUTE(SUBSTITUTE(SUBSTITUTE(SUBSTITUTE(SUBSTITUTE(IF(OR(TABLEAU!$C$65="",TABLEAU!$D$65=""),"",IF(AND(TODAY="MERCREDI",TABLEAU!$P$65&lt;&gt;""),CONCATENATE("#DEPASSE DEPUIS ",TABLEAU!$M$65," ",TABLEAU!$W$65,"#"),CONCATENATE("#",MERCREDI.DANS," ",TABLEAU!$H$65,TABLEAU!$C$65,"#"))),": =",":"),CONCATENATE(NBA,"("),""),CONCATENATE(LOOKUP(MONTH(MERCREDI.DATE),MOIS)," (A"),CONCATENATE(LOOKUP(MONTH(MERCREDI.DATE),MOIS)," A")),"1ER MIN","1 MIN"),"((","("),"##","#"),"# ","#"),CONCATENATE("#",TABLEAU!$H$65,"DEPUIS"),"#DEPASSE DEPUIS"),"DEMAIN (",CONCATENATE("DEMAIN (MERCREDI ",DAY(MERCREDI.DATE)," ",LOOKUP(MONTH(MERCREDI.DATE),MOIS)," ")),"JOURS (A ",CONCATENATE("JOURS (MERCREDI ",DAY(MERCREDI.DATE)," ",LOOKUP(MONTH(MERCREDI.DATE),MOIS)," A ")),"(A","(MERCREDI A"),"DANS 00 MIN","DANS "),"DANS 0","DANS "),"#&amp;","# &amp; "),"JOURS [",CONCATENATE("JOURS (",LOOKUP(WEEKDAY(MERCREDI.DATE),SEMAINE)," ",DAY(MERCREDI.DATE)," ",LOOKUP(MONTH(MERCREDI.DATE),MOIS)," A ",HOUR(TABLEAU!$D$65),"H",TABLEAU!$F$65,"): ["))),CONCATENATE(MERCREDI.DANS," ",MERCREDI.DANS),CONCATENATE(" ",MERCREDI.DANS)),"# ","#"),"#&amp; #","# &amp; #"),"US A","USA"),"(~ ("," ~ ("),"MERCREDI A ","A "),CONCATENATE("#",TABLEAU!$H$65,TABLEAU!$W$65),TABLEAU!$W$65),"DEMAINDANS","DEMAIN DANS"),"''(","'' ("),CONCATENATE("#DANS ",TRIM(TABLEAU!$AH$65)," (#DEPASSE "),"#DEPASSE "),"]#D","]# &amp; #D"),"(MATCH","MATCH"),"COURS &amp; D","COURS# &amp; #D"),"#&amp; ","# &amp; #"),"# &amp; # ","# &amp; #"),CONCATENATE("#DEPASSE DEPUIS ",TABLEAU!$M$65," #"),"#"),"# &amp; ##","# &amp; #"),"DANS  (MAINTENANT","MAINTENANT")))</f>
        <v>#DANS 4 JOURS (MERCREDI 6 NOVEMBRE A 20H40 SUR AB1): [RAW]#</v>
      </c>
      <c r="V65" s="198" t="str">
        <f ca="1">UPPER(TRIM(SUBSTITUTE(SUBSTITUTE(IF(OR(TABLEAU!$C$65="",TABLEAU!$D$65="",MERCREDI.DANS&lt;&gt;""),"",TABLEAU!$J$65),JOUR.PLUS,""),"DANS  MAINTENANT","MAINTENANT")))</f>
        <v/>
      </c>
      <c r="W65" s="220" t="str">
        <f>UPPER(IF(TABLEAU!$C$65=0,"",TABLEAU!$C$65))</f>
        <v>(A 20H40 SUR AB1): [RAW]</v>
      </c>
      <c r="X65" s="781"/>
      <c r="Y65" s="209" t="str">
        <f ca="1">IF(OR(TODAY&lt;&gt;"MERCREDI",TABLEAU!$C$65=""),"",IF(OR(TABLEAU!$C$65="",TABLEAU!$D$65=""),"",HOUR(TABLEAU!$D$65)))</f>
        <v/>
      </c>
      <c r="Z65" s="209" t="str">
        <f ca="1">IF(TABLEAU!$AM$65&lt;&gt;""," ",IF(OR(TODAY&lt;&gt;"MERCREDI",TABLEAU!$C$65="",TABLEAU!$D$65="")," ",IF(MINUTE(TABLEAU!$D$65)&lt;10,CONCATENATE(HOUR(TABLEAU!$D$65),"H0",MINUTE(TABLEAU!$D$65)),IF(MINUTE(TABLEAU!$D$65)&gt;9,CONCATENATE(HOUR(TABLEAU!$D$65),"H",MINUTE(TABLEAU!$D$65))))))</f>
        <v xml:space="preserve"> </v>
      </c>
      <c r="AA65" s="243" t="str">
        <f ca="1">TRIM(SUBSTITUTE(SUBSTITUTE(SUBSTITUTE(SUBSTITUTE(IF(TABLEAU!$P$65="#DEPASSE#",TABLEAU!$AB$65,TABLEAU!$U$65),"# ","#"),"#&amp; #","# &amp; #"),"DANS (MAINTENANT","MAINTENANT"),SUBSTITUTE(SUBSTITUTE(CONCATENATE("#",TABLEAU!$H$65,"",TABLEAU!$H$65)," 0"," ")," 0"," "),SUBSTITUTE(TABLEAU!$H$65," 0"," ")))</f>
        <v>DANS 4 JOURS (MERCREDI 6 NOVEMBRE A 20H40 SUR AB1): [RAW]</v>
      </c>
      <c r="AB65" s="244" t="str">
        <f ca="1">UPPER(TRIM(SUBSTITUTE(SUBSTITUTE(SUBSTITUTE(SUBSTITUTE(SUBSTITUTE(SUBSTITUTE(TABLEAU!$K$65,CONCATENATE(LOOKUP(MONTH(A),MOIS)," (A"),CONCATENATE(LOOKUP(MONTH(A),MOIS)," A ")),CONCATENATE(LOOKUP(MONTH(A)+1,MOIS)," (A"),CONCATENATE(LOOKUP(MONTH(A)+1,MOIS)," A ")),CONCATENATE("(",YEAR(MERCREDI.DATE)),""),"] &amp; DANS","]# &amp; #DANS"),"DANS MAINTENANT","MAINTENANT"),SUBSTITUTE(CONCATENATE("#",SUBSTITUTE(TABLEAU!$H$65,"(",""),"#",TABLEAU!$H$65)," 0"," "),SUBSTITUTE(TABLEAU!$H$65," 0"," "))))</f>
        <v/>
      </c>
      <c r="AC65" s="688" t="str">
        <f ca="1">IF(TABLEAU!$P$65="#DEPASSE#",CONCATENATE(TABLEAU!$AC$64," &amp; ",TABLEAU!$B$65),TABLEAU!$AC$64)</f>
        <v/>
      </c>
      <c r="AD65" s="1856"/>
      <c r="AE65" s="875" t="str">
        <f ca="1">UPPER(TRIM(SUBSTITUTE(SUBSTITUTE(SUBSTITUTE(SUBSTITUTE(SUBSTITUTE(SUBSTITUTE(SUBSTITUTE(SUBSTITUTE(SUBSTITUTE(SUBSTITUTE(SUBSTITUTE(SUBSTITUTE(SUBSTITUTE(SUBSTITUTE(SUBSTITUTE(SUBSTITUTE(SUBSTITUTE(SUBSTITUTE(SUBSTITUTE(SUBSTITUTE(SUBSTITUTE(SUBSTITUTE(SUBSTITUTE(SUBSTITUTE(IF(TABLEAU!$P$65="#DEPASSE#",TABLEAU!$J$65,IF(TABLEAU!$C$65="","",TRIM(SUBSTITUTE(SUBSTITUTE(SUBSTITUTE(SUBSTITUTE(SUBSTITUTE(SUBSTITUTE(SUBSTITUTE(IF(TABLEAU!$L$65="#DEPASSE DEPUIS ",MODIF,IF(TABLEAU!$I$65=SUBSTITUTE(DEPP,"#",""),DEPP,SUBSTITUTE(SUBSTITUTE(SUBSTITUTE(SUBSTITUTE(SUBSTITUTE(SUBSTITUTE(SUBSTITUTE(SUBSTITUTE(SUBSTITUTE(SUBSTITUTE(SUBSTITUTE(SUBSTITUTE(SUBSTITUTE(SUBSTITUTE(SUBSTITUTE(SUBSTITUTE(SUBSTITUTE(SUBSTITUTE(TABLEAU!$AB$65,CONCATENATE(TABLEAU!$K$65," A "),CONCATENATE(TABLEAU!$K$65," (A ")),"JANVIER (","JANVIER "),"FEVRIER (","FEVRIER "),"MARS (","MARS "),"AVRIL (","AVRIL "),"MAI (","MAI "),"JUIN (","JUIN "),"JUILLET (","JUILLET "),"AOUT (","AOUT "),"SEPTEMBRE (","SEPTEMBRE "),"OCTOBRE (","OCTOBRE "),"NOVEMBRE (","NOVEMBRE "),"DECEMBRE (","DECEMBRE "),CONCATENATE(" &amp; ",TABLEAU!$K$65," (")," &amp; "),CONCATENATE(" &amp;",TABLEAU!$L$65,"(")," &amp; ")," &amp; ("," &amp; "),CONCATENATE(TABLEAU!$K$65," (A ",TABLEAU!$AC$65,"): HIER"),"DEPASSE DEPUIS HIER")," &amp; A"," &amp; (A"))),"(A ",CONCATENATE("(",DATE.RDV.TV," A ")),"((","("),CONCATENATE(DATE.RDV.TV," ("),""),CONCATENATE(DATE.RDV.TV," A "),"A "),CONCATENATE(YEAR(A)," (A"),"A"),CONCATENATE(TABLEAU!$L$65," (DEPASSE"),"DEPASSE"),CONCATENATE("DEPASSE",TABLEAU!$L$65,"(",LOOKUP(WEEKDAY(MERCREDI.DATE),SEMAINE)," ",DAY(MERCREDI.DATE)," ",LOOKUP(MONTH(MERCREDI.DATE),MOIS)," A"),"DEPASSE DEPUIS")))),"#&amp; ","# &amp; #"),"DANS (A","MAINTENANT (A"),"DANS (MATCH","DANS MATCH"),CONCATENATE("(DEMAIN= ",DIF.L1," ~ "),""),CONCATENATE("(DEMAIN= ",DIF.LDC," ~ "),""),CONCATENATE("(DEMAIN= ",DIF.UEFA," ~ "),""),CONCATENATE("(DEMAIN= ",DIF.FRANCE," ~ "),""),CONCATENATE("(DEMAIN= ",DIF.LIGUE," ~ "),""),CONCATENATE("(DEMAIN= ",DIF.GP," ~ "),""),CONCATENATE("(DEMAIN= ",DIF.MONDIAL," ~ "),""),CONCATENATE("(DEMAIN= ",DIF.EURO," ~ "),""),CONCATENATE("(DEMAIN= ",DIF.CONFEDERATIONS," ~ "),""),CONCATENATE(TABLEAU!$K$3," A"),"A"),"MARDI A","A"),"MERCREDI A","A"),"JEUDI A","A"),"VENDREDI A","A"),"SAMEDI A","A"),"DIMANCHE A","A"),"00H","0H"),"DEPUIS DEPUIS",CONCATENATE("DEPUIS ",TABLEAU!$M$65)),"] &amp;D","]# &amp; #D"),"A 2A",CONCATENATE("A ",TABLEAU!$Y65,"H",TABLEAU!$F$65))," )",")")))</f>
        <v/>
      </c>
      <c r="AF65" s="983" t="str">
        <f ca="1">IF(TODAY&lt;&gt;"MERCREDI"," ",IF(TABLEAU!$D$65="","",H.M-TABLEAU!$D$65))</f>
        <v xml:space="preserve"> </v>
      </c>
      <c r="AG65" s="983" t="str">
        <f ca="1">IF(TABLEAU!$B$65="","",IF(TABLEAU!$I$65&lt;&gt;0,"",IF(TODAY&lt;&gt;"MERCREDI","",IF(TABLEAU!$AF$65=" ","",IF(TABLEAU!$AF$65="","",IF(AND(HOUR(TABLEAU!$AF$65)&gt;0,MINUTE(TABLEAU!$AF$65)&lt;10),CONCATENATE(HOUR(TABLEAU!$AF$65),"H0",MINUTE(TABLEAU!$AF$65)),IF(AND(HOUR(TABLEAU!$AF$65)&gt;0,MINUTE(TABLEAU!$AF$65)&gt;9),CONCATENATE(HOUR(TABLEAU!$AF$65),"H",MINUTE(TABLEAU!$AF$65)),CONCATENATE(MINUTE(TABLEAU!$AF$65)," MIN"))))))))</f>
        <v/>
      </c>
      <c r="AH65" s="983" t="str">
        <f ca="1">IF(TABLEAU!$I$65="","",IF(MINUTE(TABLEAU!$I$65)&gt;9,CONCATENATE(HOUR(TABLEAU!$I$65),"H",MINUTE(TABLEAU!$I$65)),CONCATENATE(HOUR(TABLEAU!$I$65),"H0",MINUTE(TABLEAU!$I$65))))</f>
        <v/>
      </c>
      <c r="AI65" s="1660"/>
      <c r="AJ65" s="82" t="str">
        <f ca="1">IF(TABLEAU!$B$65="","",TABLEAU!$P$65)</f>
        <v/>
      </c>
      <c r="AK65" s="82" t="str">
        <f ca="1">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O$65,"DEPASSE","&amp;&amp;&amp;"),"A",""),"B",""),"C",""),"D",""),"E",""),"F",""),"G",""),"H",""),"I",""),"J",""),"K",""),"L",""),"M",""),"N",""),"O",""),"P",""),"Q",""),"R",""),"S",""),"T",""),"U",""),"V",""),"W",""),"X",""),"Y",""),"Z",""),"0",""),"1",""),"2",""),"3",""),"4",""),"5",""),"6",""),"7",""),"8",""),"9",""),":",""),"(",""),")",""),"[",""),"]","")," ",""))</f>
        <v/>
      </c>
      <c r="AL65" s="634" t="str">
        <f ca="1">UPPER(IF(DATE.RDV.TV&lt;&gt;"MERCREDI","",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B$65,"DEPASSE ","¤¤"),"A",""),"B",""),"C",""),"D",""),"E",""),"F",""),"G",""),"H",""),"I",""),"J",""),"K",""),"L",""),"M",""),"N",""),"O",""),"P",""),"Q",""),"R",""),"S",""),"T",""),"U",""),"V",""),"W",""),"X",""),"Y",""),"Z",""),"1",""),"2",""),"3",""),"4",""),"5",""),"6",""),"7",""),"8",""),"9",""),"0",""),"-",""),"(",""),")",""),"{",""),"}",""),"=",""),"[",""),"]",""),"#",""),"+",""),":",""),"/",""),"'",""),".","")," &amp; ","")," ° ",""))))</f>
        <v/>
      </c>
      <c r="AM65" s="836" t="str">
        <f ca="1">UPPER(IF(DATE.RDV.TV&lt;&gt;"MERCEDI","",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C$65,"CHAMPIONNAT","¤"),"LDC","¤¤"),"UEFA","¤¤¤"),"FRANCE","¤¤¤¤"),"LIGUE","¤¤¤¤¤"),"GP","¤¤¤¤¤¤"),"MONDIAL","¤¤¤¤¤¤¤"),"EURO","¤¤¤¤¤¤¤¤"),"CONFEDERATIONS","¤¤¤¤¤¤¤¤¤"),"A",""),"B",""),"C",""),"D",""),"E",""),"F",""),"G",""),"H",""),"I",""),"J",""),"K",""),"L",""),"M",""),"N",""),"O",""),"P",""),"Q",""),"R",""),"S",""),"T",""),"U",""),"V",""),"W",""),"X",""),"Y",""),"Z",""),"1",""),"2",""),"3",""),"4",""),"5",""),"6",""),"7",""),"8",""),"9",""),"0",""),"-",""),"(",""),")",""),"{",""),"}",""),"=",""),"[",""),"]",""),"#",""),"+",""),":",""),"/",""),"'",""),".","")," &amp; ","")," ° ",""),"~",""))))</f>
        <v/>
      </c>
      <c r="AN65" s="1576" t="str">
        <f ca="1">IF(TABLEAU!$B$65=TABLEAU!$B$64,"",IF(OR(TABLEAU!$A$65="#DEPASSE#",TABLEAU!$P$65="#DEPASSE#"),TABLEAU!$B$65,""))</f>
        <v/>
      </c>
      <c r="AO65" s="1577"/>
      <c r="AP65" s="1577"/>
      <c r="AQ65" s="1577"/>
      <c r="AR65" s="1577"/>
      <c r="AS65" s="1577"/>
      <c r="AT65" s="1577"/>
      <c r="AU65" s="1577"/>
      <c r="AV65" s="1577"/>
      <c r="AW65" s="1577"/>
      <c r="AX65" s="1578"/>
      <c r="AY65" s="1243">
        <f ca="1">IF(AND(TABLEAU!$C$65&lt;&gt;"",TABLEAU!$B$65=""),1,0)</f>
        <v>0</v>
      </c>
      <c r="AZ65" s="2576"/>
      <c r="BA65" s="2577"/>
    </row>
    <row r="66" spans="1:53" ht="12" customHeight="1" thickBot="1">
      <c r="A66" s="1508" t="str">
        <f ca="1">IF(TABLEAU!$B$66="","",IF(OR(TABLEAU!$AL$66="¤¤",TABLEAU!$P$66&lt;&gt;""),"#DEPASSE#",SUBSTITUTE(IF(OR(MERCREDI.4="",TABLEAU!$C$66=""),"",IF(AND(TODAY="MERCREDI",HOUR((H.M))&gt;HOUR(MERCREDI.4),MINUTE((H.M))&gt;MINUTE(MERCREDI.4)),"",IF(TODAY&lt;&gt;"MERCREDI","",IF(HOUR(TABLEAU!$I$66)&gt;0,CONCATENATE("DANS ",HOUR(TABLEAU!$I$66),"H",TABLEAU!$N$66),CONCATENATE("DANS ",HOUR(TABLEAU!$I$66),"H",TABLEAU!$N$66," MIN")))))," 0H"," ")))</f>
        <v/>
      </c>
      <c r="B66" s="1512" t="str">
        <f ca="1">SUBSTITUTE(SUBSTITUTE(SUBSTITUTE(IF(OR(TABLEAU!$C66,TABLEAU!$D66=""),"",SUBSTITUTE(SUBSTITUTE(SUBSTITUTE(SUBSTITUTE(SUBSTITUTE(SUBSTITUTE(SUBSTITUTE(SUBSTITUTE(SUBSTITUTE(SUBSTITUTE(SUBSTITUTE(SUBSTITUTE(SUBSTITUTE(SUBSTITUTE(SUBSTITUTE(SUBSTITUTE(SUBSTITUTE(SUBSTITUTE(SUBSTITUTE(SUBSTITUTE(SUBSTITUTE(SUBSTITUTE(SUBSTITUTE(SUBSTITUTE(IF(TABLEAU!$C66="","",SUBSTITUTE(IF(TABLEAU!$AE66="",TABLEAU!$U66,TABLEAU!$AE66),CONCATENATE(CVB,YEAR(A)," "),""))," #"," "),"] &amp; D","]# &amp; #D")," &amp; (A",CONCATENATE("# &amp; #",TABLEAU!$H66,"A")),"&amp; DEPASSE","&amp; #DEPASSE"),"## &amp; #A","# &amp; #(A"),"DANS MAINTENANT","MAINTENANT"),CONCATENATE(" H",TABLEAU!$N66),CONCATENATE(" ",TABLEAU!$N66," MIN"))," 0"," "),"] &amp;D","]# &amp; #D"),"}  MIN","} H"),"# &amp; D","# &amp; #D"),CONCATENATE("#MAINTENANT (A ",TABLEAU!$Z66,"): MAINTENANT"),"#MAINTENANT"),TABLEAU!$AB$2,""),TABLEAU!$AM$5,"")," MINAMILTON","HAMILTON"),CONCATENATE(TABLEAU!$Z66," ",TABLEAU!$Z66),TABLEAU!$Z66),"DEPUIS  MINIER","DEPUIS HIER"),"MINONGRIE","HONGRIE"),"#DANS (#DEPASSE","#DEPASSE"),CONCATENATE(" ",YEAR(A)),""),"]= [","= ["),")])",")]"),"#DEPASSE DEPUISDANS","#DANS"),"(A 1A ):",CONCATENATE("(A ",HOUR(TABLEAU!$D66),"H",TABLEAU!$F66,"):"))),"SUR "," SUR "),"  SUR "," SUR "),CONCATENATE("DEPASSE DEPUIS ",TABLEAU!$M66," (A DANS"),"DANS")</f>
        <v/>
      </c>
      <c r="C66" s="631" t="str">
        <f ca="1">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IF(4-COUNTBLANK(PROG.MERCREDI)=0,"",CONCATENATE(MERCREDI.PROG.1,MERCREDI.PROG.2,MERCREDI.PROG.3,MERCREDI.PROG.4)),CONCATENATE("(A ",TABLEAU!$E$66,"H",TABLEAU!$X$66,"): "),""),JOUR.PLUS,""),MERCREDI.VERIFIER,"")," &amp; #DANS"," &amp; DANS"),"](A","] &amp; (A"),CONCATENATE("#DEPASSE",TABLEAU!$M$66," "),"#DEPASSE "),"] &amp; D","]# &amp; #D"),CONCATENATE("DEMAIN= ",DIF.L1," ~ "),""),CONCATENATE("DEMAIN= ",DIF.LDC," ~ "),""),CONCATENATE("DEMAIN= ",DIF.UEFA," ~ "),""),CONCATENATE("DEMAIN= ",DIF.FRANCE," ~ "),""),CONCATENATE("DEMAIN= ",DIF.LIGUE," ~ "),""),CONCATENATE("DEMAIN= ",DIF.GP," ~ "),""),CONCATENATE("DEMAIN= ",DIF.MONDIAL," ~ "),""),CONCATENATE("DEMAIN= ",DIF.EURO," ~ "),""),CONCATENATE("DEMAIN= ",DIF.CONFEDERATIONS," ~ "),""),"'' (",CONCATENATE("'' ~ (MERCREDI ",DAY(MERCREDI.DATE)," ",LOOKUP(MONTH(MERCREDI.DATE),MOIS)," ")),"= ''","DANS ''"),"UEF A 2019-20= &amp; ","UEFA 2019-20]# &amp; #"),"~ ",""),"''(","'' ("),"DEMAINDANS","DEMAIN DANS"),"JOURSDANS","JOURS"),DIF.L1,""),DIF.LDC,""),DIF.UEFA,""),DIF.FRANCE,""),DIF.LIGUE,""),DIF.GP,""),DIF.MONDIAL,""),DIF.EURO,""),DIF.CONFEDERATIONS,""),MERCREDI.DANS,""),"#  (","#("),"[ ",""),"[MAINTENANT","MAINTENANT"))</f>
        <v/>
      </c>
      <c r="D66" s="632" t="str">
        <f ca="1">IF(4-COUNTBLANK(PROG.MERCREDI)=0,"",IF(MERCREDI.HEURE.1&lt;&gt;"",MERCREDI.HEURE.1,IF(MERCREDI.HEURE.2&lt;&gt;"",MERCREDI.HEURE.2,IF(MERCREDI.HEURE.3&lt;&gt;"",MERCREDI.HEURE.3,IF(MERCREDI.HEURE.4&lt;&gt;"",MERCREDI.HEURE.4,"")))))</f>
        <v/>
      </c>
      <c r="E66" s="2648" t="str">
        <f ca="1">IF(TABLEAU!$D66="","",IF(TABLEAU!$D66="23:59","",HOUR(TABLEAU!$D66)))</f>
        <v/>
      </c>
      <c r="F66" s="2647" t="str">
        <f ca="1">IF(OR(TABLEAU!$D$66="",TABLEAU!$D$66="23:59"),"59",IF(MINUTE(TABLEAU!$D$66)&lt;10,CONCATENATE("0",MINUTE(TABLEAU!$D$66)),CONCATENATE(MINUTE(TABLEAU!$D$66))))</f>
        <v>59</v>
      </c>
      <c r="G66" s="584" t="str">
        <f ca="1">UPPER(SUBSTITUTE(SUBSTITUTE(SUBSTITUTE(IF(TABLEAU!$D$66="","",SUBSTITUTE(SUBSTITUTE(SUBSTITUTE(SUBSTITUTE(SUBSTITUTE(SUBSTITUTE(SUBSTITUTE(SUBSTITUTE(SUBSTITUTE(SUBSTITUTE(SUBSTITUTE(SUBSTITUTE(SUBSTITUTE(SUBSTITUTE(SUBSTITUTE(IF(OR(TABLEAU!$D$66="",TABLEAU!$C$66=""),"",IF(AND(TODAY="MERCREDI",HOUR((H.M))&gt;HOUR(TABLEAU!$D$66),MINUTE((H.M))&gt;MINUTE(TABLEAU!$D$66)),CONCATENATE("#DEPASSE DEPUIS",TABLEAU!$M$66," ",TABLEAU!$C$66,"#"),IF(TABLEAU!$P$66&lt;&gt;"",CONCATENATE("#DEPASSE DEPUIS",TABLEAU!$M$66," ",TABLEAU!$C$66,"#"),IF(TODAY&lt;&gt;"MERCREDI",CONCATENATE("#",MERCREDI.DANS," (MERCREDI ",DAY(MERCREDI.DATE)," ",LOOKUP(MONTH(MERCREDI.DATE),MOIS)," A ",HOUR(TABLEAU!$D$66),"H",TABLEAU!$F$66,"): ",TABLEAU!$C$66,"#"),CONCATENATE("#",TABLEAU!$L$66," (A ",TABLEAU!$Z$66,"): ",SUBSTITUTE(TABLEAU!$C$66,"#",""),"#"))))),CONCATENATE(LOOKUP(MONTH(MERCREDI.DATE),MOIS)," (A"),CONCATENATE(LOOKUP(MONTH(MERCREDI.DATE),MOIS)," A")),"##","#"),CONCATENATE("#DEPASSE DEPUIS  (A ): ",TABLEAU!$C$66,"#"),""),CONCATENATE("(A ",TABLEAU!$E$66,"H",TABLEAU!$X$66,"): "),""),CONCATENATE(TABLEAU!$L$66," DEPUIS"),"DEPASSE DEPUIS"),CONCATENATE("A ",HOUR(TABLEAU!$D$66),"H",TABLEAU!$F$66,"): (A ",HOUR(TABLEAU!$D$66),"H",TABLEAU!$F$66),CONCATENATE("A ",HOUR(TABLEAU!$D$66),"H",TABLEAU!$F$66)),"#DEPASSEDEPASSE","#DEPASSE"),"# (",CONCATENATE("#",TABLEAU!$H$66)),CONCATENATE("A ",SUBSTITUTE(TABLEAU!$M$33,":","H"),"): ~ (A ",SUBSTITUTE(TABLEAU!$M$33,":","H")),CONCATENATE("A ",SUBSTITUTE(TABLEAU!$M$33,":","H"))),CONCATENATE("#DEPASSE ",TABLEAU!$M$66,"#D"),"#D")," D"," #D"),"#DEPUIS","DEPUIS"),"COURS ","COURS# "),"#DE ","DE "),"GP #D","GP D")),"# &amp; #",CONCATENATE("# &amp; #DEPASSE DEPUIS",TABLEAU!$M$66," ")),"] &amp; (",CONCATENATE("]# &amp; DANS ",TABLEAU!$AH$66," ("))," 0"," "))</f>
        <v/>
      </c>
      <c r="H66" s="558" t="str">
        <f ca="1">SUBSTITUTE(IF(OR(DATE.RDV.TV&lt;&gt;"MERCREDI",TABLEAU!$C$66=""),"",IF(HOUR(TABLEAU!$I$66)=0,CONCATENATE("DANS ",TABLEAU!$N$66," MIN ("),CONCATENATE("DANS ",HOUR(TABLEAU!$I$66),"H",TABLEAU!$N$66," ("))),"DANS  MIN (","")</f>
        <v/>
      </c>
      <c r="I66" s="289" t="str">
        <f ca="1">IF(OR(TODAY&lt;&gt;"MERCREDI",TABLEAU!$C$66=""),"",IF(OR(TABLEAU!$D$66="",TABLEAU!$P$66="#DEPASSE#",TODAY&lt;&gt;"MERCREDI"),0,IF(HOUR((H.M))&gt;HOUR(TABLEAU!$D$66),0,TABLEAU!$D$66-H.M)))</f>
        <v/>
      </c>
      <c r="J66" s="290" t="str">
        <f ca="1">SUBSTITUTE(SUBSTITUTE(SUBSTITUTE(IF(TABLEAU!$I$66="","",SUBSTITUTE(SUBSTITUTE(SUBSTITUTE(SUBSTITUTE(SUBSTITUTE(SUBSTITUTE(SUBSTITUTE(SUBSTITUTE(SUBSTITUTE(SUBSTITUTE(SUBSTITUTE(SUBSTITUTE(SUBSTITUTE(SUBSTITUTE(SUBSTITUTE(SUBSTITUTE(SUBSTITUTE(SUBSTITUTE(SUBSTITUTE(SUBSTITUTE(IF(DATE.DEPASSE&lt;0,TABLEAU!$U$66,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G66,"  "," "),CONCATENATE("(A ",TABLEAU!$Z$66,"): (A ",TABLEAU!$Z$66),CONCATENATE("(A ",TABLEAU!$Z$66)),CONCATENATE("#DEPASSE",TABLEAU!$M$66,"#DEPASSE",TABLEAU!$M$66),CONCATENATE("#DEPASSE",TABLEAU!$M$66)),CONCATENATE("#DEPASSE",TABLEAU!$L$66,"DEPASSE"),"#DEPASSE"),CONCATENATE(TABLEAU!$L$66," (A ",TABLEAU!$Z$66,"): DEPUIS"),"DEPASSE DEPUIS")," 1 "," 1ER "),"DEPASSE DEPUIS DEPASSE DEPUIS","DEPASSE DEPUIS"),CONCATENATE("DEPASSE ",TRIM(TABLEAU!$L$66)," DEPASSE ",TRIM(TABLEAU!$L$66)),CONCATENATE("DEPASSE ",TRIM(TABLEAU!$L$66))),"1ER MIN","1 MIN"),"1ER ERREUR","1 ERREUR"),CONCATENATE("(A ",TABLEAU!$Z$66,"): (A ",TABLEAU!$E$66,":",TABLEAU!$F$66),CONCATENATE("(A ",TABLEAU!$Z$66))," (A ):",""),"DEPASSE DEPUIS (",TABLEAU!$H$66),"] &amp; D","]# &amp; #D"),CONCATENATE("#DEPASSE",TABLEAU!$M$66,"DEPASSE"),"#DEPASSE")," [","): ["),"):):","):"),"DEPUIS ",TABLEAU!$L$66),CONCATENATE(SUBSTITUTE(TABLEAU!$M$66,"DEPUIS ",""))," "),"DEPUIS",CONCATENATE(TABLEAU!$M$66," (",MERCREDI.VERIFIER," A ")),SUBSTITUTE(TABLEAU!$M$66,"DEPUIS","A"),""),"DEPASSE  ","DEPASSE"),"  A "," A"),"  "," "),TRIM(SUBSTITUTE(TABLEAU!$M$66," DEPUIS ","A ")),"EEE"),"EEE",CONCATENATE("A ",TABLEAU!$Z$66)),CONCATENATE("DEPASSE ",TABLEAU!$L$66,"HIER"),"DEPASSE DEPUIS HIER"),"DEPASSEDEPASSE","DEPASSE DEPUIS "),CONCATENATE(" A ",TABLEAU!$Z$59," (A ",TABLEAU!$Z$59),CONCATENATE(" A ",TABLEAU!$Z$59)),CONCATENATE("A ",TABLEAU!$Z$66," ",TABLEAU!$C$66),TABLEAU!$C$66),CONCATENATE(MOIS.MAINTENANT.2," (A"),CONCATENATE(MOIS.MAINTENANT.2," A")),"#DEPASSE #DEPASSEDEPUIS","#DEPASSE DEPUIS"),"A (A","A"),CONCATENATE(TABLEAU!$L$66," DEPASSE"),"DEPASSE"),"DEPASSE (",CONCATENATE("DEPASSE DEPUIS ",TABLEAU!$Q$66," (")),"''MIN","MIN"),"=):","]="),CONCATENATE("#DEPASSE ",TABLEAU!$Q$66),CONCATENATE("#DEPASSE DEPUIS ",TABLEAU!$Q$66)),"DEPASSE","DEPASSE DEPUIS"),"DEPUIS DEPUIS","DEPUIS")),"US A","USA"),CONCATENATE("DEPASSE DEPUIS ",TABLEAU!$Q$66,"DEPASSE DEPUIS ",TABLEAU!$Q$66),CONCATENATE("DEPASSE DEPUIS ",TABLEAU!$Q$66)),CONCATENATE("#DEPASSE DEPUIS ",TABLEAU!$Q$66," #DEPASSE DEPUIS ",TABLEAU!$Q$66),CONCATENATE("#DEPASSE DEPUIS ",TABLEAU!$Q$66)),"#DEPASSE DEPUIS #DEPASSE DEPUIS","#DEPASSE DEPUIS"),CONCATENATE("): ",MERCREDI.DANS," (A ",TABLEAU!$E$66,"H",TABLEAU!$F$66),"")," &amp; D"," &amp; #D"),CONCATENATE(MERCREDI.DANS," (MERCREDI ",DAY(MERCREDI.DATE)," ",LOOKUP(MONTH(MERCREDI.DATE),MOIS)," A ",TABLEAU!$E$66,"H",TABLEAU!$F$66,"): DANS"),"DANS"),CONCATENATE(MERCREDI.DANS," (MERCREDI ",DAY(MERCREDI.DATE)," ",LOOKUP(MONTH(MERCREDI.DATE),MOIS)," A ",TABLEAU!$E$66,"H",TABLEAU!$F$66,"): ",MERCREDI.DANS,"= ",TABLEAU!$AN$23,"(A ",TABLEAU!$E$66,"H",TABLEAU!$F$66),CONCATENATE(MERCREDI.DANS,"= ",TABLEAU!$AN$23," (MERCREDI ",DAY(MERCREDI.DATE)," ",LOOKUP(MONTH(MERCREDI.DATE),MOIS)," A ",TABLEAU!$E$66,"H",TABLEAU!$F$66)),CONCATENATE(MERCREDI.DANS," (MERCREDI ",DAY(MERCREDI.DATE)," ",LOOKUP(MONTH(MERCREDI.DATE),MOIS)," A ",TABLEAU!$E$66,"H",TABLEAU!$F$66,"): DANS"),"DANS"),"# (",CONCATENATE("#",TABLEAU!$H$66)),"DANS 0","DANS "),"# ~ ",CONCATENATE("#",FICHIER.A.MODIFIER," ~ ")),CONCATENATE("A ",SUBSTITUTE(TABLEAU!$M$33,":","H"),"): ~ (A ",SUBSTITUTE(TABLEAU!$M$33,":","H")),CONCATENATE("A ",SUBSTITUTE(TABLEAU!$M$33,":","H"))),CONCATENATE("(A ",TABLEAU!$Z$66,"): ~ (A"),"(A"),"DANS 0 MIN","MAINTENANT"),"DEPUIS(",CONCATENATE("DEPUIS ",TABLEAU!$M$66," (")),"DEPUIS DEPUIS  (A",CONCATENATE("DEPUIS ",TABLEAU!$M$66," (A")),"(A 1 ",CONCATENATE("(A ",TABLEAU!$E$66,":00")),"#A",CONCATENATE("#DANS ",HOUR(TABLEAU!$I$66),"H",TABLEAU!$N$66," (A")),"DEPUIS DEPUIS",CONCATENATE("DEPUIS ",TABLEAU!$M$66))),"]#D","]# &amp; #D"),"DEPUIS =",CONCATENATE("DEPUIS ",TABLEAU!$M$66)),"DANS  MAINTENANT","MAINTENANT")</f>
        <v/>
      </c>
      <c r="K66" s="291" t="str">
        <f ca="1">TRIM(SUBSTITUTE(SUBSTITUTE(SUBSTITUTE(SUBSTITUTE(SUBSTITUTE(SUBSTITUTE(SUBSTITUTE(SUBSTITUTE(SUBSTITUTE(TABLEAU!$O$66,CONCATENATE("): (",TABLEAU!$W$66),""),CONCATENATE("A ",TABLEAU!$E$66,"H",TABLEAU!$X$66,"): ("),""),"(SUR",CONCATENATE("(A ",TABLEAU!$E$66,"H",TABLEAU!$X$66," SUR"))," &amp; (",CONCATENATE(" &amp; ",TABLEAU!$L$66," (")),"AUJOURD'HUI",""),"##","#"),"1ER MIN","1 MIN"),CONCATENATE("DEPASSE ",TRIM(TABLEAU!$L$66)," DEPASSE"),"DEPASSE")," (A ):",""))</f>
        <v/>
      </c>
      <c r="L66" s="292" t="str">
        <f ca="1">UPPER(IF(TABLEAU!$P$66&lt;&gt;"","",IF(TABLEAU!$P$66="","",IF(TABLEAU!$AM$66&lt;&gt;"","#DEPASSE DEPUIS ",IF(TODAY&lt;&gt;"MERCREDI","",IF(COUNTIF(ENCOURS,"#EN COURS#")&lt;&gt;0,"MAINTENANT",SUBSTITUTE(SUBSTITUTE(SUBSTITUTE(IF(OR(TABLEAU!$C$66="",TABLEAU!$D$66=""),"",IF(HOUR(TABLEAU!$I$66)=0,CONCATENATE("DANS ",TABLEAU!$N$66," MIN"),CONCATENATE("DANS ",HOUR(TABLEAU!$I$66),"H",TABLEAU!$N$66))),"DANS 0","DANS "),"DANS  MIN",TABLEAU!$M$66),"DANS 0 MIN","MAINTENANT")))))))</f>
        <v/>
      </c>
      <c r="M66" s="292" t="str">
        <f ca="1">IF(TODAY&lt;&gt;"MERCREDI","",SUBSTITUTE(IF(TABLEAU!$D$66="","",IF(TABLEAU!$AF$66=" ","",IF(TABLEAU!$D$66-H.M&gt;0,"",IF(AND(HOUR(TABLEAU!$AF$66)&gt;0,MINUTE(TABLEAU!$AF$66)&lt;10),CONCATENATE(" ",HOUR(TABLEAU!$AF$66),"H0",MINUTE(TABLEAU!$AF$66)),IF(AND(HOUR(TABLEAU!$AF$66)&gt;0,MINUTE(TABLEAU!$AF$66)&gt;9),CONCATENATE(" ",HOUR(TABLEAU!$AF$66),"H",MINUTE(TABLEAU!$AF$66)),CONCATENATE(" 0",MINUTE(TABLEAU!$AF$66)," MIN"))))))," 0",""))</f>
        <v/>
      </c>
      <c r="N66" s="282" t="str">
        <f ca="1">IF(TABLEAU!$D$66="","",IF(OR(TABLEAU!$C$66="",TODAY&lt;&gt;"MERCREDI"),"",IF(TABLEAU!$P$66="#DEPASSE#","",IF(HOUR((H.M))&gt;HOUR(TABLEAU!$D$66),"",IF(MINUTE(TABLEAU!$I$66)&lt;10,CONCATENATE("0",MINUTE(TABLEAU!$I$66)),MINUTE(TABLEAU!$I$66))))))</f>
        <v/>
      </c>
      <c r="O66" s="293" t="str">
        <f ca="1">UPPER(SUBSTITUTE(SUBSTITUTE(SUBSTITUTE(SUBSTITUTE(SUBSTITUTE(SUBSTITUTE(SUBSTITUTE(SUBSTITUTE(SUBSTITUTE(TABLEAU!$J$66,"DANS 0H","DANS "),"DANS 0","DANS "),CONCATENATE("(A ",TABLEAU!$E$66,"H",TABLEAU!$X$66,"): (",LOOKUP(WEEKDAY(MERCREDI.DATE),SEMAINE)," ",DAY(MERCREDI.DATE)," ",LOOKUP(MONTH(MERCREDI.DATE),MOIS)," A 20H00): "),CONCATENATE(TABLEAU!$L$66," (A ",TABLEAU!$E$66,"H",TABLEAU!$X$66,")")),"DEPUIS 0","DEPUIS "),"&amp; A","&amp; (A"),CONCATENATE("(",NBA),""),"#DEPASSE DEPUIS (A","(A"),"DANS  MAINTENANT","MAINTENANT"),"] &amp; #","]# &amp; #"))</f>
        <v/>
      </c>
      <c r="P66" s="385" t="str">
        <f ca="1">IF(OR(TABLEAU!$D$66="",TODAY&lt;&gt;"MERCREDI"),"",IF(AND(HOUR((H.M))=HOUR(TABLEAU!$D$66),MINUTE((H.M))&gt;MINUTE(TABLEAU!$D$66)),"#DEPASSE#",IF(HOUR((H.M))&gt;HOUR(TABLEAU!$D$66),"#DEPASSE#","")))</f>
        <v/>
      </c>
      <c r="Q66" s="386" t="str">
        <f ca="1">IF(OR(TABLEAU!$P$66="",TABLEAU!$S$66=""),"",IF(AND(HOUR(TABLEAU!$S$66)&gt;0,MINUTE(TABLEAU!$S$66)&lt;10),CONCATENATE(HOUR(TABLEAU!$S$66),"H0",MINUTE(TABLEAU!$S$66)),IF(AND(HOUR(TABLEAU!$S$66)=0,MINUTE(TABLEAU!$S$66)&lt;10),CONCATENATE(MINUTE(TABLEAU!$S$66)," MIN"),IF(AND(HOUR(TABLEAU!$S$66)&gt;0,MINUTE(TABLEAU!$S$66)&gt;9),CONCATENATE(HOUR(TABLEAU!$S$66),"H",MINUTE(TABLEAU!$S$66)),CONCATENATE(MINUTE(TABLEAU!$S$66)," MIN")))))</f>
        <v/>
      </c>
      <c r="R66" s="386" t="str">
        <f ca="1">UPPER(IF(OR(TABLEAU!$C$66="",TODAY&lt;&gt;"MERCREDI"),"",IF(OR(TABLEAU!$D$66="",TABLEAU!$D$66="23:59",TABLEAU!$C$66=""),"",IF(AND(TODAY="MERCREDI",HOUR(TABLEAU!$I$66)&lt;1,MINUTE(TABLEAU!$I$66)&lt;5,TABLEAU!$I$66&lt;&gt;"",TABLEAU!$I$66&lt;&gt;0),"BIENTOT",""))))</f>
        <v/>
      </c>
      <c r="S66" s="620" t="str">
        <f ca="1">IF(TABLEAU!$D$66="","",IF(TODAY&lt;&gt;"MERCREDI","",IF((H.M)&gt;TABLEAU!$D$66,"",(H.M)-TABLEAU!$D$66)))</f>
        <v/>
      </c>
      <c r="T66" s="2307"/>
      <c r="U66" s="291" t="str">
        <f ca="1">UPPER(TRIM(SUBSTITUTE(SUBSTITUTE(SUBSTITUTE(SUBSTITUTE(SUBSTITUTE(SUBSTITUTE(SUBSTITUTE(SUBSTITUTE(SUBSTITUTE(SUBSTITUTE(SUBSTITUTE(SUBSTITUTE(SUBSTITUTE(SUBSTITUTE(SUBSTITUTE(SUBSTITUTE(SUBSTITUTE(SUBSTITUTE(IF(TABLEAU!$D$66="","",SUBSTITUTE(SUBSTITUTE(SUBSTITUTE(SUBSTITUTE(SUBSTITUTE(SUBSTITUTE(SUBSTITUTE(SUBSTITUTE(SUBSTITUTE(SUBSTITUTE(SUBSTITUTE(SUBSTITUTE(SUBSTITUTE(SUBSTITUTE(SUBSTITUTE(IF(OR(TABLEAU!$C$66="",TABLEAU!$D$66=""),"",IF(AND(TODAY="MERCREDI",TABLEAU!$P$66&lt;&gt;""),CONCATENATE("#DEPASSE DEPUIS ",TABLEAU!$M$66," ",TABLEAU!$W$66,"#"),CONCATENATE("#",MERCREDI.DANS," ",TABLEAU!$H$66,TABLEAU!$C$66,"#"))),": =",":"),CONCATENATE(NBA,"("),""),CONCATENATE(LOOKUP(MONTH(MERCREDI.DATE),MOIS)," (A"),CONCATENATE(LOOKUP(MONTH(MERCREDI.DATE),MOIS)," A")),"1ER MIN","1 MIN"),"((","("),"##","#"),"# ","#"),CONCATENATE("#",TABLEAU!$H$66,"DEPUIS"),"#DEPASSE DEPUIS"),"DEMAIN (",CONCATENATE("DEMAIN (MERCREDI ",DAY(MERCREDI.DATE)," ",LOOKUP(MONTH(MERCREDI.DATE),MOIS)," ")),"JOURS (A ",CONCATENATE("JOURS (MERCREDI ",DAY(MERCREDI.DATE)," ",LOOKUP(MONTH(MERCREDI.DATE),MOIS)," A ")),"(A","(MERCREDI A"),"DANS 00 MIN","DANS "),"DANS 0","DANS "),"#&amp;","# &amp; "),"JOURS [",CONCATENATE("JOURS (",LOOKUP(WEEKDAY(MERCREDI.DATE),SEMAINE)," ",DAY(MERCREDI.DATE)," ",LOOKUP(MONTH(MERCREDI.DATE),MOIS)," A ",HOUR(TABLEAU!$D$66),"H",TABLEAU!$F$66,"): ["))),CONCATENATE(MERCREDI.DANS," ",MERCREDI.DANS),CONCATENATE(" ",MERCREDI.DANS)),"# ","#"),"#&amp; #","# &amp; #"),"US A","USA"),"(~ ("," ~ ("),"MERCREDI A ","A "),CONCATENATE("#",TABLEAU!$H$66,TABLEAU!$W$66),TABLEAU!$W$66),"DEMAINDANS","DEMAIN DANS"),"''(","'' ("),CONCATENATE("#DANS ",TRIM(TABLEAU!$AH$66)," (#DEPASSE "),"#DEPASSE "),"]#D","]# &amp; #D"),"(MATCH","MATCH"),"COURS &amp; D","COURS# &amp; #D"),"#&amp; ","# &amp; #"),"# &amp; # ","# &amp; #"),CONCATENATE("#DEPASSE DEPUIS ",TABLEAU!$M$66," #"),"#"),"# &amp; ##","# &amp; #"),"DANS  (MAINTENANT","MAINTENANT")))</f>
        <v/>
      </c>
      <c r="V66" s="291" t="str">
        <f ca="1">UPPER(TRIM(SUBSTITUTE(SUBSTITUTE(IF(OR(TABLEAU!$C$66="",TABLEAU!$D$66="",MERCREDI.DANS&lt;&gt;""),"",TABLEAU!$J$66),JOUR.PLUS,""),"DANS  MAINTENANT","MAINTENANT")))</f>
        <v/>
      </c>
      <c r="W66" s="347" t="str">
        <f ca="1">UPPER(IF(TABLEAU!$C$66=0,"",TABLEAU!$C$66))</f>
        <v/>
      </c>
      <c r="X66" s="781"/>
      <c r="Y66" s="292" t="str">
        <f ca="1">IF(OR(TODAY&lt;&gt;"MERCREDI",TABLEAU!$C$66=""),"",IF(OR(TABLEAU!$C$66="",TABLEAU!$D$66=""),"",HOUR(TABLEAU!$D$66)))</f>
        <v/>
      </c>
      <c r="Z66" s="292" t="str">
        <f ca="1">IF(TABLEAU!$AM$66&lt;&gt;""," ",IF(OR(TODAY&lt;&gt;"MERCREDI",TABLEAU!$C$66="",TABLEAU!$D$66="")," ",IF(MINUTE(TABLEAU!$D$66)&lt;10,CONCATENATE(HOUR(TABLEAU!$D$66),"H0",MINUTE(TABLEAU!$D$66)),IF(MINUTE(TABLEAU!$D$66)&gt;9,CONCATENATE(HOUR(TABLEAU!$D$66),"H",MINUTE(TABLEAU!$D$66))))))</f>
        <v xml:space="preserve"> </v>
      </c>
      <c r="AA66" s="356" t="str">
        <f ca="1">TRIM(SUBSTITUTE(SUBSTITUTE(SUBSTITUTE(SUBSTITUTE(IF(TABLEAU!$P$66="#DEPASSE#",TABLEAU!$AB$66,TABLEAU!$U$66),"# ","#"),"#&amp; #","# &amp; #"),"DANS (MAINTENANT","MAINTENANT"),SUBSTITUTE(SUBSTITUTE(CONCATENATE("#",TABLEAU!$H$66,"",TABLEAU!$H$66)," 0"," ")," 0"," "),SUBSTITUTE(TABLEAU!$H$66," 0"," ")))</f>
        <v/>
      </c>
      <c r="AB66" s="292" t="str">
        <f ca="1">UPPER(TRIM(SUBSTITUTE(SUBSTITUTE(SUBSTITUTE(SUBSTITUTE(SUBSTITUTE(SUBSTITUTE(TABLEAU!$K$66,CONCATENATE(LOOKUP(MONTH(A),MOIS)," (A"),CONCATENATE(LOOKUP(MONTH(A),MOIS)," A ")),CONCATENATE(LOOKUP(MONTH(A)+1,MOIS)," (A"),CONCATENATE(LOOKUP(MONTH(A)+1,MOIS)," A ")),CONCATENATE("(",YEAR(MERCREDI.DATE)),""),"] &amp; DANS","]# &amp; #DANS"),"DANS MAINTENANT","MAINTENANT"),SUBSTITUTE(CONCATENATE("#",SUBSTITUTE(TABLEAU!$H$66,"(",""),"#",TABLEAU!$H$66)," 0"," "),SUBSTITUTE(TABLEAU!$H$66," 0"," "))))</f>
        <v/>
      </c>
      <c r="AC66" s="689" t="str">
        <f ca="1">IF(TABLEAU!$P$66="#DEPASSE#",CONCATENATE(TABLEAU!$AC$65," &amp; ",TABLEAU!$B$66),TABLEAU!$AC$65)</f>
        <v/>
      </c>
      <c r="AD66" s="1857"/>
      <c r="AE66" s="293" t="str">
        <f ca="1">UPPER(TRIM(SUBSTITUTE(SUBSTITUTE(SUBSTITUTE(SUBSTITUTE(SUBSTITUTE(SUBSTITUTE(SUBSTITUTE(SUBSTITUTE(SUBSTITUTE(SUBSTITUTE(SUBSTITUTE(SUBSTITUTE(SUBSTITUTE(SUBSTITUTE(SUBSTITUTE(SUBSTITUTE(SUBSTITUTE(SUBSTITUTE(SUBSTITUTE(SUBSTITUTE(SUBSTITUTE(SUBSTITUTE(SUBSTITUTE(SUBSTITUTE(IF(TABLEAU!$P$66="#DEPASSE#",TABLEAU!$J$66,IF(TABLEAU!$C$66="","",TRIM(SUBSTITUTE(SUBSTITUTE(SUBSTITUTE(SUBSTITUTE(SUBSTITUTE(SUBSTITUTE(SUBSTITUTE(IF(TABLEAU!$L$66="#DEPASSE DEPUIS ",MODIF,IF(TABLEAU!$I$66=SUBSTITUTE(DEPP,"#",""),DEPP,SUBSTITUTE(SUBSTITUTE(SUBSTITUTE(SUBSTITUTE(SUBSTITUTE(SUBSTITUTE(SUBSTITUTE(SUBSTITUTE(SUBSTITUTE(SUBSTITUTE(SUBSTITUTE(SUBSTITUTE(SUBSTITUTE(SUBSTITUTE(SUBSTITUTE(SUBSTITUTE(SUBSTITUTE(SUBSTITUTE(TABLEAU!$AB$66,CONCATENATE(TABLEAU!$K$66," A "),CONCATENATE(TABLEAU!$K$66," (A ")),"JANVIER (","JANVIER "),"FEVRIER (","FEVRIER "),"MARS (","MARS "),"AVRIL (","AVRIL "),"MAI (","MAI "),"JUIN (","JUIN "),"JUILLET (","JUILLET "),"AOUT (","AOUT "),"SEPTEMBRE (","SEPTEMBRE "),"OCTOBRE (","OCTOBRE "),"NOVEMBRE (","NOVEMBRE "),"DECEMBRE (","DECEMBRE "),CONCATENATE(" &amp; ",TABLEAU!$K$66," (")," &amp; "),CONCATENATE(" &amp;",TABLEAU!$L$66,"(")," &amp; ")," &amp; ("," &amp; "),CONCATENATE(TABLEAU!$K$66," (A ",TABLEAU!$AC$66,"): HIER"),"DEPASSE DEPUIS HIER")," &amp; A"," &amp; (A"))),"(A ",CONCATENATE("(",DATE.RDV.TV," A ")),"((","("),CONCATENATE(DATE.RDV.TV," ("),""),CONCATENATE(DATE.RDV.TV," A "),"A "),CONCATENATE(YEAR(A)," (A"),"A"),CONCATENATE(TABLEAU!$L$66," (DEPASSE"),"DEPASSE"),CONCATENATE("DEPASSE",TABLEAU!$L$66,"(",LOOKUP(WEEKDAY(MERCREDI.DATE),SEMAINE)," ",DAY(MERCREDI.DATE)," ",LOOKUP(MONTH(MERCREDI.DATE),MOIS)," A"),"DEPASSE DEPUIS")))),"#&amp; ","# &amp; #"),"DANS (A","MAINTENANT (A"),"DANS (MATCH","DANS MATCH"),CONCATENATE("(DEMAIN= ",DIF.L1," ~ "),""),CONCATENATE("(DEMAIN= ",DIF.LDC," ~ "),""),CONCATENATE("(DEMAIN= ",DIF.UEFA," ~ "),""),CONCATENATE("(DEMAIN= ",DIF.FRANCE," ~ "),""),CONCATENATE("(DEMAIN= ",DIF.LIGUE," ~ "),""),CONCATENATE("(DEMAIN= ",DIF.GP," ~ "),""),CONCATENATE("(DEMAIN= ",DIF.MONDIAL," ~ "),""),CONCATENATE("(DEMAIN= ",DIF.EURO," ~ "),""),CONCATENATE("(DEMAIN= ",DIF.CONFEDERATIONS," ~ "),""),CONCATENATE(TABLEAU!$K$3," A"),"A"),"MARDI A","A"),"MERCREDI A","A"),"JEUDI A","A"),"VENDREDI A","A"),"SAMEDI A","A"),"DIMANCHE A","A"),"00H","0H"),"DEPUIS DEPUIS",CONCATENATE("DEPUIS ",TABLEAU!$M$66)),"] &amp;D","]# &amp; #D"),"A 2A",CONCATENATE("A ",TABLEAU!$Y66,"H",TABLEAU!$F$66))," )",")")))</f>
        <v/>
      </c>
      <c r="AF66" s="984" t="str">
        <f ca="1">IF(TODAY&lt;&gt;"MERCREDI"," ",IF(TABLEAU!$D$66="","",H.M-TABLEAU!$D$66))</f>
        <v xml:space="preserve"> </v>
      </c>
      <c r="AG66" s="984" t="str">
        <f ca="1">IF(TABLEAU!$B$66="","",IF(TABLEAU!$I$66&lt;&gt;0,"",IF(TODAY&lt;&gt;"MERCREDI","",IF(TABLEAU!$AF$66=" ","",IF(TABLEAU!$AF$66="","",IF(AND(HOUR(TABLEAU!$AF$66)&gt;0,MINUTE(TABLEAU!$AF$66)&lt;10),CONCATENATE(HOUR(TABLEAU!$AF$66),"H0",MINUTE(TABLEAU!$AF$66)),IF(AND(HOUR(TABLEAU!$AF$66)&gt;0,MINUTE(TABLEAU!$AF$66)&gt;9),CONCATENATE(HOUR(TABLEAU!$AF$66),"H",MINUTE(TABLEAU!$AF$66)),CONCATENATE(MINUTE(TABLEAU!$AF$66)," MIN"))))))))</f>
        <v/>
      </c>
      <c r="AH66" s="984" t="str">
        <f ca="1">IF(TABLEAU!$I$66="","",IF(MINUTE(TABLEAU!$I$66)&gt;9,CONCATENATE(HOUR(TABLEAU!$I$66),"H",MINUTE(TABLEAU!$I$66)),CONCATENATE(HOUR(TABLEAU!$I$66),"H0",MINUTE(TABLEAU!$I$66))))</f>
        <v/>
      </c>
      <c r="AI66" s="1660"/>
      <c r="AJ66" s="83" t="str">
        <f ca="1">IF(TABLEAU!$B$66="","",TABLEAU!$P$66)</f>
        <v/>
      </c>
      <c r="AK66" s="83" t="str">
        <f ca="1">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O$66,"DEPASSE","&amp;&amp;&amp;"),"A",""),"B",""),"C",""),"D",""),"E",""),"F",""),"G",""),"H",""),"I",""),"J",""),"K",""),"L",""),"M",""),"N",""),"O",""),"P",""),"Q",""),"R",""),"S",""),"T",""),"U",""),"V",""),"W",""),"X",""),"Y",""),"Z",""),"0",""),"1",""),"2",""),"3",""),"4",""),"5",""),"6",""),"7",""),"8",""),"9",""),":",""),"(",""),")",""),"[",""),"]","")," ",""))</f>
        <v/>
      </c>
      <c r="AL66" s="635" t="str">
        <f ca="1">UPPER(IF(DATE.RDV.TV&lt;&gt;"MERCREDI","",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B$66,"DEPASSE ","¤¤"),"A",""),"B",""),"C",""),"D",""),"E",""),"F",""),"G",""),"H",""),"I",""),"J",""),"K",""),"L",""),"M",""),"N",""),"O",""),"P",""),"Q",""),"R",""),"S",""),"T",""),"U",""),"V",""),"W",""),"X",""),"Y",""),"Z",""),"1",""),"2",""),"3",""),"4",""),"5",""),"6",""),"7",""),"8",""),"9",""),"0",""),"-",""),"(",""),")",""),"{",""),"}",""),"=",""),"[",""),"]",""),"#",""),"+",""),":",""),"/",""),"'",""),".","")," &amp; ","")," ° ",""))))</f>
        <v/>
      </c>
      <c r="AM66" s="837" t="str">
        <f ca="1">UPPER(IF(DATE.RDV.TV&lt;&gt;"MERCEDI","",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C$66,"CHAMPIONNAT","¤"),"LDC","¤¤"),"UEFA","¤¤¤"),"FRANCE","¤¤¤¤"),"LIGUE","¤¤¤¤¤"),"GP","¤¤¤¤¤¤"),"MONDIAL","¤¤¤¤¤¤¤"),"EURO","¤¤¤¤¤¤¤¤"),"CONFEDERATIONS","¤¤¤¤¤¤¤¤¤"),"A",""),"B",""),"C",""),"D",""),"E",""),"F",""),"G",""),"H",""),"I",""),"J",""),"K",""),"L",""),"M",""),"N",""),"O",""),"P",""),"Q",""),"R",""),"S",""),"T",""),"U",""),"V",""),"W",""),"X",""),"Y",""),"Z",""),"1",""),"2",""),"3",""),"4",""),"5",""),"6",""),"7",""),"8",""),"9",""),"0",""),"-",""),"(",""),")",""),"{",""),"}",""),"=",""),"[",""),"]",""),"#",""),"+",""),":",""),"/",""),"'",""),".","")," &amp; ","")," ° ",""),"~",""))))</f>
        <v/>
      </c>
      <c r="AN66" s="1607" t="str">
        <f ca="1">IF(TABLEAU!$B$66=TABLEAU!$B$65,"",IF(OR(TABLEAU!$A$66="#DEPASSE#",TABLEAU!$P$66="#DEPASSE#"),TABLEAU!$B$66,""))</f>
        <v/>
      </c>
      <c r="AO66" s="1608"/>
      <c r="AP66" s="1608"/>
      <c r="AQ66" s="1608"/>
      <c r="AR66" s="1608"/>
      <c r="AS66" s="1608"/>
      <c r="AT66" s="1608"/>
      <c r="AU66" s="1608"/>
      <c r="AV66" s="1608"/>
      <c r="AW66" s="1608"/>
      <c r="AX66" s="1609"/>
      <c r="AY66" s="1243">
        <f ca="1">IF(AND(TABLEAU!$C$66&lt;&gt;"",TABLEAU!$B$66=""),1,0)</f>
        <v>0</v>
      </c>
      <c r="AZ66" s="2576"/>
      <c r="BA66" s="2577"/>
    </row>
    <row r="67" spans="1:53" ht="12" customHeight="1">
      <c r="A67" s="1508" t="str">
        <f ca="1">IF(TABLEAU!$B$67="","",IF(OR(TABLEAU!$AL$67="¤¤",TABLEAU!$P$67&lt;&gt;""),"#DEPASSE#",SUBSTITUTE(IF(OR(JEUDI.1="",TABLEAU!$C$67=""),"",IF(AND(TODAY="JEUDI",HOUR((H.M))&gt;HOUR(JEUDI.1),MINUTE((H.M))&gt;MINUTE(JEUDI.1)),"",IF(TODAY&lt;&gt;"JEUDI","",IF(HOUR(TABLEAU!$I$67)&gt;0,CONCATENATE("DANS ",HOUR(TABLEAU!$I$67),"H",TABLEAU!$N$67),CONCATENATE("DANS ",HOUR(TABLEAU!$I$67),"H",TABLEAU!$N$67," MIN")))))," 0H"," ")))</f>
        <v/>
      </c>
      <c r="B67" s="1511" t="str">
        <f ca="1">SUBSTITUTE(SUBSTITUTE(SUBSTITUTE(IF(OR(TABLEAU!$C67,TABLEAU!$D67=""),"",SUBSTITUTE(SUBSTITUTE(SUBSTITUTE(SUBSTITUTE(SUBSTITUTE(SUBSTITUTE(SUBSTITUTE(SUBSTITUTE(SUBSTITUTE(SUBSTITUTE(SUBSTITUTE(SUBSTITUTE(SUBSTITUTE(SUBSTITUTE(SUBSTITUTE(SUBSTITUTE(SUBSTITUTE(SUBSTITUTE(SUBSTITUTE(SUBSTITUTE(SUBSTITUTE(SUBSTITUTE(SUBSTITUTE(SUBSTITUTE(IF(TABLEAU!$C67="","",SUBSTITUTE(IF(TABLEAU!$AE67="",TABLEAU!$U67,TABLEAU!$AE67),CONCATENATE(CVB,YEAR(A)," "),""))," #"," "),"] &amp; D","]# &amp; #D")," &amp; (A",CONCATENATE("# &amp; #",TABLEAU!$H67,"A")),"&amp; DEPASSE","&amp; #DEPASSE"),"## &amp; #A","# &amp; #(A"),"DANS MAINTENANT","MAINTENANT"),CONCATENATE(" H",TABLEAU!$N67),CONCATENATE(" ",TABLEAU!$N67," MIN"))," 0"," "),"] &amp;D","]# &amp; #D"),"}  MIN","} H"),"# &amp; D","# &amp; #D"),CONCATENATE("#MAINTENANT (A ",TABLEAU!$Z67,"): MAINTENANT"),"#MAINTENANT"),TABLEAU!$AB$2,""),TABLEAU!$AM$5,"")," MINAMILTON","HAMILTON"),CONCATENATE(TABLEAU!$Z67," ",TABLEAU!$Z67),TABLEAU!$Z67),"DEPUIS  MINIER","DEPUIS HIER"),"MINONGRIE","HONGRIE"),"#DANS (#DEPASSE","#DEPASSE"),CONCATENATE(" ",YEAR(A)),""),"]= [","= ["),")])",")]"),"#DEPASSE DEPUISDANS","#DANS"),"(A 1A ):",CONCATENATE("(A ",HOUR(TABLEAU!$D67),"H",TABLEAU!$F67,"):"))),"SUR "," SUR "),"  SUR "," SUR "),CONCATENATE("DEPASSE DEPUIS ",TABLEAU!$M67," (A DANS"),"DANS")</f>
        <v>#DANS 5 JOURS (JEUDI 7 NOVEMBRE A 18H50 SUR TFX): [TELE-REALITE]#</v>
      </c>
      <c r="C67" s="629" t="s">
        <v>169</v>
      </c>
      <c r="D67" s="630">
        <v>0.78472222222222221</v>
      </c>
      <c r="E67" s="2649">
        <f>IF(TABLEAU!$D67="","",IF(TABLEAU!$D67="23:59","",HOUR(TABLEAU!$D67)))</f>
        <v>18</v>
      </c>
      <c r="F67" s="2650" t="str">
        <f>IF(OR(TABLEAU!$D$67="",TABLEAU!$D$67="23:59"),"59",IF(MINUTE(TABLEAU!$D$67)&lt;10,CONCATENATE("0",MINUTE(TABLEAU!$D$67)),CONCATENATE(MINUTE(TABLEAU!$D$67))))</f>
        <v>50</v>
      </c>
      <c r="G67" s="585" t="str">
        <f ca="1">UPPER(SUBSTITUTE(SUBSTITUTE(SUBSTITUTE(IF(TABLEAU!$D$67="","",SUBSTITUTE(SUBSTITUTE(SUBSTITUTE(SUBSTITUTE(SUBSTITUTE(SUBSTITUTE(SUBSTITUTE(SUBSTITUTE(SUBSTITUTE(SUBSTITUTE(SUBSTITUTE(SUBSTITUTE(SUBSTITUTE(SUBSTITUTE(SUBSTITUTE(IF(OR(TABLEAU!$D$67="",TABLEAU!$C$67=""),"",IF(AND(TODAY="JEUDI",HOUR((H.M))&gt;HOUR(TABLEAU!$D$67),MINUTE((H.M))&gt;MINUTE(TABLEAU!$D$67)),CONCATENATE("#DEPASSE DEPUIS",TABLEAU!$M$67," ",TABLEAU!$C$67,"#"),IF(TABLEAU!$P$67&lt;&gt;"",CONCATENATE("#DEPASSE DEPUIS",TABLEAU!$M$67," ",TABLEAU!$C$67,"#"),IF(TODAY&lt;&gt;"JEUDI",CONCATENATE("#",JEUDI.DANS," (JEUDI ",DAY(JEUDI.DATE)," ",LOOKUP(MONTH(JEUDI.DATE),MOIS)," A ",HOUR(TABLEAU!$D$67),"H",TABLEAU!$F$67,"): ",TABLEAU!$C$67,"#"),CONCATENATE("#",TABLEAU!$L$67," (A ",TABLEAU!$Z$67,"): ",SUBSTITUTE(TABLEAU!$C$67,"#",""),"#"))))),CONCATENATE(LOOKUP(MONTH(JEUDI.DATE),MOIS)," (A"),CONCATENATE(LOOKUP(MONTH(JEUDI.DATE),MOIS)," A")),"##","#"),CONCATENATE("#DEPASSE DEPUIS  (A ): ",TABLEAU!$C$67,"#"),""),CONCATENATE("(A ",TABLEAU!$E$67,"H",TABLEAU!$X$67,"): "),""),CONCATENATE(TABLEAU!$L$67," DEPUIS"),"DEPASSE DEPUIS"),CONCATENATE("A ",HOUR(TABLEAU!$D$67),"H",TABLEAU!$F$67,"): (A ",HOUR(TABLEAU!$D$67),"H",TABLEAU!$F$67),CONCATENATE("A ",HOUR(TABLEAU!$D$67),"H",TABLEAU!$F$67)),"#DEPASSEDEPASSE","#DEPASSE"),"# (",CONCATENATE("#",TABLEAU!$H$67)),CONCATENATE("A ",SUBSTITUTE(TABLEAU!$M$33,":","H"),"): ~ (A ",SUBSTITUTE(TABLEAU!$M$33,":","H")),CONCATENATE("A ",SUBSTITUTE(TABLEAU!$M$33,":","H"))),CONCATENATE("#DEPASSE ",TABLEAU!$M$67,"#D"),"#D")," D"," #D"),"#DEPUIS","DEPUIS"),"COURS ","COURS# "),"#DE ","DE "),"GP #D","GP D")),"# &amp; #",CONCATENATE("# &amp; #DEPASSE DEPUIS",TABLEAU!$M$67," ")),"] &amp; (",CONCATENATE("]# &amp; DANS ",TABLEAU!$AH$67," ("))," 0"," "))</f>
        <v>#DANS 5 JOURS (JEUDI 7 NOVEMBRE A 18H50 SUR TFX): [TELE-REALITE]#</v>
      </c>
      <c r="H67" s="559" t="str">
        <f ca="1">SUBSTITUTE(IF(OR(DATE.RDV.TV&lt;&gt;"JEUDI",TABLEAU!$C$67=""),"",IF(HOUR(TABLEAU!$I$67)=0,CONCATENATE("DANS ",TABLEAU!$N$67," MIN ("),CONCATENATE("DANS ",HOUR(TABLEAU!$I$67),"H",TABLEAU!$N$67," ("))),"DANS  MIN (","")</f>
        <v/>
      </c>
      <c r="I67" s="331" t="str">
        <f ca="1">IF(OR(TODAY&lt;&gt;"JEUDI",TABLEAU!$C$67=""),"",IF(OR(TABLEAU!$D$67="",TABLEAU!$P$67="#DEPASSE#",TODAY&lt;&gt;"JEUDI"),0,IF(HOUR((H.M))&gt;HOUR(TABLEAU!$D$67),0,TABLEAU!$D$67-H.M)))</f>
        <v/>
      </c>
      <c r="J67" s="332" t="str">
        <f ca="1">SUBSTITUTE(SUBSTITUTE(SUBSTITUTE(IF(TABLEAU!$I$67="","",SUBSTITUTE(SUBSTITUTE(SUBSTITUTE(SUBSTITUTE(SUBSTITUTE(SUBSTITUTE(SUBSTITUTE(SUBSTITUTE(SUBSTITUTE(SUBSTITUTE(SUBSTITUTE(SUBSTITUTE(SUBSTITUTE(SUBSTITUTE(SUBSTITUTE(SUBSTITUTE(SUBSTITUTE(SUBSTITUTE(SUBSTITUTE(SUBSTITUTE(IF(DATE.DEPASSE&lt;0,TABLEAU!$U$67,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G67,"  "," "),CONCATENATE("(A ",TABLEAU!$Z$67,"): (A ",TABLEAU!$Z$67),CONCATENATE("(A ",TABLEAU!$Z$67)),CONCATENATE("#DEPASSE",TABLEAU!$M$67,"#DEPASSE",TABLEAU!$M$67),CONCATENATE("#DEPASSE",TABLEAU!$M$67)),CONCATENATE("#DEPASSE",TABLEAU!$L$67,"DEPASSE"),"#DEPASSE"),CONCATENATE(TABLEAU!$L$67," (A ",TABLEAU!$Z$67,"): DEPUIS"),"DEPASSE DEPUIS")," 1 "," 1ER "),"DEPASSE DEPUIS DEPASSE DEPUIS","DEPASSE DEPUIS"),CONCATENATE("DEPASSE ",TRIM(TABLEAU!$L$67)," DEPASSE ",TRIM(TABLEAU!$L$67)),CONCATENATE("DEPASSE ",TRIM(TABLEAU!$L$67))),"1ER MIN","1 MIN"),"1ER ERREUR","1 ERREUR"),CONCATENATE("(A ",TABLEAU!$Z$67,"): (A ",TABLEAU!$E$67,":",TABLEAU!$F$67),CONCATENATE("(A ",TABLEAU!$Z$67))," (A ):",""),"DEPASSE DEPUIS (",TABLEAU!$H$67),"] &amp; D","]# &amp; #D"),CONCATENATE("#DEPASSE",TABLEAU!$M$67,"DEPASSE"),"#DEPASSE")," [","): ["),"):):","):"),"DEPUIS ",TABLEAU!$L$67),CONCATENATE(SUBSTITUTE(TABLEAU!$M$67,"DEPUIS ",""))," "),"DEPUIS",CONCATENATE(TABLEAU!$M$67," (",JEUDI.VERIFIER," A ")),SUBSTITUTE(TABLEAU!$M$67,"DEPUIS","A"),""),"DEPASSE  ","DEPASSE"),"  A "," A"),"  "," "),TRIM(SUBSTITUTE(TABLEAU!$M$67," DEPUIS ","A ")),"EEE"),"EEE",CONCATENATE("A ",TABLEAU!$Z$67)),CONCATENATE("DEPASSE ",TABLEAU!$L$67,"HIER"),"DEPASSE DEPUIS HIER"),"DEPASSEDEPASSE","DEPASSE DEPUIS "),CONCATENATE(" A ",TABLEAU!$Z$59," (A ",TABLEAU!$Z$59),CONCATENATE(" A ",TABLEAU!$Z$59)),CONCATENATE("A ",TABLEAU!$Z$67," ",TABLEAU!$C$67),TABLEAU!$C$67),CONCATENATE(MOIS.MAINTENANT.2," (A"),CONCATENATE(MOIS.MAINTENANT.2," A")),"#DEPASSE #DEPASSEDEPUIS","#DEPASSE DEPUIS"),"A (A","A"),CONCATENATE(TABLEAU!$L$67," DEPASSE"),"DEPASSE"),"DEPASSE (",CONCATENATE("DEPASSE DEPUIS ",TABLEAU!$Q$67," (")),"''MIN","MIN"),"=):","]="),CONCATENATE("#DEPASSE ",TABLEAU!$Q$67),CONCATENATE("#DEPASSE DEPUIS ",TABLEAU!$Q$67)),"DEPASSE","DEPASSE DEPUIS"),"DEPUIS DEPUIS","DEPUIS")),"US A","USA"),CONCATENATE("DEPASSE DEPUIS ",TABLEAU!$Q$67,"DEPASSE DEPUIS ",TABLEAU!$Q$67),CONCATENATE("DEPASSE DEPUIS ",TABLEAU!$Q$67)),CONCATENATE("#DEPASSE DEPUIS ",TABLEAU!$Q$67," #DEPASSE DEPUIS ",TABLEAU!$Q$67),CONCATENATE("#DEPASSE DEPUIS ",TABLEAU!$Q$67)),"#DEPASSE DEPUIS #DEPASSE DEPUIS","#DEPASSE DEPUIS"),CONCATENATE("): ",JEUDI.DANS," (A ",TABLEAU!$E$67,"H",TABLEAU!$F$67),"")," &amp; D"," &amp; #D"),CONCATENATE(JEUDI.DANS," (JEUDI ",DAY(JEUDI.DATE)," ",LOOKUP(MONTH(JEUDI.DATE),MOIS)," A ",TABLEAU!$E$67,"H",TABLEAU!$F$67,"): DANS"),"DANS"),CONCATENATE(JEUDI.DANS," (JEUDI ",DAY(JEUDI.DATE)," ",LOOKUP(MONTH(JEUDI.DATE),MOIS)," A ",TABLEAU!$E$67,"H",TABLEAU!$F$67,"): ",JEUDI.DANS,"= ",TABLEAU!$AN$23,"(A ",TABLEAU!$E$67,"H",TABLEAU!$F$67),CONCATENATE(JEUDI.DANS,"= ",TABLEAU!$AN$23," (JEUDI ",DAY(JEUDI.DATE)," ",LOOKUP(MONTH(JEUDI.DATE),MOIS)," A ",TABLEAU!$E$67,"H",TABLEAU!$F$67)),CONCATENATE(JEUDI.DANS," (JEUDI ",DAY(JEUDI.DATE)," ",LOOKUP(MONTH(JEUDI.DATE),MOIS)," A ",TABLEAU!$E$67,"H",TABLEAU!$F$67,"): DANS"),"DANS"),"# (",CONCATENATE("#",TABLEAU!$H$67)),"DANS 0","DANS "),"# ~ ",CONCATENATE("#",FICHIER.A.MODIFIER," ~ ")),CONCATENATE("A ",SUBSTITUTE(TABLEAU!$M$33,":","H"),"): ~ (A ",SUBSTITUTE(TABLEAU!$M$33,":","H")),CONCATENATE("A ",SUBSTITUTE(TABLEAU!$M$33,":","H"))),CONCATENATE("(A ",TABLEAU!$Z$67,"): ~ (A"),"(A"),"DANS 0 MIN","MAINTENANT"),"DEPUIS(",CONCATENATE("DEPUIS ",TABLEAU!$M$67," (")),"DEPUIS DEPUIS  (A",CONCATENATE("DEPUIS ",TABLEAU!$M$67," (A")),"(A 1 ",CONCATENATE("(A ",TABLEAU!$E$67,":00")),"#A",CONCATENATE("#DANS ",HOUR(TABLEAU!$I$67),"H",TABLEAU!$N$67," (A")),"DEPUIS DEPUIS",CONCATENATE("DEPUIS ",TABLEAU!$M$67))),"]#D","]# &amp; #D"),"DEPUIS =",CONCATENATE("DEPUIS ",TABLEAU!$M$67)),"DANS  MAINTENANT","MAINTENANT")</f>
        <v/>
      </c>
      <c r="K67" s="333" t="str">
        <f ca="1">TRIM(SUBSTITUTE(SUBSTITUTE(SUBSTITUTE(SUBSTITUTE(SUBSTITUTE(SUBSTITUTE(SUBSTITUTE(SUBSTITUTE(SUBSTITUTE(TABLEAU!$O$67,CONCATENATE("): (",TABLEAU!$W$67),""),CONCATENATE("A ",TABLEAU!$E$67,"H",TABLEAU!$X$67,"): ("),""),"(SUR",CONCATENATE("(A ",TABLEAU!$E$67,"H",TABLEAU!$X$67," SUR"))," &amp; (",CONCATENATE(" &amp; ",TABLEAU!$L$67," (")),"AUJOURD'HUI",""),"##","#"),"1ER MIN","1 MIN"),CONCATENATE("DEPASSE ",TRIM(TABLEAU!$L$67)," DEPASSE"),"DEPASSE")," (A ):",""))</f>
        <v/>
      </c>
      <c r="L67" s="334" t="str">
        <f ca="1">UPPER(IF(TABLEAU!$P$67&lt;&gt;"","",IF(TABLEAU!$P$67="","",IF(TABLEAU!$AM$67&lt;&gt;"","#DEPASSE DEPUIS ",IF(TODAY&lt;&gt;"JEUDI","",IF(COUNTIF(ENCOURS,"#EN COURS#")&lt;&gt;0,"MAINTENANT",SUBSTITUTE(SUBSTITUTE(SUBSTITUTE(IF(OR(TABLEAU!$C$67="",TABLEAU!$D$67=""),"",IF(HOUR(TABLEAU!$I$67)=0,CONCATENATE("DANS ",TABLEAU!$N$67," MIN"),CONCATENATE("DANS ",HOUR(TABLEAU!$I$67),"H",TABLEAU!$N$67))),"DANS 0","DANS "),"DANS  MIN",TABLEAU!$M$67),"DANS 0 MIN","MAINTENANT")))))))</f>
        <v/>
      </c>
      <c r="M67" s="334" t="str">
        <f ca="1">IF(TODAY&lt;&gt;"JEUDI","",SUBSTITUTE(IF(TABLEAU!$D$67="","",IF(TABLEAU!$AF$67=" ","",IF(TABLEAU!$D$67-H.M&gt;0,"",IF(AND(HOUR(TABLEAU!$AF$67)&gt;0,MINUTE(TABLEAU!$AF$67)&lt;10),CONCATENATE(" ",HOUR(TABLEAU!$AF$67),"H0",MINUTE(TABLEAU!$AF$67)),IF(AND(HOUR(TABLEAU!$AF$67)&gt;0,MINUTE(TABLEAU!$AF$67)&gt;9),CONCATENATE(" ",HOUR(TABLEAU!$AF$67),"H",MINUTE(TABLEAU!$AF$67)),CONCATENATE(" 0",MINUTE(TABLEAU!$AF$67)," MIN"))))))," 0",""))</f>
        <v/>
      </c>
      <c r="N67" s="335" t="str">
        <f ca="1">IF(TABLEAU!$D$67="","",IF(OR(TABLEAU!$C$67="",TODAY&lt;&gt;"JEUDI"),"",IF(TABLEAU!$P$67="#DEPASSE#","",IF(HOUR((H.M))&gt;HOUR(TABLEAU!$D$67),"",IF(MINUTE(TABLEAU!$I$67)&lt;10,CONCATENATE("0",MINUTE(TABLEAU!$I$67)),MINUTE(TABLEAU!$I$67))))))</f>
        <v/>
      </c>
      <c r="O67" s="336" t="str">
        <f ca="1">UPPER(SUBSTITUTE(SUBSTITUTE(SUBSTITUTE(SUBSTITUTE(SUBSTITUTE(SUBSTITUTE(SUBSTITUTE(SUBSTITUTE(SUBSTITUTE(TABLEAU!$J$67,"DANS 0H","DANS "),"DANS 0","DANS "),CONCATENATE("(A ",TABLEAU!$E$67,"H",TABLEAU!$X$67,"): (",LOOKUP(WEEKDAY(JEUDI.DATE),SEMAINE)," ",DAY(JEUDI.DATE)," ",LOOKUP(MONTH(JEUDI.DATE),MOIS)," A 20H00): "),CONCATENATE(TABLEAU!$L$67," (A ",TABLEAU!$E$67,"H",TABLEAU!$X$67,")")),"DEPUIS 0","DEPUIS "),"&amp; A","&amp; (A"),CONCATENATE("(",NBA),""),"#DEPASSE DEPUIS (A","(A"),"DANS  MAINTENANT","MAINTENANT"),"] &amp; #","]# &amp; #"))</f>
        <v/>
      </c>
      <c r="P67" s="181" t="str">
        <f ca="1">IF(OR(TABLEAU!$D$67="",TODAY&lt;&gt;"JEUDI"),"",IF(AND(HOUR((H.M))=HOUR(TABLEAU!$D$67),MINUTE((H.M))&gt;MINUTE(TABLEAU!$D$67)),"#DEPASSE#",IF(HOUR((H.M))&gt;HOUR(TABLEAU!$D$67),"#DEPASSE#","")))</f>
        <v/>
      </c>
      <c r="Q67" s="182" t="str">
        <f ca="1">IF(OR(TABLEAU!$P$67="",TABLEAU!$S$67=""),"",IF(AND(HOUR(TABLEAU!$S$67)&gt;0,MINUTE(TABLEAU!$S$67)&lt;10),CONCATENATE(HOUR(TABLEAU!$S$67),"H0",MINUTE(TABLEAU!$S$67)),IF(AND(HOUR(TABLEAU!$S$67)=0,MINUTE(TABLEAU!$S$67)&lt;10),CONCATENATE(MINUTE(TABLEAU!$S$67)," MIN"),IF(AND(HOUR(TABLEAU!$S$67)&gt;0,MINUTE(TABLEAU!$S$67)&gt;9),CONCATENATE(HOUR(TABLEAU!$S$67),"H",MINUTE(TABLEAU!$S$67)),CONCATENATE(MINUTE(TABLEAU!$S$67)," MIN")))))</f>
        <v/>
      </c>
      <c r="R67" s="182" t="str">
        <f ca="1">UPPER(IF(OR(TABLEAU!$C$67="",TODAY&lt;&gt;"JEUDI"),"",IF(OR(TABLEAU!$D$67="",TABLEAU!$D$67="23:59",TABLEAU!$C$67=""),"",IF(AND(TODAY="JEUDI",HOUR(TABLEAU!$I$67)&lt;1,MINUTE(TABLEAU!$I$67)&lt;5,TABLEAU!$I$67&lt;&gt;"",TABLEAU!$I$67&lt;&gt;0),"BIENTOT",""))))</f>
        <v/>
      </c>
      <c r="S67" s="617" t="str">
        <f ca="1">IF(TABLEAU!$D$67="","",IF(TODAY&lt;&gt;"JEUDI","",IF((H.M)&gt;TABLEAU!$D$67,"",(H.M)-TABLEAU!$D$67)))</f>
        <v/>
      </c>
      <c r="T67" s="2190">
        <f ca="1">IF(TODAY="JEUDI",A,IF(TODAY="VENDREDI",A+6,IF(TODAY="SAMEDI",A+5,IF(TODAY="DIMANCHE",A+4,IF(TODAY=TABLEAU!$K$3,A+3,IF(TODAY="MARDI",A+2,IF(TODAY="MERCREDI",A+1)))))))</f>
        <v>43776</v>
      </c>
      <c r="U67" s="193" t="str">
        <f ca="1">UPPER(TRIM(SUBSTITUTE(SUBSTITUTE(SUBSTITUTE(SUBSTITUTE(SUBSTITUTE(SUBSTITUTE(SUBSTITUTE(SUBSTITUTE(SUBSTITUTE(SUBSTITUTE(SUBSTITUTE(SUBSTITUTE(SUBSTITUTE(SUBSTITUTE(SUBSTITUTE(SUBSTITUTE(SUBSTITUTE(SUBSTITUTE(IF(TABLEAU!$D$67="","",SUBSTITUTE(SUBSTITUTE(SUBSTITUTE(SUBSTITUTE(SUBSTITUTE(SUBSTITUTE(SUBSTITUTE(SUBSTITUTE(SUBSTITUTE(SUBSTITUTE(SUBSTITUTE(SUBSTITUTE(SUBSTITUTE(SUBSTITUTE(SUBSTITUTE(IF(OR(TABLEAU!$C$67="",TABLEAU!$D$67=""),"",IF(AND(TODAY="JEUDI",TABLEAU!$P$67&lt;&gt;""),CONCATENATE("#DEPASSE DEPUIS ",TABLEAU!$M$67," ",TABLEAU!$W$67,"#"),CONCATENATE("#",JEUDI.DANS," ",TABLEAU!$H$67,TABLEAU!$C$67,"#"))),": =",":"),CONCATENATE(NBA,"("),""),CONCATENATE(LOOKUP(MONTH(JEUDI.DATE),MOIS)," (A"),CONCATENATE(LOOKUP(MONTH(JEUDI.DATE),MOIS)," A")),"1ER MIN","1 MIN"),"((","("),"##","#"),"# ","#"),CONCATENATE("#",TABLEAU!$H$67,"DEPUIS"),"#DEPASSE DEPUIS"),"DEMAIN (",CONCATENATE("DEMAIN (JEUDI ",DAY(JEUDI.DATE)," ",LOOKUP(MONTH(JEUDI.DATE),MOIS)," ")),"JOURS (A ",CONCATENATE("JOURS (JEUDI ",DAY(JEUDI.DATE)," ",LOOKUP(MONTH(JEUDI.DATE),MOIS)," A ")),"(A","(JEUDI A"),"DANS 00 MIN","DANS "),"DANS 0","DANS "),"#&amp;","# &amp; "),"JOURS [",CONCATENATE("JOURS (",LOOKUP(WEEKDAY(JEUDI.DATE),SEMAINE)," ",DAY(JEUDI.DATE)," ",LOOKUP(MONTH(JEUDI.DATE),MOIS)," A ",HOUR(TABLEAU!$D$67),"H",TABLEAU!$F$67,"): ["))),CONCATENATE(JEUDI.DANS," ",JEUDI.DANS),CONCATENATE(" ",JEUDI.DANS)),"# ","#"),"#&amp; #","# &amp; #"),"US A","USA"),"(~ ("," ~ ("),"JEUDI A ","A "),CONCATENATE("#",TABLEAU!$H$67,TABLEAU!$W$67),TABLEAU!$W$67),"DEMAINDANS","DEMAIN DANS"),"''(","'' ("),CONCATENATE("#DANS ",TRIM(TABLEAU!$AH$67)," (#DEPASSE "),"#DEPASSE "),"]#D","]# &amp; #D"),"(MATCH","MATCH"),"COURS &amp; D","COURS# &amp; #D"),"#&amp; ","# &amp; #"),"# &amp; # ","# &amp; #"),CONCATENATE("#DEPASSE DEPUIS ",TABLEAU!$M$67," #"),"#"),"# &amp; ##","# &amp; #"),"DANS  (MAINTENANT","MAINTENANT")))</f>
        <v>#DANS 5 JOURS (JEUDI 7 NOVEMBRE A 18H50 SUR TFX): [TELE-REALITE]#</v>
      </c>
      <c r="V67" s="193" t="str">
        <f ca="1">UPPER(TRIM(SUBSTITUTE(SUBSTITUTE(IF(OR(TABLEAU!$C$67="",TABLEAU!$D$67="",JEUDI.DANS&lt;&gt;""),"",TABLEAU!$J$67),JOUR.PLUS,""),"DANS  MAINTENANT","MAINTENANT")))</f>
        <v/>
      </c>
      <c r="W67" s="223" t="str">
        <f>UPPER(IF(TABLEAU!$C$67=0,"",TABLEAU!$C$67))</f>
        <v>(A 18H50 SUR TFX): [TELE-REALITE]</v>
      </c>
      <c r="X67" s="782"/>
      <c r="Y67" s="230" t="str">
        <f ca="1">IF(OR(TODAY&lt;&gt;"JEUDI",TABLEAU!$C$67=""),"",IF(OR(TABLEAU!$C$67="",TABLEAU!$D$67=""),"",HOUR(TABLEAU!$D$67)))</f>
        <v/>
      </c>
      <c r="Z67" s="230" t="str">
        <f ca="1">IF(TABLEAU!$AM$67&lt;&gt;""," ",IF(OR(TODAY&lt;&gt;"JEUDI",TABLEAU!$C$67="",TABLEAU!$D$67="")," ",IF(MINUTE(TABLEAU!$D$67)&lt;10,CONCATENATE(HOUR(TABLEAU!$D$67),"H0",MINUTE(TABLEAU!$D$67)),IF(MINUTE(TABLEAU!$D$67)&gt;9,CONCATENATE(HOUR(TABLEAU!$D$67),"H",MINUTE(TABLEAU!$D$67))))))</f>
        <v xml:space="preserve"> </v>
      </c>
      <c r="AA67" s="245" t="str">
        <f ca="1">TRIM(SUBSTITUTE(SUBSTITUTE(SUBSTITUTE(SUBSTITUTE(IF(TABLEAU!$P$67="#DEPASSE#",TABLEAU!$AB$67,TABLEAU!$U$67),"# ","#"),"#&amp; #","# &amp; #"),"DANS (MAINTENANT","MAINTENANT"),SUBSTITUTE(SUBSTITUTE(CONCATENATE("#",TABLEAU!$H$67,"",TABLEAU!$H$67)," 0"," ")," 0"," "),SUBSTITUTE(TABLEAU!$H$67," 0"," ")))</f>
        <v>DANS 5 JOURS (JEUDI 7 NOVEMBRE A 18H50 SUR TFX): [TELE-REALITE]</v>
      </c>
      <c r="AB67" s="230" t="str">
        <f ca="1">UPPER(TRIM(SUBSTITUTE(SUBSTITUTE(SUBSTITUTE(SUBSTITUTE(SUBSTITUTE(SUBSTITUTE(TABLEAU!$K$67,CONCATENATE(LOOKUP(MONTH(A),MOIS)," (A"),CONCATENATE(LOOKUP(MONTH(A),MOIS)," A ")),CONCATENATE(LOOKUP(MONTH(A)+1,MOIS)," (A"),CONCATENATE(LOOKUP(MONTH(A)+1,MOIS)," A ")),CONCATENATE("(",YEAR(JEUDI.DATE)),""),"] &amp; DANS","]# &amp; #DANS"),"DANS MAINTENANT","MAINTENANT"),SUBSTITUTE(CONCATENATE("#",SUBSTITUTE(TABLEAU!$H$67,"(",""),"#",TABLEAU!$H$67)," 0"," "),SUBSTITUTE(TABLEAU!$H$67," 0"," "))))</f>
        <v/>
      </c>
      <c r="AC67" s="690" t="str">
        <f ca="1">SUBSTITUTE(IF(AND(TABLEAU!$P$67="#DEPASSE#",TABLEAU!$U$67=TABLEAU!$AM$1),TABLEAU!$B$33,IF(TABLEAU!$P$67="#DEPASSE#",TABLEAU!$U$67,"")),CONCATENATE(DATE.RDV.TV," A "),"A ")</f>
        <v/>
      </c>
      <c r="AD67" s="1819" t="str">
        <f ca="1">CONCATENATE(LOOKUP(WEEKDAY(JEUDI.DATE),SEMAINE)," ",DAY(JEUDI.DATE)," ",LOOKUP(MONTH(JEUDI.DATE),MOIS)," ")</f>
        <v xml:space="preserve">JEUDI 7 NOVEMBRE </v>
      </c>
      <c r="AE67" s="876" t="str">
        <f ca="1">UPPER(TRIM(SUBSTITUTE(SUBSTITUTE(SUBSTITUTE(SUBSTITUTE(SUBSTITUTE(SUBSTITUTE(SUBSTITUTE(SUBSTITUTE(SUBSTITUTE(SUBSTITUTE(SUBSTITUTE(SUBSTITUTE(SUBSTITUTE(SUBSTITUTE(SUBSTITUTE(SUBSTITUTE(SUBSTITUTE(SUBSTITUTE(SUBSTITUTE(SUBSTITUTE(SUBSTITUTE(SUBSTITUTE(SUBSTITUTE(SUBSTITUTE(IF(TABLEAU!$P$67="#DEPASSE#",TABLEAU!$J$67,IF(TABLEAU!$C$67="","",TRIM(SUBSTITUTE(SUBSTITUTE(SUBSTITUTE(SUBSTITUTE(SUBSTITUTE(SUBSTITUTE(SUBSTITUTE(IF(TABLEAU!$L$67="#DEPASSE DEPUIS ",MODIF,IF(TABLEAU!$I$67=SUBSTITUTE(DEPP,"#",""),DEPP,SUBSTITUTE(SUBSTITUTE(SUBSTITUTE(SUBSTITUTE(SUBSTITUTE(SUBSTITUTE(SUBSTITUTE(SUBSTITUTE(SUBSTITUTE(SUBSTITUTE(SUBSTITUTE(SUBSTITUTE(SUBSTITUTE(SUBSTITUTE(SUBSTITUTE(SUBSTITUTE(SUBSTITUTE(SUBSTITUTE(TABLEAU!$AB$67,CONCATENATE(TABLEAU!$K$67," A "),CONCATENATE(TABLEAU!$K$67," (A ")),"JANVIER (","JANVIER "),"FEVRIER (","FEVRIER "),"MARS (","MARS "),"AVRIL (","AVRIL "),"MAI (","MAI "),"JUIN (","JUIN "),"JUILLET (","JUILLET "),"AOUT (","AOUT "),"SEPTEMBRE (","SEPTEMBRE "),"OCTOBRE (","OCTOBRE "),"NOVEMBRE (","NOVEMBRE "),"DECEMBRE (","DECEMBRE "),CONCATENATE(" &amp; ",TABLEAU!$K$67," (")," &amp; "),CONCATENATE(" &amp;",TABLEAU!$L$67,"(")," &amp; ")," &amp; ("," &amp; "),CONCATENATE(TABLEAU!$K$67," (A ",TABLEAU!$AC$67,"): HIER"),"DEPASSE DEPUIS HIER")," &amp; A"," &amp; (A"))),"(A ",CONCATENATE("(",DATE.RDV.TV," A ")),"((","("),CONCATENATE(DATE.RDV.TV," ("),""),CONCATENATE(DATE.RDV.TV," A "),"A "),CONCATENATE(YEAR(A)," (A"),"A"),CONCATENATE(TABLEAU!$L$67," (DEPASSE"),"DEPASSE"),CONCATENATE("DEPASSE",TABLEAU!$L$67,"(",LOOKUP(WEEKDAY(JEUDI.DATE),SEMAINE)," ",DAY(JEUDI.DATE)," ",LOOKUP(MONTH(JEUDI.DATE),MOIS)," A"),"DEPASSE DEPUIS")))),"#&amp; ","# &amp; #"),"DANS (A","MAINTENANT (A"),"DANS (MATCH","DANS MATCH"),CONCATENATE("(DEMAIN= ",DIF.L1," ~ "),""),CONCATENATE("(DEMAIN= ",DIF.LDC," ~ "),""),CONCATENATE("(DEMAIN= ",DIF.UEFA," ~ "),""),CONCATENATE("(DEMAIN= ",DIF.FRANCE," ~ "),""),CONCATENATE("(DEMAIN= ",DIF.LIGUE," ~ "),""),CONCATENATE("(DEMAIN= ",DIF.GP," ~ "),""),CONCATENATE("(DEMAIN= ",DIF.MONDIAL," ~ "),""),CONCATENATE("(DEMAIN= ",DIF.EURO," ~ "),""),CONCATENATE("(DEMAIN= ",DIF.CONFEDERATIONS," ~ "),""),CONCATENATE(TABLEAU!$K$3," A"),"A"),"MARDI A","A"),"MERCREDI A","A"),"JEUDI A","A"),"VENDREDI A","A"),"SAMEDI A","A"),"DIMANCHE A","A"),"00H","0H"),"DEPUIS DEPUIS",CONCATENATE("DEPUIS ",TABLEAU!$M$67)),"] &amp;D","]# &amp; #D"),"A 2A",CONCATENATE("A ",TABLEAU!$Y67,"H",TABLEAU!$F$67))," )",")")))</f>
        <v/>
      </c>
      <c r="AF67" s="985" t="str">
        <f ca="1">IF(TODAY&lt;&gt;"JEUDI"," ",IF(TABLEAU!$D$67="","",H.M-TABLEAU!$D$67))</f>
        <v xml:space="preserve"> </v>
      </c>
      <c r="AG67" s="985" t="str">
        <f ca="1">IF(TABLEAU!$B$67="","",IF(TABLEAU!$I$67&lt;&gt;0,"",IF(TODAY&lt;&gt;"JEUDI","",IF(TABLEAU!$AF$67=" ","",IF(TABLEAU!$AF$67="","",IF(AND(HOUR(TABLEAU!$AF$67)&gt;0,MINUTE(TABLEAU!$AF$67)&lt;10),CONCATENATE(HOUR(TABLEAU!$AF$67),"H0",MINUTE(TABLEAU!$AF$67)),IF(AND(HOUR(TABLEAU!$AF$67)&gt;0,MINUTE(TABLEAU!$AF$67)&gt;9),CONCATENATE(HOUR(TABLEAU!$AF$67),"H",MINUTE(TABLEAU!$AF$67)),CONCATENATE(MINUTE(TABLEAU!$AF$67)," MIN"))))))))</f>
        <v/>
      </c>
      <c r="AH67" s="985" t="str">
        <f ca="1">IF(TABLEAU!$I$67="","",IF(MINUTE(TABLEAU!$I$67)&gt;9,CONCATENATE(HOUR(TABLEAU!$I$67),"H",MINUTE(TABLEAU!$I$67)),CONCATENATE(HOUR(TABLEAU!$I$67),"H0",MINUTE(TABLEAU!$I$67))))</f>
        <v/>
      </c>
      <c r="AI67" s="1849" t="str">
        <f ca="1">SUBSTITUTE(SUBSTITUTE(CONCATENATE(JEUDI.TV.1,JEUDI.TV.2,JEUDI.TV.3,JEUDI.TV.4),"##","# &amp; #"),CONCATENATE(" &amp; #",JEUDI.DANS," (",JEUDI.VERIFIER)," &amp; #(")</f>
        <v>#DANS 5 JOURS (JEUDI 7 NOVEMBRE A 18H50 SUR TFX): [TELE-REALITE]# &amp; #(A 19H50 SUR W9): [LES MARSEILLAIS]#</v>
      </c>
      <c r="AJ67" s="84" t="str">
        <f ca="1">IF(TABLEAU!$B$67="","",TABLEAU!$P$67)</f>
        <v/>
      </c>
      <c r="AK67" s="84" t="str">
        <f ca="1">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O$67,"DEPASSE","&amp;&amp;&amp;"),"A",""),"B",""),"C",""),"D",""),"E",""),"F",""),"G",""),"H",""),"I",""),"J",""),"K",""),"L",""),"M",""),"N",""),"O",""),"P",""),"Q",""),"R",""),"S",""),"T",""),"U",""),"V",""),"W",""),"X",""),"Y",""),"Z",""),"0",""),"1",""),"2",""),"3",""),"4",""),"5",""),"6",""),"7",""),"8",""),"9",""),":",""),"(",""),")",""),"[",""),"]","")," ",""))</f>
        <v/>
      </c>
      <c r="AL67" s="636" t="str">
        <f ca="1">UPPER(IF(DATE.RDV.TV&lt;&gt;"JEUDI","",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B$67,"DEPASSE ","¤¤"),"A",""),"B",""),"C",""),"D",""),"E",""),"F",""),"G",""),"H",""),"I",""),"J",""),"K",""),"L",""),"M",""),"N",""),"O",""),"P",""),"Q",""),"R",""),"S",""),"T",""),"U",""),"V",""),"W",""),"X",""),"Y",""),"Z",""),"1",""),"2",""),"3",""),"4",""),"5",""),"6",""),"7",""),"8",""),"9",""),"0",""),"-",""),"(",""),")",""),"{",""),"}",""),"=",""),"[",""),"]",""),"#",""),"+",""),":",""),"/",""),"'",""),".","")," &amp; ","")," ° ",""))))</f>
        <v/>
      </c>
      <c r="AM67" s="834" t="str">
        <f ca="1">UPPER(IF(DATE.RDV.TV&lt;&gt;"JEUDI","",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C$67,"CHAMPIONNAT","¤"),"LDC","¤¤"),"UEFA","¤¤¤"),"FRANCE","¤¤¤¤"),"LIGUE","¤¤¤¤¤"),"GP","¤¤¤¤¤¤"),"MONDIAL","¤¤¤¤¤¤¤"),"EURO","¤¤¤¤¤¤¤¤"),"CONFEDERATIONS","¤¤¤¤¤¤¤¤¤"),"A",""),"B",""),"C",""),"D",""),"E",""),"F",""),"G",""),"H",""),"I",""),"J",""),"K",""),"L",""),"M",""),"N",""),"O",""),"P",""),"Q",""),"R",""),"S",""),"T",""),"U",""),"V",""),"W",""),"X",""),"Y",""),"Z",""),"1",""),"2",""),"3",""),"4",""),"5",""),"6",""),"7",""),"8",""),"9",""),"0",""),"-",""),"(",""),")",""),"{",""),"}",""),"=",""),"[",""),"]",""),"#",""),"+",""),":",""),"/",""),"'",""),".","")," &amp; ","")," ° ",""),"~",""))))</f>
        <v/>
      </c>
      <c r="AN67" s="1616" t="str">
        <f ca="1">IF(OR(TABLEAU!$A$67="#DEPASSE#",TABLEAU!$P$67="#DEPASSE#"),TABLEAU!$B$67,"")</f>
        <v/>
      </c>
      <c r="AO67" s="1617"/>
      <c r="AP67" s="1617"/>
      <c r="AQ67" s="1617"/>
      <c r="AR67" s="1617"/>
      <c r="AS67" s="1617"/>
      <c r="AT67" s="1617"/>
      <c r="AU67" s="1617"/>
      <c r="AV67" s="1617"/>
      <c r="AW67" s="1617"/>
      <c r="AX67" s="1618"/>
      <c r="AY67" s="1243">
        <f ca="1">IF(AND(TABLEAU!$C$67&lt;&gt;"",TABLEAU!$B$67=""),1,0)</f>
        <v>0</v>
      </c>
      <c r="AZ67" s="2576"/>
      <c r="BA67" s="2577"/>
    </row>
    <row r="68" spans="1:53" ht="12" customHeight="1">
      <c r="A68" s="1508" t="str">
        <f ca="1">IF(TABLEAU!$B$68="","",IF(OR(TABLEAU!$AL$68="¤¤",TABLEAU!$P$68&lt;&gt;""),"#DEPASSE#",SUBSTITUTE(IF(OR(JEUDI.2="",TABLEAU!$C$68=""),"",IF(AND(TODAY="JEUDI",HOUR((H.M))&gt;HOUR(JEUDI.2),MINUTE((H.M))&gt;MINUTE(JEUDI.2)),"",IF(TODAY&lt;&gt;"JEUDI","",IF(HOUR(TABLEAU!$I$68)&gt;0,CONCATENATE("DANS ",HOUR(TABLEAU!$I$68),"H",TABLEAU!$N$68),CONCATENATE("DANS ",HOUR(TABLEAU!$I$68),"H",TABLEAU!$N$68," MIN")))))," 0H"," ")))</f>
        <v/>
      </c>
      <c r="B68" s="1512" t="str">
        <f ca="1">SUBSTITUTE(SUBSTITUTE(SUBSTITUTE(IF(OR(TABLEAU!$C68,TABLEAU!$D68=""),"",SUBSTITUTE(SUBSTITUTE(SUBSTITUTE(SUBSTITUTE(SUBSTITUTE(SUBSTITUTE(SUBSTITUTE(SUBSTITUTE(SUBSTITUTE(SUBSTITUTE(SUBSTITUTE(SUBSTITUTE(SUBSTITUTE(SUBSTITUTE(SUBSTITUTE(SUBSTITUTE(SUBSTITUTE(SUBSTITUTE(SUBSTITUTE(SUBSTITUTE(SUBSTITUTE(SUBSTITUTE(SUBSTITUTE(SUBSTITUTE(IF(TABLEAU!$C68="","",SUBSTITUTE(IF(TABLEAU!$AE68="",TABLEAU!$U68,TABLEAU!$AE68),CONCATENATE(CVB,YEAR(A)," "),""))," #"," "),"] &amp; D","]# &amp; #D")," &amp; (A",CONCATENATE("# &amp; #",TABLEAU!$H68,"A")),"&amp; DEPASSE","&amp; #DEPASSE"),"## &amp; #A","# &amp; #(A"),"DANS MAINTENANT","MAINTENANT"),CONCATENATE(" H",TABLEAU!$N68),CONCATENATE(" ",TABLEAU!$N68," MIN"))," 0"," "),"] &amp;D","]# &amp; #D"),"}  MIN","} H"),"# &amp; D","# &amp; #D"),CONCATENATE("#MAINTENANT (A ",TABLEAU!$Z68,"): MAINTENANT"),"#MAINTENANT"),TABLEAU!$AB$2,""),TABLEAU!$AM$5,"")," MINAMILTON","HAMILTON"),CONCATENATE(TABLEAU!$Z68," ",TABLEAU!$Z68),TABLEAU!$Z68),"DEPUIS  MINIER","DEPUIS HIER"),"MINONGRIE","HONGRIE"),"#DANS (#DEPASSE","#DEPASSE"),CONCATENATE(" ",YEAR(A)),""),"]= [","= ["),")])",")]"),"#DEPASSE DEPUISDANS","#DANS"),"(A 1A ):",CONCATENATE("(A ",HOUR(TABLEAU!$D68),"H",TABLEAU!$F68,"):"))),"SUR "," SUR "),"  SUR "," SUR "),CONCATENATE("DEPASSE DEPUIS ",TABLEAU!$M68," (A DANS"),"DANS")</f>
        <v>#DANS 5 JOURS (JEUDI 7 NOVEMBRE A 19H50 SUR W9): [LES MARSEILLAIS]#</v>
      </c>
      <c r="C68" s="631" t="s">
        <v>170</v>
      </c>
      <c r="D68" s="632">
        <v>0.82638888888888884</v>
      </c>
      <c r="E68" s="2651">
        <f>IF(TABLEAU!$D68="","",IF(TABLEAU!$D68="23:59","",HOUR(TABLEAU!$D68)))</f>
        <v>19</v>
      </c>
      <c r="F68" s="2652" t="str">
        <f>IF(OR(TABLEAU!$D$68="",TABLEAU!$D$68="23:59"),"59",IF(MINUTE(TABLEAU!$D$68)&lt;10,CONCATENATE("0",MINUTE(TABLEAU!$D$68)),CONCATENATE(MINUTE(TABLEAU!$D$68))))</f>
        <v>50</v>
      </c>
      <c r="G68" s="586" t="str">
        <f ca="1">UPPER(SUBSTITUTE(SUBSTITUTE(SUBSTITUTE(IF(TABLEAU!$D$68="","",SUBSTITUTE(SUBSTITUTE(SUBSTITUTE(SUBSTITUTE(SUBSTITUTE(SUBSTITUTE(SUBSTITUTE(SUBSTITUTE(SUBSTITUTE(SUBSTITUTE(SUBSTITUTE(SUBSTITUTE(SUBSTITUTE(SUBSTITUTE(SUBSTITUTE(IF(OR(TABLEAU!$D$68="",TABLEAU!$C$68=""),"",IF(AND(TODAY="JEUDI",HOUR((H.M))&gt;HOUR(TABLEAU!$D$68),MINUTE((H.M))&gt;MINUTE(TABLEAU!$D$68)),CONCATENATE("#DEPASSE DEPUIS",TABLEAU!$M$68," ",TABLEAU!$C$68,"#"),IF(TABLEAU!$P$68&lt;&gt;"",CONCATENATE("#DEPASSE DEPUIS",TABLEAU!$M$68," ",TABLEAU!$C$68,"#"),IF(TODAY&lt;&gt;"JEUDI",CONCATENATE("#",JEUDI.DANS," (JEUDI ",DAY(JEUDI.DATE)," ",LOOKUP(MONTH(JEUDI.DATE),MOIS)," A ",HOUR(TABLEAU!$D$68),"H",TABLEAU!$F$68,"): ",TABLEAU!$C$68,"#"),CONCATENATE("#",TABLEAU!$L$68," (A ",TABLEAU!$Z$68,"): ",SUBSTITUTE(TABLEAU!$C$68,"#",""),"#"))))),CONCATENATE(LOOKUP(MONTH(JEUDI.DATE),MOIS)," (A"),CONCATENATE(LOOKUP(MONTH(JEUDI.DATE),MOIS)," A")),"##","#"),CONCATENATE("#DEPASSE DEPUIS  (A ): ",TABLEAU!$C$68,"#"),""),CONCATENATE("(A ",TABLEAU!$E$68,"H",TABLEAU!$X$68,"): "),""),CONCATENATE(TABLEAU!$L$68," DEPUIS"),"DEPASSE DEPUIS"),CONCATENATE("A ",HOUR(TABLEAU!$D$68),"H",TABLEAU!$F$68,"): (A ",HOUR(TABLEAU!$D$68),"H",TABLEAU!$F$68),CONCATENATE("A ",HOUR(TABLEAU!$D$68),"H",TABLEAU!$F$68)),"#DEPASSEDEPASSE","#DEPASSE"),"# (",CONCATENATE("#",TABLEAU!$H$68)),CONCATENATE("A ",SUBSTITUTE(TABLEAU!$M$33,":","H"),"): ~ (A ",SUBSTITUTE(TABLEAU!$M$33,":","H")),CONCATENATE("A ",SUBSTITUTE(TABLEAU!$M$33,":","H"))),CONCATENATE("#DEPASSE ",TABLEAU!$M$68,"#D"),"#D")," D"," #D"),"#DEPUIS","DEPUIS"),"COURS ","COURS# "),"#DE ","DE "),"GP #D","GP D")),"# &amp; #",CONCATENATE("# &amp; #DEPASSE DEPUIS",TABLEAU!$M$68," ")),"] &amp; (",CONCATENATE("]# &amp; DANS ",TABLEAU!$AH$68," ("))," 0"," "))</f>
        <v>#DANS 5 JOURS (JEUDI 7 NOVEMBRE A 19H50 SUR W9): [LES MARSEILLAIS]#</v>
      </c>
      <c r="H68" s="560" t="str">
        <f ca="1">SUBSTITUTE(IF(OR(DATE.RDV.TV&lt;&gt;"JEUDI",TABLEAU!$C$68=""),"",IF(HOUR(TABLEAU!$I$68)=0,CONCATENATE("DANS ",TABLEAU!$N$68," MIN ("),CONCATENATE("DANS ",HOUR(TABLEAU!$I$68),"H",TABLEAU!$N$68," ("))),"DANS  MIN (","")</f>
        <v/>
      </c>
      <c r="I68" s="294" t="str">
        <f ca="1">IF(OR(TODAY&lt;&gt;"JEUDI",TABLEAU!$C$68=""),"",IF(OR(TABLEAU!$D$68="",TABLEAU!$P$68="#DEPASSE#",TODAY&lt;&gt;"JEUDI"),0,IF(HOUR((H.M))&gt;HOUR(TABLEAU!$D$68),0,TABLEAU!$D$68-H.M)))</f>
        <v/>
      </c>
      <c r="J68" s="295" t="str">
        <f ca="1">SUBSTITUTE(SUBSTITUTE(SUBSTITUTE(IF(TABLEAU!$I$68="","",SUBSTITUTE(SUBSTITUTE(SUBSTITUTE(SUBSTITUTE(SUBSTITUTE(SUBSTITUTE(SUBSTITUTE(SUBSTITUTE(SUBSTITUTE(SUBSTITUTE(SUBSTITUTE(SUBSTITUTE(SUBSTITUTE(SUBSTITUTE(SUBSTITUTE(SUBSTITUTE(SUBSTITUTE(SUBSTITUTE(SUBSTITUTE(SUBSTITUTE(IF(DATE.DEPASSE&lt;0,TABLEAU!$U$68,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G68,"  "," "),CONCATENATE("(A ",TABLEAU!$Z$68,"): (A ",TABLEAU!$Z$68),CONCATENATE("(A ",TABLEAU!$Z$68)),CONCATENATE("#DEPASSE",TABLEAU!$M$68,"#DEPASSE",TABLEAU!$M$68),CONCATENATE("#DEPASSE",TABLEAU!$M$68)),CONCATENATE("#DEPASSE",TABLEAU!$L$68,"DEPASSE"),"#DEPASSE"),CONCATENATE(TABLEAU!$L$68," (A ",TABLEAU!$Z$68,"): DEPUIS"),"DEPASSE DEPUIS")," 1 "," 1ER "),"DEPASSE DEPUIS DEPASSE DEPUIS","DEPASSE DEPUIS"),CONCATENATE("DEPASSE ",TRIM(TABLEAU!$L$68)," DEPASSE ",TRIM(TABLEAU!$L$68)),CONCATENATE("DEPASSE ",TRIM(TABLEAU!$L$68))),"1ER MIN","1 MIN"),"1ER ERREUR","1 ERREUR"),CONCATENATE("(A ",TABLEAU!$Z$68,"): (A ",TABLEAU!$E$68,":",TABLEAU!$F$68),CONCATENATE("(A ",TABLEAU!$Z$68))," (A ):",""),"DEPASSE DEPUIS (",TABLEAU!$H$68),"] &amp; D","]# &amp; #D"),CONCATENATE("#DEPASSE",TABLEAU!$M$68,"DEPASSE"),"#DEPASSE")," [","): ["),"):):","):"),"DEPUIS ",TABLEAU!$L$68),CONCATENATE(SUBSTITUTE(TABLEAU!$M$68,"DEPUIS ",""))," "),"DEPUIS",CONCATENATE(TABLEAU!$M$68," (",JEUDI.VERIFIER," A ")),SUBSTITUTE(TABLEAU!$M$68,"DEPUIS","A"),""),"DEPASSE  ","DEPASSE"),"  A "," A"),"  "," "),TRIM(SUBSTITUTE(TABLEAU!$M$68," DEPUIS ","A ")),"EEE"),"EEE",CONCATENATE("A ",TABLEAU!$Z$68)),CONCATENATE("DEPASSE ",TABLEAU!$L$68,"HIER"),"DEPASSE DEPUIS HIER"),"DEPASSEDEPASSE","DEPASSE DEPUIS "),CONCATENATE(" A ",TABLEAU!$Z$59," (A ",TABLEAU!$Z$59),CONCATENATE(" A ",TABLEAU!$Z$59)),CONCATENATE("A ",TABLEAU!$Z$68," ",TABLEAU!$C$68),TABLEAU!$C$68),CONCATENATE(MOIS.MAINTENANT.2," (A"),CONCATENATE(MOIS.MAINTENANT.2," A")),"#DEPASSE #DEPASSEDEPUIS","#DEPASSE DEPUIS"),"A (A","A"),CONCATENATE(TABLEAU!$L$68," DEPASSE"),"DEPASSE"),"DEPASSE (",CONCATENATE("DEPASSE DEPUIS ",TABLEAU!$Q$68," (")),"''MIN","MIN"),"=):","]="),CONCATENATE("#DEPASSE ",TABLEAU!$Q$68),CONCATENATE("#DEPASSE DEPUIS ",TABLEAU!$Q$68)),"DEPASSE","DEPASSE DEPUIS"),"DEPUIS DEPUIS","DEPUIS")),"US A","USA"),CONCATENATE("DEPASSE DEPUIS ",TABLEAU!$Q$68,"DEPASSE DEPUIS ",TABLEAU!$Q$68),CONCATENATE("DEPASSE DEPUIS ",TABLEAU!$Q$68)),CONCATENATE("#DEPASSE DEPUIS ",TABLEAU!$Q$68," #DEPASSE DEPUIS ",TABLEAU!$Q$68),CONCATENATE("#DEPASSE DEPUIS ",TABLEAU!$Q$68)),"#DEPASSE DEPUIS #DEPASSE DEPUIS","#DEPASSE DEPUIS"),CONCATENATE("): ",JEUDI.DANS," (A ",TABLEAU!$E$68,"H",TABLEAU!$F$68),"")," &amp; D"," &amp; #D"),CONCATENATE(JEUDI.DANS," (JEUDI ",DAY(JEUDI.DATE)," ",LOOKUP(MONTH(JEUDI.DATE),MOIS)," A ",TABLEAU!$E$68,"H",TABLEAU!$F$68,"): DANS"),"DANS"),CONCATENATE(JEUDI.DANS," (JEUDI ",DAY(JEUDI.DATE)," ",LOOKUP(MONTH(JEUDI.DATE),MOIS)," A ",TABLEAU!$E$68,"H",TABLEAU!$F$68,"): ",JEUDI.DANS,"= ",TABLEAU!$AN$23,"(A ",TABLEAU!$E$68,"H",TABLEAU!$F$68),CONCATENATE(JEUDI.DANS,"= ",TABLEAU!$AN$23," (JEUDI ",DAY(JEUDI.DATE)," ",LOOKUP(MONTH(JEUDI.DATE),MOIS)," A ",TABLEAU!$E$68,"H",TABLEAU!$F$68)),CONCATENATE(JEUDI.DANS," (JEUDI ",DAY(JEUDI.DATE)," ",LOOKUP(MONTH(JEUDI.DATE),MOIS)," A ",TABLEAU!$E$68,"H",TABLEAU!$F$68,"): DANS"),"DANS"),"# (",CONCATENATE("#",TABLEAU!$H$68)),"DANS 0","DANS "),"# ~ ",CONCATENATE("#",FICHIER.A.MODIFIER," ~ ")),CONCATENATE("A ",SUBSTITUTE(TABLEAU!$M$33,":","H"),"): ~ (A ",SUBSTITUTE(TABLEAU!$M$33,":","H")),CONCATENATE("A ",SUBSTITUTE(TABLEAU!$M$33,":","H"))),CONCATENATE("(A ",TABLEAU!$Z$68,"): ~ (A"),"(A"),"DANS 0 MIN","MAINTENANT"),"DEPUIS(",CONCATENATE("DEPUIS ",TABLEAU!$M$68," (")),"DEPUIS DEPUIS  (A",CONCATENATE("DEPUIS ",TABLEAU!$M$68," (A")),"(A 1 ",CONCATENATE("(A ",TABLEAU!$E$68,":00")),"#A",CONCATENATE("#DANS ",HOUR(TABLEAU!$I$68),"H",TABLEAU!$N$68," (A")),"DEPUIS DEPUIS",CONCATENATE("DEPUIS ",TABLEAU!$M$68))),"]#D","]# &amp; #D"),"DEPUIS =",CONCATENATE("DEPUIS ",TABLEAU!$M$68)),"DANS  MAINTENANT","MAINTENANT")</f>
        <v/>
      </c>
      <c r="K68" s="296" t="str">
        <f ca="1">TRIM(SUBSTITUTE(SUBSTITUTE(SUBSTITUTE(SUBSTITUTE(SUBSTITUTE(SUBSTITUTE(SUBSTITUTE(SUBSTITUTE(SUBSTITUTE(TABLEAU!$O$68,CONCATENATE("): (",TABLEAU!$W$68),""),CONCATENATE("A ",TABLEAU!$E$68,"H",TABLEAU!$X$68,"): ("),""),"(SUR",CONCATENATE("(A ",TABLEAU!$E$68,"H",TABLEAU!$X$68," SUR"))," &amp; (",CONCATENATE(" &amp; ",TABLEAU!$L$68," (")),"AUJOURD'HUI",""),"##","#"),"1ER MIN","1 MIN"),CONCATENATE("DEPASSE ",TRIM(TABLEAU!$L$68)," DEPASSE"),"DEPASSE")," (A ):",""))</f>
        <v/>
      </c>
      <c r="L68" s="297" t="str">
        <f ca="1">UPPER(IF(TABLEAU!$P$68&lt;&gt;"","",IF(TABLEAU!$P$68="","",IF(TABLEAU!$AM$68&lt;&gt;"","#DEPASSE DEPUIS ",IF(TODAY&lt;&gt;"JEUDI","",IF(COUNTIF(ENCOURS,"#EN COURS#")&lt;&gt;0,"MAINTENANT",SUBSTITUTE(SUBSTITUTE(SUBSTITUTE(IF(OR(TABLEAU!$C$68="",TABLEAU!$D$68=""),"",IF(HOUR(TABLEAU!$I$68)=0,CONCATENATE("DANS ",TABLEAU!$N$68," MIN"),CONCATENATE("DANS ",HOUR(TABLEAU!$I$68),"H",TABLEAU!$N$68))),"DANS 0","DANS "),"DANS  MIN",TABLEAU!$M$68),"DANS 0 MIN","MAINTENANT")))))))</f>
        <v/>
      </c>
      <c r="M68" s="297" t="str">
        <f ca="1">IF(TODAY&lt;&gt;"JEUDI","",SUBSTITUTE(IF(TABLEAU!$D$68="","",IF(TABLEAU!$AF$68=" ","",IF(TABLEAU!$D$68-H.M&gt;0,"",IF(AND(HOUR(TABLEAU!$AF$68)&gt;0,MINUTE(TABLEAU!$AF$68)&lt;10),CONCATENATE(" ",HOUR(TABLEAU!$AF$68),"H0",MINUTE(TABLEAU!$AF$68)),IF(AND(HOUR(TABLEAU!$AF$68)&gt;0,MINUTE(TABLEAU!$AF$68)&gt;9),CONCATENATE(" ",HOUR(TABLEAU!$AF$68),"H",MINUTE(TABLEAU!$AF$68)),CONCATENATE(" 0",MINUTE(TABLEAU!$AF$68)," MIN"))))))," 0",""))</f>
        <v/>
      </c>
      <c r="N68" s="297" t="str">
        <f ca="1">IF(TABLEAU!$D$68="","",IF(OR(TABLEAU!$C$68="",TODAY&lt;&gt;"JEUDI"),"",IF(TABLEAU!$P$68="#DEPASSE#","",IF(HOUR((H.M))&gt;HOUR(TABLEAU!$D$68),"",IF(MINUTE(TABLEAU!$I$68)&lt;10,CONCATENATE("0",MINUTE(TABLEAU!$I$68)),MINUTE(TABLEAU!$I$68))))))</f>
        <v/>
      </c>
      <c r="O68" s="298" t="str">
        <f ca="1">UPPER(SUBSTITUTE(SUBSTITUTE(SUBSTITUTE(SUBSTITUTE(SUBSTITUTE(SUBSTITUTE(SUBSTITUTE(SUBSTITUTE(SUBSTITUTE(TABLEAU!$J$68,"DANS 0H","DANS "),"DANS 0","DANS "),CONCATENATE("(A ",TABLEAU!$E$68,"H",TABLEAU!$X$68,"): (",LOOKUP(WEEKDAY(JEUDI.DATE),SEMAINE)," ",DAY(JEUDI.DATE)," ",LOOKUP(MONTH(JEUDI.DATE),MOIS)," A 20H00): "),CONCATENATE(TABLEAU!$L$68," (A ",TABLEAU!$E$68,"H",TABLEAU!$X$68,")")),"DEPUIS 0","DEPUIS "),"&amp; A","&amp; (A"),CONCATENATE("(",NBA),""),"#DEPASSE DEPUIS (A","(A"),"DANS  MAINTENANT","MAINTENANT"),"] &amp; #","]# &amp; #"))</f>
        <v/>
      </c>
      <c r="P68" s="390" t="str">
        <f ca="1">IF(OR(TABLEAU!$D$68="",TODAY&lt;&gt;"JEUDI"),"",IF(AND(HOUR((H.M))=HOUR(TABLEAU!$D$68),MINUTE((H.M))&gt;MINUTE(TABLEAU!$D$68)),"#DEPASSE#",IF(HOUR((H.M))&gt;HOUR(TABLEAU!$D$68),"#DEPASSE#","")))</f>
        <v/>
      </c>
      <c r="Q68" s="297" t="str">
        <f ca="1">IF(OR(TABLEAU!$P$68="",TABLEAU!$S$68=""),"",IF(AND(HOUR(TABLEAU!$S$68)&gt;0,MINUTE(TABLEAU!$S$68)&lt;10),CONCATENATE(HOUR(TABLEAU!$S$68),"H0",MINUTE(TABLEAU!$S$68)),IF(AND(HOUR(TABLEAU!$S$68)=0,MINUTE(TABLEAU!$S$68)&lt;10),CONCATENATE(MINUTE(TABLEAU!$S$68)," MIN"),IF(AND(HOUR(TABLEAU!$S$68)&gt;0,MINUTE(TABLEAU!$S$68)&gt;9),CONCATENATE(HOUR(TABLEAU!$S$68),"H",MINUTE(TABLEAU!$S$68)),CONCATENATE(MINUTE(TABLEAU!$S$68)," MIN")))))</f>
        <v/>
      </c>
      <c r="R68" s="297" t="str">
        <f ca="1">UPPER(IF(OR(TABLEAU!$C$68="",TODAY&lt;&gt;"JEUDI"),"",IF(OR(TABLEAU!$D$68="",TABLEAU!$D$68="23:59",TABLEAU!$C$68=""),"",IF(AND(TODAY="JEUDI",HOUR(TABLEAU!$I$68)&lt;1,MINUTE(TABLEAU!$I$68)&lt;5,TABLEAU!$I$68&lt;&gt;"",TABLEAU!$I$68&lt;&gt;0),"BIENTOT",""))))</f>
        <v/>
      </c>
      <c r="S68" s="619" t="str">
        <f ca="1">IF(TABLEAU!$D$68="","",IF(TODAY&lt;&gt;"JEUDI","",IF((H.M)&gt;TABLEAU!$D$68,"",(H.M)-TABLEAU!$D$68)))</f>
        <v/>
      </c>
      <c r="T68" s="2191"/>
      <c r="U68" s="296" t="str">
        <f ca="1">UPPER(TRIM(SUBSTITUTE(SUBSTITUTE(SUBSTITUTE(SUBSTITUTE(SUBSTITUTE(SUBSTITUTE(SUBSTITUTE(SUBSTITUTE(SUBSTITUTE(SUBSTITUTE(SUBSTITUTE(SUBSTITUTE(SUBSTITUTE(SUBSTITUTE(SUBSTITUTE(SUBSTITUTE(SUBSTITUTE(SUBSTITUTE(IF(TABLEAU!$D$68="","",SUBSTITUTE(SUBSTITUTE(SUBSTITUTE(SUBSTITUTE(SUBSTITUTE(SUBSTITUTE(SUBSTITUTE(SUBSTITUTE(SUBSTITUTE(SUBSTITUTE(SUBSTITUTE(SUBSTITUTE(SUBSTITUTE(SUBSTITUTE(SUBSTITUTE(IF(OR(TABLEAU!$C$68="",TABLEAU!$D$68=""),"",IF(AND(TODAY="JEUDI",TABLEAU!$P$68&lt;&gt;""),CONCATENATE("#DEPASSE DEPUIS ",TABLEAU!$M$68," ",TABLEAU!$W$68,"#"),CONCATENATE("#",JEUDI.DANS," ",TABLEAU!$H$68,TABLEAU!$C$68,"#"))),": =",":"),CONCATENATE(NBA,"("),""),CONCATENATE(LOOKUP(MONTH(JEUDI.DATE),MOIS)," (A"),CONCATENATE(LOOKUP(MONTH(JEUDI.DATE),MOIS)," A")),"1ER MIN","1 MIN"),"((","("),"##","#"),"# ","#"),CONCATENATE("#",TABLEAU!$H$68,"DEPUIS"),"#DEPASSE DEPUIS"),"DEMAIN (",CONCATENATE("DEMAIN (JEUDI ",DAY(JEUDI.DATE)," ",LOOKUP(MONTH(JEUDI.DATE),MOIS)," ")),"JOURS (A ",CONCATENATE("JOURS (JEUDI ",DAY(JEUDI.DATE)," ",LOOKUP(MONTH(JEUDI.DATE),MOIS)," A ")),"(A","(JEUDI A"),"DANS 00 MIN","DANS "),"DANS 0","DANS "),"#&amp;","# &amp; "),"JOURS [",CONCATENATE("JOURS (",LOOKUP(WEEKDAY(JEUDI.DATE),SEMAINE)," ",DAY(JEUDI.DATE)," ",LOOKUP(MONTH(JEUDI.DATE),MOIS)," A ",HOUR(TABLEAU!$D$68),"H",TABLEAU!$F$68,"): ["))),CONCATENATE(JEUDI.DANS," ",JEUDI.DANS),CONCATENATE(" ",JEUDI.DANS)),"# ","#"),"#&amp; #","# &amp; #"),"US A","USA"),"(~ ("," ~ ("),"JEUDI A ","A "),CONCATENATE("#",TABLEAU!$H$68,TABLEAU!$W$68),TABLEAU!$W$68),"DEMAINDANS","DEMAIN DANS"),"''(","'' ("),CONCATENATE("#DANS ",TRIM(TABLEAU!$AH$68)," (#DEPASSE "),"#DEPASSE "),"]#D","]# &amp; #D"),"(MATCH","MATCH"),"COURS &amp; D","COURS# &amp; #D"),"#&amp; ","# &amp; #"),"# &amp; # ","# &amp; #"),CONCATENATE("#DEPASSE DEPUIS ",TABLEAU!$M$68," #"),"#"),"# &amp; ##","# &amp; #"),"DANS  (MAINTENANT","MAINTENANT")))</f>
        <v>#DANS 5 JOURS (JEUDI 7 NOVEMBRE A 19H50 SUR W9): [LES MARSEILLAIS]#</v>
      </c>
      <c r="V68" s="296" t="str">
        <f ca="1">UPPER(TRIM(SUBSTITUTE(SUBSTITUTE(IF(OR(TABLEAU!$C$68="",TABLEAU!$D$68="",JEUDI.DANS&lt;&gt;""),"",TABLEAU!$J$68),JOUR.PLUS,""),"DANS  MAINTENANT","MAINTENANT")))</f>
        <v/>
      </c>
      <c r="W68" s="348" t="str">
        <f>UPPER(IF(TABLEAU!$C$68=0,"",TABLEAU!$C$68))</f>
        <v>(A 19H50 SUR W9): [LES MARSEILLAIS]</v>
      </c>
      <c r="X68" s="782"/>
      <c r="Y68" s="297" t="str">
        <f ca="1">IF(OR(TODAY&lt;&gt;"JEUDI",TABLEAU!$C$68=""),"",IF(OR(TABLEAU!$C$68="",TABLEAU!$D$68=""),"",HOUR(TABLEAU!$D$68)))</f>
        <v/>
      </c>
      <c r="Z68" s="297" t="str">
        <f ca="1">IF(TABLEAU!$AM$68&lt;&gt;""," ",IF(OR(TODAY&lt;&gt;"JEUDI",TABLEAU!$C$68="",TABLEAU!$D$68="")," ",IF(MINUTE(TABLEAU!$D$68)&lt;10,CONCATENATE(HOUR(TABLEAU!$D$68),"H0",MINUTE(TABLEAU!$D$68)),IF(MINUTE(TABLEAU!$D$68)&gt;9,CONCATENATE(HOUR(TABLEAU!$D$68),"H",MINUTE(TABLEAU!$D$68))))))</f>
        <v xml:space="preserve"> </v>
      </c>
      <c r="AA68" s="357" t="str">
        <f ca="1">TRIM(SUBSTITUTE(SUBSTITUTE(SUBSTITUTE(SUBSTITUTE(IF(TABLEAU!$P$68="#DEPASSE#",TABLEAU!$AB$68,TABLEAU!$U$68),"# ","#"),"#&amp; #","# &amp; #"),"DANS (MAINTENANT","MAINTENANT"),SUBSTITUTE(SUBSTITUTE(CONCATENATE("#",TABLEAU!$H$68,"",TABLEAU!$H$68)," 0"," ")," 0"," "),SUBSTITUTE(TABLEAU!$H$68," 0"," ")))</f>
        <v>DANS 5 JOURS (JEUDI 7 NOVEMBRE A 19H50 SUR W9): [LES MARSEILLAIS]</v>
      </c>
      <c r="AB68" s="297" t="str">
        <f ca="1">UPPER(TRIM(SUBSTITUTE(SUBSTITUTE(SUBSTITUTE(SUBSTITUTE(SUBSTITUTE(SUBSTITUTE(TABLEAU!$K$68,CONCATENATE(LOOKUP(MONTH(A),MOIS)," (A"),CONCATENATE(LOOKUP(MONTH(A),MOIS)," A ")),CONCATENATE(LOOKUP(MONTH(A)+1,MOIS)," (A"),CONCATENATE(LOOKUP(MONTH(A)+1,MOIS)," A ")),CONCATENATE("(",YEAR(JEUDI.DATE)),""),"] &amp; DANS","]# &amp; #DANS"),"DANS MAINTENANT","MAINTENANT"),SUBSTITUTE(CONCATENATE("#",SUBSTITUTE(TABLEAU!$H$68,"(",""),"#",TABLEAU!$H$68)," 0"," "),SUBSTITUTE(TABLEAU!$H$68," 0"," "))))</f>
        <v/>
      </c>
      <c r="AC68" s="691" t="str">
        <f ca="1">IF(TABLEAU!$P$68="#DEPASSE#",CONCATENATE(TABLEAU!$AC$67," &amp; ",TABLEAU!$B$68),TABLEAU!$AC$67)</f>
        <v/>
      </c>
      <c r="AD68" s="1820"/>
      <c r="AE68" s="298" t="str">
        <f ca="1">UPPER(TRIM(SUBSTITUTE(SUBSTITUTE(SUBSTITUTE(SUBSTITUTE(SUBSTITUTE(SUBSTITUTE(SUBSTITUTE(SUBSTITUTE(SUBSTITUTE(SUBSTITUTE(SUBSTITUTE(SUBSTITUTE(SUBSTITUTE(SUBSTITUTE(SUBSTITUTE(SUBSTITUTE(SUBSTITUTE(SUBSTITUTE(SUBSTITUTE(SUBSTITUTE(SUBSTITUTE(SUBSTITUTE(SUBSTITUTE(SUBSTITUTE(IF(TABLEAU!$P$68="#DEPASSE#",TABLEAU!$J$68,IF(TABLEAU!$C$68="","",TRIM(SUBSTITUTE(SUBSTITUTE(SUBSTITUTE(SUBSTITUTE(SUBSTITUTE(SUBSTITUTE(SUBSTITUTE(IF(TABLEAU!$L$68="#DEPASSE DEPUIS ",MODIF,IF(TABLEAU!$I$68=SUBSTITUTE(DEPP,"#",""),DEPP,SUBSTITUTE(SUBSTITUTE(SUBSTITUTE(SUBSTITUTE(SUBSTITUTE(SUBSTITUTE(SUBSTITUTE(SUBSTITUTE(SUBSTITUTE(SUBSTITUTE(SUBSTITUTE(SUBSTITUTE(SUBSTITUTE(SUBSTITUTE(SUBSTITUTE(SUBSTITUTE(SUBSTITUTE(SUBSTITUTE(TABLEAU!$AB$68,CONCATENATE(TABLEAU!$K$68," A "),CONCATENATE(TABLEAU!$K$68," (A ")),"JANVIER (","JANVIER "),"FEVRIER (","FEVRIER "),"MARS (","MARS "),"AVRIL (","AVRIL "),"MAI (","MAI "),"JUIN (","JUIN "),"JUILLET (","JUILLET "),"AOUT (","AOUT "),"SEPTEMBRE (","SEPTEMBRE "),"OCTOBRE (","OCTOBRE "),"NOVEMBRE (","NOVEMBRE "),"DECEMBRE (","DECEMBRE "),CONCATENATE(" &amp; ",TABLEAU!$K$68," (")," &amp; "),CONCATENATE(" &amp;",TABLEAU!$L$68,"(")," &amp; ")," &amp; ("," &amp; "),CONCATENATE(TABLEAU!$K$68," (A ",TABLEAU!$AC$68,"): HIER"),"DEPASSE DEPUIS HIER")," &amp; A"," &amp; (A"))),"(A ",CONCATENATE("(",DATE.RDV.TV," A ")),"((","("),CONCATENATE(DATE.RDV.TV," ("),""),CONCATENATE(DATE.RDV.TV," A "),"A "),CONCATENATE(YEAR(A)," (A"),"A"),CONCATENATE(TABLEAU!$L$68," (DEPASSE"),"DEPASSE"),CONCATENATE("DEPASSE",TABLEAU!$L$68,"(",LOOKUP(WEEKDAY(JEUDI.DATE),SEMAINE)," ",DAY(JEUDI.DATE)," ",LOOKUP(MONTH(JEUDI.DATE),MOIS)," A"),"DEPASSE DEPUIS")))),"#&amp; ","# &amp; #"),"DANS (A","MAINTENANT (A"),"DANS (MATCH","DANS MATCH"),CONCATENATE("(DEMAIN= ",DIF.L1," ~ "),""),CONCATENATE("(DEMAIN= ",DIF.LDC," ~ "),""),CONCATENATE("(DEMAIN= ",DIF.UEFA," ~ "),""),CONCATENATE("(DEMAIN= ",DIF.FRANCE," ~ "),""),CONCATENATE("(DEMAIN= ",DIF.LIGUE," ~ "),""),CONCATENATE("(DEMAIN= ",DIF.GP," ~ "),""),CONCATENATE("(DEMAIN= ",DIF.MONDIAL," ~ "),""),CONCATENATE("(DEMAIN= ",DIF.EURO," ~ "),""),CONCATENATE("(DEMAIN= ",DIF.CONFEDERATIONS," ~ "),""),CONCATENATE(TABLEAU!$K$3," A"),"A"),"MARDI A","A"),"MERCREDI A","A"),"JEUDI A","A"),"VENDREDI A","A"),"SAMEDI A","A"),"DIMANCHE A","A"),"00H","0H"),"DEPUIS DEPUIS",CONCATENATE("DEPUIS ",TABLEAU!$M$68)),"] &amp;D","]# &amp; #D"),"A 2A",CONCATENATE("A ",TABLEAU!$Y68,"H",TABLEAU!$F$68))," )",")")))</f>
        <v/>
      </c>
      <c r="AF68" s="982" t="str">
        <f ca="1">IF(TODAY&lt;&gt;"JEUDI"," ",IF(TABLEAU!$D$68="","",H.M-TABLEAU!$D$68))</f>
        <v xml:space="preserve"> </v>
      </c>
      <c r="AG68" s="982" t="str">
        <f ca="1">IF(TABLEAU!$B$68="","",IF(TABLEAU!$I$68&lt;&gt;0,"",IF(TODAY&lt;&gt;"JEUDI","",IF(TABLEAU!$AF$68=" ","",IF(TABLEAU!$AF$68="","",IF(AND(HOUR(TABLEAU!$AF$68)&gt;0,MINUTE(TABLEAU!$AF$68)&lt;10),CONCATENATE(HOUR(TABLEAU!$AF$68),"H0",MINUTE(TABLEAU!$AF$68)),IF(AND(HOUR(TABLEAU!$AF$68)&gt;0,MINUTE(TABLEAU!$AF$68)&gt;9),CONCATENATE(HOUR(TABLEAU!$AF$68),"H",MINUTE(TABLEAU!$AF$68)),CONCATENATE(MINUTE(TABLEAU!$AF$68)," MIN"))))))))</f>
        <v/>
      </c>
      <c r="AH68" s="982" t="str">
        <f ca="1">IF(TABLEAU!$I$68="","",IF(MINUTE(TABLEAU!$I$68)&gt;9,CONCATENATE(HOUR(TABLEAU!$I$68),"H",MINUTE(TABLEAU!$I$68)),CONCATENATE(HOUR(TABLEAU!$I$68),"H0",MINUTE(TABLEAU!$I$68))))</f>
        <v/>
      </c>
      <c r="AI68" s="1850"/>
      <c r="AJ68" s="85" t="str">
        <f ca="1">IF(TABLEAU!$B$68="","",TABLEAU!$P$68)</f>
        <v/>
      </c>
      <c r="AK68" s="85" t="str">
        <f ca="1">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O$68,"DEPASSE","&amp;&amp;&amp;"),"A",""),"B",""),"C",""),"D",""),"E",""),"F",""),"G",""),"H",""),"I",""),"J",""),"K",""),"L",""),"M",""),"N",""),"O",""),"P",""),"Q",""),"R",""),"S",""),"T",""),"U",""),"V",""),"W",""),"X",""),"Y",""),"Z",""),"0",""),"1",""),"2",""),"3",""),"4",""),"5",""),"6",""),"7",""),"8",""),"9",""),":",""),"(",""),")",""),"[",""),"]","")," ",""))</f>
        <v/>
      </c>
      <c r="AL68" s="61" t="str">
        <f ca="1">UPPER(IF(DATE.RDV.TV&lt;&gt;"JEUDI","",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B$68,"DEPASSE ","¤¤"),"A",""),"B",""),"C",""),"D",""),"E",""),"F",""),"G",""),"H",""),"I",""),"J",""),"K",""),"L",""),"M",""),"N",""),"O",""),"P",""),"Q",""),"R",""),"S",""),"T",""),"U",""),"V",""),"W",""),"X",""),"Y",""),"Z",""),"1",""),"2",""),"3",""),"4",""),"5",""),"6",""),"7",""),"8",""),"9",""),"0",""),"-",""),"(",""),")",""),"{",""),"}",""),"=",""),"[",""),"]",""),"#",""),"+",""),":",""),"/",""),"'",""),".","")," &amp; ","")," ° ",""))))</f>
        <v/>
      </c>
      <c r="AM68" s="835" t="str">
        <f ca="1">UPPER(IF(DATE.RDV.TV&lt;&gt;"JEUDI","",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C$68,"CHAMPIONNAT","¤"),"LDC","¤¤"),"UEFA","¤¤¤"),"FRANCE","¤¤¤¤"),"LIGUE","¤¤¤¤¤"),"GP","¤¤¤¤¤¤"),"MONDIAL","¤¤¤¤¤¤¤"),"EURO","¤¤¤¤¤¤¤¤"),"CONFEDERATIONS","¤¤¤¤¤¤¤¤¤"),"A",""),"B",""),"C",""),"D",""),"E",""),"F",""),"G",""),"H",""),"I",""),"J",""),"K",""),"L",""),"M",""),"N",""),"O",""),"P",""),"Q",""),"R",""),"S",""),"T",""),"U",""),"V",""),"W",""),"X",""),"Y",""),"Z",""),"1",""),"2",""),"3",""),"4",""),"5",""),"6",""),"7",""),"8",""),"9",""),"0",""),"-",""),"(",""),")",""),"{",""),"}",""),"=",""),"[",""),"]",""),"#",""),"+",""),":",""),"/",""),"'",""),".","")," &amp; ","")," ° ",""),"~",""))))</f>
        <v/>
      </c>
      <c r="AN68" s="1579" t="str">
        <f ca="1">IF(TABLEAU!$B$68=TABLEAU!$B$67,"",IF(OR(TABLEAU!$A$68="#DEPASSE#",TABLEAU!$P$68="#DEPASSE#"),TABLEAU!$B$68,""))</f>
        <v/>
      </c>
      <c r="AO68" s="1580"/>
      <c r="AP68" s="1580"/>
      <c r="AQ68" s="1580"/>
      <c r="AR68" s="1580"/>
      <c r="AS68" s="1580"/>
      <c r="AT68" s="1580"/>
      <c r="AU68" s="1580"/>
      <c r="AV68" s="1580"/>
      <c r="AW68" s="1580"/>
      <c r="AX68" s="1581"/>
      <c r="AY68" s="1243">
        <f ca="1">IF(AND(TABLEAU!$C$68&lt;&gt;"",TABLEAU!$B$68=""),1,0)</f>
        <v>0</v>
      </c>
      <c r="AZ68" s="2576"/>
      <c r="BA68" s="2577"/>
    </row>
    <row r="69" spans="1:53" ht="12" customHeight="1">
      <c r="A69" s="1508" t="str">
        <f ca="1">IF(TABLEAU!$B$69="","",IF(OR(TABLEAU!$AL$69="¤¤",TABLEAU!$P$69&lt;&gt;""),"#DEPASSE#",SUBSTITUTE(IF(OR(JEUDI.3="",TABLEAU!$C$69=""),"",IF(AND(TODAY="JEUDI",HOUR((H.M))&gt;HOUR(JEUDI.3),MINUTE((H.M))&gt;MINUTE(JEUDI.3)),"",IF(TODAY&lt;&gt;"JEUDI","",IF(HOUR(TABLEAU!$I$69)&gt;0,CONCATENATE("DANS ",HOUR(TABLEAU!$I$69),"H",TABLEAU!$N$69),CONCATENATE("DANS ",HOUR(TABLEAU!$I$69),"H",TABLEAU!$N$69," MIN")))))," 0H"," ")))</f>
        <v/>
      </c>
      <c r="B69" s="1513" t="str">
        <f ca="1">SUBSTITUTE(SUBSTITUTE(SUBSTITUTE(IF(OR(TABLEAU!$C69,TABLEAU!$D69=""),"",SUBSTITUTE(SUBSTITUTE(SUBSTITUTE(SUBSTITUTE(SUBSTITUTE(SUBSTITUTE(SUBSTITUTE(SUBSTITUTE(SUBSTITUTE(SUBSTITUTE(SUBSTITUTE(SUBSTITUTE(SUBSTITUTE(SUBSTITUTE(SUBSTITUTE(SUBSTITUTE(SUBSTITUTE(SUBSTITUTE(SUBSTITUTE(SUBSTITUTE(SUBSTITUTE(SUBSTITUTE(SUBSTITUTE(SUBSTITUTE(IF(TABLEAU!$C69="","",SUBSTITUTE(IF(TABLEAU!$AE69="",TABLEAU!$U69,TABLEAU!$AE69),CONCATENATE(CVB,YEAR(A)," "),""))," #"," "),"] &amp; D","]# &amp; #D")," &amp; (A",CONCATENATE("# &amp; #",TABLEAU!$H69,"A")),"&amp; DEPASSE","&amp; #DEPASSE"),"## &amp; #A","# &amp; #(A"),"DANS MAINTENANT","MAINTENANT"),CONCATENATE(" H",TABLEAU!$N69),CONCATENATE(" ",TABLEAU!$N69," MIN"))," 0"," "),"] &amp;D","]# &amp; #D"),"}  MIN","} H"),"# &amp; D","# &amp; #D"),CONCATENATE("#MAINTENANT (A ",TABLEAU!$Z69,"): MAINTENANT"),"#MAINTENANT"),TABLEAU!$AB$2,""),TABLEAU!$AM$5,"")," MINAMILTON","HAMILTON"),CONCATENATE(TABLEAU!$Z69," ",TABLEAU!$Z69),TABLEAU!$Z69),"DEPUIS  MINIER","DEPUIS HIER"),"MINONGRIE","HONGRIE"),"#DANS (#DEPASSE","#DEPASSE"),CONCATENATE(" ",YEAR(A)),""),"]= [","= ["),")])",")]"),"#DEPASSE DEPUISDANS","#DANS"),"(A 1A ):",CONCATENATE("(A ",HOUR(TABLEAU!$D69),"H",TABLEAU!$F69,"):"))),"SUR "," SUR "),"  SUR "," SUR "),CONCATENATE("DEPASSE DEPUIS ",TABLEAU!$M69," (A DANS"),"DANS")</f>
        <v/>
      </c>
      <c r="C69" s="832"/>
      <c r="D69" s="833"/>
      <c r="E69" s="2653" t="str">
        <f>IF(TABLEAU!$D69="","",IF(TABLEAU!$D69="23:59","",HOUR(TABLEAU!$D69)))</f>
        <v/>
      </c>
      <c r="F69" s="2652" t="str">
        <f>IF(OR(TABLEAU!$D$69="",TABLEAU!$D$69="23:59"),"59",IF(MINUTE(TABLEAU!$D$69)&lt;10,CONCATENATE("0",MINUTE(TABLEAU!$D$69)),CONCATENATE(MINUTE(TABLEAU!$D$69))))</f>
        <v>59</v>
      </c>
      <c r="G69" s="587" t="str">
        <f ca="1">UPPER(SUBSTITUTE(SUBSTITUTE(SUBSTITUTE(IF(TABLEAU!$D$69="","",SUBSTITUTE(SUBSTITUTE(SUBSTITUTE(SUBSTITUTE(SUBSTITUTE(SUBSTITUTE(SUBSTITUTE(SUBSTITUTE(SUBSTITUTE(SUBSTITUTE(SUBSTITUTE(SUBSTITUTE(SUBSTITUTE(SUBSTITUTE(SUBSTITUTE(IF(OR(TABLEAU!$D$69="",TABLEAU!$C$69=""),"",IF(AND(TODAY="JEUDI",HOUR((H.M))&gt;HOUR(TABLEAU!$D$69),MINUTE((H.M))&gt;MINUTE(TABLEAU!$D$69)),CONCATENATE("#DEPASSE DEPUIS",TABLEAU!$M$69," ",TABLEAU!$C$69,"#"),IF(TABLEAU!$P$69&lt;&gt;"",CONCATENATE("#DEPASSE DEPUIS",TABLEAU!$M$69," ",TABLEAU!$C$69,"#"),IF(TODAY&lt;&gt;"JEUDI",CONCATENATE("#",JEUDI.DANS," (JEUDI ",DAY(JEUDI.DATE)," ",LOOKUP(MONTH(JEUDI.DATE),MOIS)," A ",HOUR(TABLEAU!$D$69),"H",TABLEAU!$F$69,"): ",TABLEAU!$C$69,"#"),CONCATENATE("#",TABLEAU!$L$69," (A ",TABLEAU!$Z$69,"): ",SUBSTITUTE(TABLEAU!$C$69,"#",""),"#"))))),CONCATENATE(LOOKUP(MONTH(JEUDI.DATE),MOIS)," (A"),CONCATENATE(LOOKUP(MONTH(JEUDI.DATE),MOIS)," A")),"##","#"),CONCATENATE("#DEPASSE DEPUIS  (A ): ",TABLEAU!$C$69,"#"),""),CONCATENATE("(A ",TABLEAU!$E$69,"H",TABLEAU!$X$69,"): "),""),CONCATENATE(TABLEAU!$L$69," DEPUIS"),"DEPASSE DEPUIS"),CONCATENATE("A ",HOUR(TABLEAU!$D$69),"H",TABLEAU!$F$69,"): (A ",HOUR(TABLEAU!$D$69),"H",TABLEAU!$F$69),CONCATENATE("A ",HOUR(TABLEAU!$D$69),"H",TABLEAU!$F$69)),"#DEPASSEDEPASSE","#DEPASSE"),"# (",CONCATENATE("#",TABLEAU!$H$69)),CONCATENATE("A ",SUBSTITUTE(TABLEAU!$M$33,":","H"),"): ~ (A ",SUBSTITUTE(TABLEAU!$M$33,":","H")),CONCATENATE("A ",SUBSTITUTE(TABLEAU!$M$33,":","H"))),CONCATENATE("#DEPASSE ",TABLEAU!$M$69,"#D"),"#D")," D"," #D"),"#DEPUIS","DEPUIS"),"COURS ","COURS# "),"#DE ","DE "),"GP #D","GP D")),"# &amp; #",CONCATENATE("# &amp; #DEPASSE DEPUIS",TABLEAU!$M$69," ")),"] &amp; (",CONCATENATE("]# &amp; DANS ",TABLEAU!$AH$69," ("))," 0"," "))</f>
        <v/>
      </c>
      <c r="H69" s="561" t="str">
        <f ca="1">SUBSTITUTE(IF(OR(DATE.RDV.TV&lt;&gt;"JEUDI",TABLEAU!$C$69=""),"",IF(HOUR(TABLEAU!$I$69)=0,CONCATENATE("DANS ",TABLEAU!$N$69," MIN ("),CONCATENATE("DANS ",HOUR(TABLEAU!$I$69),"H",TABLEAU!$N$69," ("))),"DANS  MIN (","")</f>
        <v/>
      </c>
      <c r="I69" s="337" t="str">
        <f ca="1">IF(OR(TODAY&lt;&gt;"JEUDI",TABLEAU!$C$69=""),"",IF(OR(TABLEAU!$D$69="",TABLEAU!$P$69="#DEPASSE#",TODAY&lt;&gt;"JEUDI"),0,IF(HOUR((H.M))&gt;HOUR(TABLEAU!$D$69),0,TABLEAU!$D$69-H.M)))</f>
        <v/>
      </c>
      <c r="J69" s="338" t="str">
        <f ca="1">SUBSTITUTE(SUBSTITUTE(SUBSTITUTE(IF(TABLEAU!$I$69="","",SUBSTITUTE(SUBSTITUTE(SUBSTITUTE(SUBSTITUTE(SUBSTITUTE(SUBSTITUTE(SUBSTITUTE(SUBSTITUTE(SUBSTITUTE(SUBSTITUTE(SUBSTITUTE(SUBSTITUTE(SUBSTITUTE(SUBSTITUTE(SUBSTITUTE(SUBSTITUTE(SUBSTITUTE(SUBSTITUTE(SUBSTITUTE(SUBSTITUTE(IF(DATE.DEPASSE&lt;0,TABLEAU!$U$69,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G69,"  "," "),CONCATENATE("(A ",TABLEAU!$Z$69,"): (A ",TABLEAU!$Z$69),CONCATENATE("(A ",TABLEAU!$Z$69)),CONCATENATE("#DEPASSE",TABLEAU!$M$69,"#DEPASSE",TABLEAU!$M$69),CONCATENATE("#DEPASSE",TABLEAU!$M$69)),CONCATENATE("#DEPASSE",TABLEAU!$L$69,"DEPASSE"),"#DEPASSE"),CONCATENATE(TABLEAU!$L$69," (A ",TABLEAU!$Z$69,"): DEPUIS"),"DEPASSE DEPUIS")," 1 "," 1ER "),"DEPASSE DEPUIS DEPASSE DEPUIS","DEPASSE DEPUIS"),CONCATENATE("DEPASSE ",TRIM(TABLEAU!$L$69)," DEPASSE ",TRIM(TABLEAU!$L$69)),CONCATENATE("DEPASSE ",TRIM(TABLEAU!$L$69))),"1ER MIN","1 MIN"),"1ER ERREUR","1 ERREUR"),CONCATENATE("(A ",TABLEAU!$Z$69,"): (A ",TABLEAU!$E$69,":",TABLEAU!$F$69),CONCATENATE("(A ",TABLEAU!$Z$69))," (A ):",""),"DEPASSE DEPUIS (",TABLEAU!$H$69),"] &amp; D","]# &amp; #D"),CONCATENATE("#DEPASSE",TABLEAU!$M$69,"DEPASSE"),"#DEPASSE")," [","): ["),"):):","):"),"DEPUIS ",TABLEAU!$L$69),CONCATENATE(SUBSTITUTE(TABLEAU!$M$69,"DEPUIS ",""))," "),"DEPUIS",CONCATENATE(TABLEAU!$M$69," (",JEUDI.VERIFIER," A ")),SUBSTITUTE(TABLEAU!$M$69,"DEPUIS","A"),""),"DEPASSE  ","DEPASSE"),"  A "," A"),"  "," "),TRIM(SUBSTITUTE(TABLEAU!$M$69," DEPUIS ","A ")),"EEE"),"EEE",CONCATENATE("A ",TABLEAU!$Z$69)),CONCATENATE("DEPASSE ",TABLEAU!$L$69,"HIER"),"DEPASSE DEPUIS HIER"),"DEPASSEDEPASSE","DEPASSE DEPUIS "),CONCATENATE(" A ",TABLEAU!$Z$59," (A ",TABLEAU!$Z$59),CONCATENATE(" A ",TABLEAU!$Z$59)),CONCATENATE("A ",TABLEAU!$Z$69," ",TABLEAU!$C$69),TABLEAU!$C$69),CONCATENATE(MOIS.MAINTENANT.2," (A"),CONCATENATE(MOIS.MAINTENANT.2," A")),"#DEPASSE #DEPASSEDEPUIS","#DEPASSE DEPUIS"),"A (A","A"),CONCATENATE(TABLEAU!$L$69," DEPASSE"),"DEPASSE"),"DEPASSE (",CONCATENATE("DEPASSE DEPUIS ",TABLEAU!$Q$69," (")),"''MIN","MIN"),"=):","]="),CONCATENATE("#DEPASSE ",TABLEAU!$Q$69),CONCATENATE("#DEPASSE DEPUIS ",TABLEAU!$Q$69)),"DEPASSE","DEPASSE DEPUIS"),"DEPUIS DEPUIS","DEPUIS")),"US A","USA"),CONCATENATE("DEPASSE DEPUIS ",TABLEAU!$Q$69,"DEPASSE DEPUIS ",TABLEAU!$Q$69),CONCATENATE("DEPASSE DEPUIS ",TABLEAU!$Q$69)),CONCATENATE("#DEPASSE DEPUIS ",TABLEAU!$Q$69," #DEPASSE DEPUIS ",TABLEAU!$Q$69),CONCATENATE("#DEPASSE DEPUIS ",TABLEAU!$Q$69)),"#DEPASSE DEPUIS #DEPASSE DEPUIS","#DEPASSE DEPUIS"),CONCATENATE("): ",JEUDI.DANS," (A ",TABLEAU!$E$69,"H",TABLEAU!$F$69),"")," &amp; D"," &amp; #D"),CONCATENATE(JEUDI.DANS," (JEUDI ",DAY(JEUDI.DATE)," ",LOOKUP(MONTH(JEUDI.DATE),MOIS)," A ",TABLEAU!$E$69,"H",TABLEAU!$F$69,"): DANS"),"DANS"),CONCATENATE(JEUDI.DANS," (JEUDI ",DAY(JEUDI.DATE)," ",LOOKUP(MONTH(JEUDI.DATE),MOIS)," A ",TABLEAU!$E$69,"H",TABLEAU!$F$69,"): ",JEUDI.DANS,"= ",TABLEAU!$AN$23,"(A ",TABLEAU!$E$69,"H",TABLEAU!$F$69),CONCATENATE(JEUDI.DANS,"= ",TABLEAU!$AN$23," (JEUDI ",DAY(JEUDI.DATE)," ",LOOKUP(MONTH(JEUDI.DATE),MOIS)," A ",TABLEAU!$E$69,"H",TABLEAU!$F$69)),CONCATENATE(JEUDI.DANS," (JEUDI ",DAY(JEUDI.DATE)," ",LOOKUP(MONTH(JEUDI.DATE),MOIS)," A ",TABLEAU!$E$69,"H",TABLEAU!$F$69,"): DANS"),"DANS"),"# (",CONCATENATE("#",TABLEAU!$H$69)),"DANS 0","DANS "),"# ~ ",CONCATENATE("#",FICHIER.A.MODIFIER," ~ ")),CONCATENATE("A ",SUBSTITUTE(TABLEAU!$M$33,":","H"),"): ~ (A ",SUBSTITUTE(TABLEAU!$M$33,":","H")),CONCATENATE("A ",SUBSTITUTE(TABLEAU!$M$33,":","H"))),CONCATENATE("(A ",TABLEAU!$Z$69,"): ~ (A"),"(A"),"DANS 0 MIN","MAINTENANT"),"DEPUIS(",CONCATENATE("DEPUIS ",TABLEAU!$M$69," (")),"DEPUIS DEPUIS  (A",CONCATENATE("DEPUIS ",TABLEAU!$M$69," (A")),"(A 1 ",CONCATENATE("(A ",TABLEAU!$E$69,":00")),"#A",CONCATENATE("#DANS ",HOUR(TABLEAU!$I$69),"H",TABLEAU!$N$69," (A")),"DEPUIS DEPUIS",CONCATENATE("DEPUIS ",TABLEAU!$M$69))),"]#D","]# &amp; #D"),"DEPUIS =",CONCATENATE("DEPUIS ",TABLEAU!$M$69)),"DANS  MAINTENANT","MAINTENANT")</f>
        <v/>
      </c>
      <c r="K69" s="196" t="str">
        <f ca="1">TRIM(SUBSTITUTE(SUBSTITUTE(SUBSTITUTE(SUBSTITUTE(SUBSTITUTE(SUBSTITUTE(SUBSTITUTE(SUBSTITUTE(SUBSTITUTE(TABLEAU!$O$69,CONCATENATE("): (",TABLEAU!$W$69),""),CONCATENATE("A ",TABLEAU!$E$69,"H",TABLEAU!$X$69,"): ("),""),"(SUR",CONCATENATE("(A ",TABLEAU!$E$69,"H",TABLEAU!$X$69," SUR"))," &amp; (",CONCATENATE(" &amp; ",TABLEAU!$L$69," (")),"AUJOURD'HUI",""),"##","#"),"1ER MIN","1 MIN"),CONCATENATE("DEPASSE ",TRIM(TABLEAU!$L$69)," DEPASSE"),"DEPASSE")," (A ):",""))</f>
        <v/>
      </c>
      <c r="L69" s="207" t="str">
        <f ca="1">UPPER(IF(TABLEAU!$P$69&lt;&gt;"","",IF(TABLEAU!$P$69="","",IF(TABLEAU!$AM$69&lt;&gt;"","#DEPASSE DEPUIS ",IF(TODAY&lt;&gt;"JEUDI","",IF(COUNTIF(ENCOURS,"#EN COURS#")&lt;&gt;0,"MAINTENANT",SUBSTITUTE(SUBSTITUTE(SUBSTITUTE(IF(OR(TABLEAU!$C$69="",TABLEAU!$D$69=""),"",IF(HOUR(TABLEAU!$I$69)=0,CONCATENATE("DANS ",TABLEAU!$N$69," MIN"),CONCATENATE("DANS ",HOUR(TABLEAU!$I$69),"H",TABLEAU!$N$69))),"DANS 0","DANS "),"DANS  MIN",TABLEAU!$M$69),"DANS 0 MIN","MAINTENANT")))))))</f>
        <v/>
      </c>
      <c r="M69" s="207" t="str">
        <f ca="1">IF(TODAY&lt;&gt;"JEUDI","",SUBSTITUTE(IF(TABLEAU!$D$69="","",IF(TABLEAU!$AF$69=" ","",IF(TABLEAU!$D$69-H.M&gt;0,"",IF(AND(HOUR(TABLEAU!$AF$69)&gt;0,MINUTE(TABLEAU!$AF$69)&lt;10),CONCATENATE(" ",HOUR(TABLEAU!$AF$69),"H0",MINUTE(TABLEAU!$AF$69)),IF(AND(HOUR(TABLEAU!$AF$69)&gt;0,MINUTE(TABLEAU!$AF$69)&gt;9),CONCATENATE(" ",HOUR(TABLEAU!$AF$69),"H",MINUTE(TABLEAU!$AF$69)),CONCATENATE(" 0",MINUTE(TABLEAU!$AF$69)," MIN"))))))," 0",""))</f>
        <v/>
      </c>
      <c r="N69" s="207" t="str">
        <f>IF(TABLEAU!$D$69="","",IF(OR(TABLEAU!$C$69="",TODAY&lt;&gt;"JEUDI"),"",IF(TABLEAU!$P$69="#DEPASSE#","",IF(HOUR((H.M))&gt;HOUR(TABLEAU!$D$69),"",IF(MINUTE(TABLEAU!$I$69)&lt;10,CONCATENATE("0",MINUTE(TABLEAU!$I$69)),MINUTE(TABLEAU!$I$69))))))</f>
        <v/>
      </c>
      <c r="O69" s="197" t="str">
        <f ca="1">UPPER(SUBSTITUTE(SUBSTITUTE(SUBSTITUTE(SUBSTITUTE(SUBSTITUTE(SUBSTITUTE(SUBSTITUTE(SUBSTITUTE(SUBSTITUTE(TABLEAU!$J$69,"DANS 0H","DANS "),"DANS 0","DANS "),CONCATENATE("(A ",TABLEAU!$E$69,"H",TABLEAU!$X$69,"): (",LOOKUP(WEEKDAY(JEUDI.DATE),SEMAINE)," ",DAY(JEUDI.DATE)," ",LOOKUP(MONTH(JEUDI.DATE),MOIS)," A 20H00): "),CONCATENATE(TABLEAU!$L$69," (A ",TABLEAU!$E$69,"H",TABLEAU!$X$69,")")),"DEPUIS 0","DEPUIS "),"&amp; A","&amp; (A"),CONCATENATE("(",NBA),""),"#DEPASSE DEPUIS (A","(A"),"DANS  MAINTENANT","MAINTENANT"),"] &amp; #","]# &amp; #"))</f>
        <v/>
      </c>
      <c r="P69" s="206" t="str">
        <f ca="1">IF(OR(TABLEAU!$D$69="",TODAY&lt;&gt;"JEUDI"),"",IF(AND(HOUR((H.M))=HOUR(TABLEAU!$D$69),MINUTE((H.M))&gt;MINUTE(TABLEAU!$D$69)),"#DEPASSE#",IF(HOUR((H.M))&gt;HOUR(TABLEAU!$D$69),"#DEPASSE#","")))</f>
        <v/>
      </c>
      <c r="Q69" s="207" t="str">
        <f ca="1">IF(OR(TABLEAU!$P$69="",TABLEAU!$S$69=""),"",IF(AND(HOUR(TABLEAU!$S$69)&gt;0,MINUTE(TABLEAU!$S$69)&lt;10),CONCATENATE(HOUR(TABLEAU!$S$69),"H0",MINUTE(TABLEAU!$S$69)),IF(AND(HOUR(TABLEAU!$S$69)=0,MINUTE(TABLEAU!$S$69)&lt;10),CONCATENATE(MINUTE(TABLEAU!$S$69)," MIN"),IF(AND(HOUR(TABLEAU!$S$69)&gt;0,MINUTE(TABLEAU!$S$69)&gt;9),CONCATENATE(HOUR(TABLEAU!$S$69),"H",MINUTE(TABLEAU!$S$69)),CONCATENATE(MINUTE(TABLEAU!$S$69)," MIN")))))</f>
        <v/>
      </c>
      <c r="R69" s="207" t="str">
        <f ca="1">UPPER(IF(OR(TABLEAU!$C$69="",TODAY&lt;&gt;"JEUDI"),"",IF(OR(TABLEAU!$D$69="",TABLEAU!$D$69="23:59",TABLEAU!$C$69=""),"",IF(AND(TODAY="JEUDI",HOUR(TABLEAU!$I$69)&lt;1,MINUTE(TABLEAU!$I$69)&lt;5,TABLEAU!$I$69&lt;&gt;"",TABLEAU!$I$69&lt;&gt;0),"BIENTOT",""))))</f>
        <v/>
      </c>
      <c r="S69" s="618" t="str">
        <f>IF(TABLEAU!$D$69="","",IF(TODAY&lt;&gt;"JEUDI","",IF((H.M)&gt;TABLEAU!$D$69,"",(H.M)-TABLEAU!$D$69)))</f>
        <v/>
      </c>
      <c r="T69" s="2302" t="str">
        <f ca="1">UPPER(IF(TODAY="JEUDI","",IF(TODAY="VENDREDI","DANS 6 JOURS",IF(TODAY="SAMEDI","DANS 5 JOURS",IF(TODAY="DIMANCHE","DANS 4 JOURS",IF(TODAY=TABLEAU!$K$3,"DANS 3 JOURS",IF(TODAY="MARDI","DANS 2 JOURS",IF(TODAY="MERCREDI","DEMAIN"))))))))</f>
        <v>DANS 5 JOURS</v>
      </c>
      <c r="U69" s="196" t="str">
        <f ca="1">UPPER(TRIM(SUBSTITUTE(SUBSTITUTE(SUBSTITUTE(SUBSTITUTE(SUBSTITUTE(SUBSTITUTE(SUBSTITUTE(SUBSTITUTE(SUBSTITUTE(SUBSTITUTE(SUBSTITUTE(SUBSTITUTE(SUBSTITUTE(SUBSTITUTE(SUBSTITUTE(SUBSTITUTE(SUBSTITUTE(SUBSTITUTE(IF(TABLEAU!$D$69="","",SUBSTITUTE(SUBSTITUTE(SUBSTITUTE(SUBSTITUTE(SUBSTITUTE(SUBSTITUTE(SUBSTITUTE(SUBSTITUTE(SUBSTITUTE(SUBSTITUTE(SUBSTITUTE(SUBSTITUTE(SUBSTITUTE(SUBSTITUTE(SUBSTITUTE(IF(OR(TABLEAU!$C$69="",TABLEAU!$D$69=""),"",IF(AND(TODAY="JEUDI",TABLEAU!$P$69&lt;&gt;""),CONCATENATE("#DEPASSE DEPUIS ",TABLEAU!$M$69," ",TABLEAU!$W$69,"#"),CONCATENATE("#",JEUDI.DANS," ",TABLEAU!$H$69,TABLEAU!$C$69,"#"))),": =",":"),CONCATENATE(NBA,"("),""),CONCATENATE(LOOKUP(MONTH(JEUDI.DATE),MOIS)," (A"),CONCATENATE(LOOKUP(MONTH(JEUDI.DATE),MOIS)," A")),"1ER MIN","1 MIN"),"((","("),"##","#"),"# ","#"),CONCATENATE("#",TABLEAU!$H$69,"DEPUIS"),"#DEPASSE DEPUIS"),"DEMAIN (",CONCATENATE("DEMAIN (JEUDI ",DAY(JEUDI.DATE)," ",LOOKUP(MONTH(JEUDI.DATE),MOIS)," ")),"JOURS (A ",CONCATENATE("JOURS (JEUDI ",DAY(JEUDI.DATE)," ",LOOKUP(MONTH(JEUDI.DATE),MOIS)," A ")),"(A","(JEUDI A"),"DANS 00 MIN","DANS "),"DANS 0","DANS "),"#&amp;","# &amp; "),"JOURS [",CONCATENATE("JOURS (",LOOKUP(WEEKDAY(JEUDI.DATE),SEMAINE)," ",DAY(JEUDI.DATE)," ",LOOKUP(MONTH(JEUDI.DATE),MOIS)," A ",HOUR(TABLEAU!$D$69),"H",TABLEAU!$F$69,"): ["))),CONCATENATE(JEUDI.DANS," ",JEUDI.DANS),CONCATENATE(" ",JEUDI.DANS)),"# ","#"),"#&amp; #","# &amp; #"),"US A","USA"),"(~ ("," ~ ("),"JEUDI A ","A "),CONCATENATE("#",TABLEAU!$H$69,TABLEAU!$W$69),TABLEAU!$W$69),"DEMAINDANS","DEMAIN DANS"),"''(","'' ("),CONCATENATE("#DANS ",TRIM(TABLEAU!$AH$69)," (#DEPASSE "),"#DEPASSE "),"]#D","]# &amp; #D"),"(MATCH","MATCH"),"COURS &amp; D","COURS# &amp; #D"),"#&amp; ","# &amp; #"),"# &amp; # ","# &amp; #"),CONCATENATE("#DEPASSE DEPUIS ",TABLEAU!$M$69," #"),"#"),"# &amp; ##","# &amp; #"),"DANS  (MAINTENANT","MAINTENANT")))</f>
        <v/>
      </c>
      <c r="V69" s="196" t="str">
        <f ca="1">UPPER(TRIM(SUBSTITUTE(SUBSTITUTE(IF(OR(TABLEAU!$C$69="",TABLEAU!$D$69="",JEUDI.DANS&lt;&gt;""),"",TABLEAU!$J$69),JOUR.PLUS,""),"DANS  MAINTENANT","MAINTENANT")))</f>
        <v/>
      </c>
      <c r="W69" s="225" t="str">
        <f>UPPER(IF(TABLEAU!$C$69=0,"",TABLEAU!$C$69))</f>
        <v/>
      </c>
      <c r="X69" s="782"/>
      <c r="Y69" s="207" t="str">
        <f ca="1">IF(OR(TODAY&lt;&gt;"JEUDI",TABLEAU!$C$69=""),"",IF(OR(TABLEAU!$C$69="",TABLEAU!$D$69=""),"",HOUR(TABLEAU!$D$69)))</f>
        <v/>
      </c>
      <c r="Z69" s="207" t="str">
        <f ca="1">IF(TABLEAU!$AM$69&lt;&gt;""," ",IF(OR(TODAY&lt;&gt;"JEUDI",TABLEAU!$C$69="",TABLEAU!$D$69="")," ",IF(MINUTE(TABLEAU!$D$69)&lt;10,CONCATENATE(HOUR(TABLEAU!$D$69),"H0",MINUTE(TABLEAU!$D$69)),IF(MINUTE(TABLEAU!$D$69)&gt;9,CONCATENATE(HOUR(TABLEAU!$D$69),"H",MINUTE(TABLEAU!$D$69))))))</f>
        <v xml:space="preserve"> </v>
      </c>
      <c r="AA69" s="246" t="str">
        <f ca="1">TRIM(SUBSTITUTE(SUBSTITUTE(SUBSTITUTE(SUBSTITUTE(IF(TABLEAU!$P$69="#DEPASSE#",TABLEAU!$AB$69,TABLEAU!$U$69),"# ","#"),"#&amp; #","# &amp; #"),"DANS (MAINTENANT","MAINTENANT"),SUBSTITUTE(SUBSTITUTE(CONCATENATE("#",TABLEAU!$H$69,"",TABLEAU!$H$69)," 0"," ")," 0"," "),SUBSTITUTE(TABLEAU!$H$69," 0"," ")))</f>
        <v/>
      </c>
      <c r="AB69" s="207" t="str">
        <f ca="1">UPPER(TRIM(SUBSTITUTE(SUBSTITUTE(SUBSTITUTE(SUBSTITUTE(SUBSTITUTE(SUBSTITUTE(TABLEAU!$K$69,CONCATENATE(LOOKUP(MONTH(A),MOIS)," (A"),CONCATENATE(LOOKUP(MONTH(A),MOIS)," A ")),CONCATENATE(LOOKUP(MONTH(A)+1,MOIS)," (A"),CONCATENATE(LOOKUP(MONTH(A)+1,MOIS)," A ")),CONCATENATE("(",YEAR(JEUDI.DATE)),""),"] &amp; DANS","]# &amp; #DANS"),"DANS MAINTENANT","MAINTENANT"),SUBSTITUTE(CONCATENATE("#",SUBSTITUTE(TABLEAU!$H$69,"(",""),"#",TABLEAU!$H$69)," 0"," "),SUBSTITUTE(TABLEAU!$H$69," 0"," "))))</f>
        <v/>
      </c>
      <c r="AC69" s="692" t="str">
        <f ca="1">IF(TABLEAU!$P$69="#DEPASSE#",CONCATENATE(TABLEAU!$AC$68," &amp; ",TABLEAU!$B$69),TABLEAU!$AC$68)</f>
        <v/>
      </c>
      <c r="AD69" s="1820"/>
      <c r="AE69" s="197" t="str">
        <f ca="1">UPPER(TRIM(SUBSTITUTE(SUBSTITUTE(SUBSTITUTE(SUBSTITUTE(SUBSTITUTE(SUBSTITUTE(SUBSTITUTE(SUBSTITUTE(SUBSTITUTE(SUBSTITUTE(SUBSTITUTE(SUBSTITUTE(SUBSTITUTE(SUBSTITUTE(SUBSTITUTE(SUBSTITUTE(SUBSTITUTE(SUBSTITUTE(SUBSTITUTE(SUBSTITUTE(SUBSTITUTE(SUBSTITUTE(SUBSTITUTE(SUBSTITUTE(IF(TABLEAU!$P$69="#DEPASSE#",TABLEAU!$J$69,IF(TABLEAU!$C$69="","",TRIM(SUBSTITUTE(SUBSTITUTE(SUBSTITUTE(SUBSTITUTE(SUBSTITUTE(SUBSTITUTE(SUBSTITUTE(IF(TABLEAU!$L$69="#DEPASSE DEPUIS ",MODIF,IF(TABLEAU!$I$69=SUBSTITUTE(DEPP,"#",""),DEPP,SUBSTITUTE(SUBSTITUTE(SUBSTITUTE(SUBSTITUTE(SUBSTITUTE(SUBSTITUTE(SUBSTITUTE(SUBSTITUTE(SUBSTITUTE(SUBSTITUTE(SUBSTITUTE(SUBSTITUTE(SUBSTITUTE(SUBSTITUTE(SUBSTITUTE(SUBSTITUTE(SUBSTITUTE(SUBSTITUTE(TABLEAU!$AB$69,CONCATENATE(TABLEAU!$K$69," A "),CONCATENATE(TABLEAU!$K$69," (A ")),"JANVIER (","JANVIER "),"FEVRIER (","FEVRIER "),"MARS (","MARS "),"AVRIL (","AVRIL "),"MAI (","MAI "),"JUIN (","JUIN "),"JUILLET (","JUILLET "),"AOUT (","AOUT "),"SEPTEMBRE (","SEPTEMBRE "),"OCTOBRE (","OCTOBRE "),"NOVEMBRE (","NOVEMBRE "),"DECEMBRE (","DECEMBRE "),CONCATENATE(" &amp; ",TABLEAU!$K$69," (")," &amp; "),CONCATENATE(" &amp;",TABLEAU!$L$69,"(")," &amp; ")," &amp; ("," &amp; "),CONCATENATE(TABLEAU!$K$69," (A ",TABLEAU!$AC$69,"): HIER"),"DEPASSE DEPUIS HIER")," &amp; A"," &amp; (A"))),"(A ",CONCATENATE("(",DATE.RDV.TV," A ")),"((","("),CONCATENATE(DATE.RDV.TV," ("),""),CONCATENATE(DATE.RDV.TV," A "),"A "),CONCATENATE(YEAR(A)," (A"),"A"),CONCATENATE(TABLEAU!$L$69," (DEPASSE"),"DEPASSE"),CONCATENATE("DEPASSE",TABLEAU!$L$69,"(",LOOKUP(WEEKDAY(JEUDI.DATE),SEMAINE)," ",DAY(JEUDI.DATE)," ",LOOKUP(MONTH(JEUDI.DATE),MOIS)," A"),"DEPASSE DEPUIS")))),"#&amp; ","# &amp; #"),"DANS (A","MAINTENANT (A"),"DANS (MATCH","DANS MATCH"),CONCATENATE("(DEMAIN= ",DIF.L1," ~ "),""),CONCATENATE("(DEMAIN= ",DIF.LDC," ~ "),""),CONCATENATE("(DEMAIN= ",DIF.UEFA," ~ "),""),CONCATENATE("(DEMAIN= ",DIF.FRANCE," ~ "),""),CONCATENATE("(DEMAIN= ",DIF.LIGUE," ~ "),""),CONCATENATE("(DEMAIN= ",DIF.GP," ~ "),""),CONCATENATE("(DEMAIN= ",DIF.MONDIAL," ~ "),""),CONCATENATE("(DEMAIN= ",DIF.EURO," ~ "),""),CONCATENATE("(DEMAIN= ",DIF.CONFEDERATIONS," ~ "),""),CONCATENATE(TABLEAU!$K$3," A"),"A"),"MARDI A","A"),"MERCREDI A","A"),"JEUDI A","A"),"VENDREDI A","A"),"SAMEDI A","A"),"DIMANCHE A","A"),"00H","0H"),"DEPUIS DEPUIS",CONCATENATE("DEPUIS ",TABLEAU!$M$69)),"] &amp;D","]# &amp; #D"),"A 2A",CONCATENATE("A ",TABLEAU!$Y69,"H",TABLEAU!$F$69))," )",")")))</f>
        <v/>
      </c>
      <c r="AF69" s="983" t="str">
        <f ca="1">IF(TODAY&lt;&gt;"JEUDI"," ",IF(TABLEAU!$D$69="","",H.M-TABLEAU!$D$69))</f>
        <v xml:space="preserve"> </v>
      </c>
      <c r="AG69" s="983" t="str">
        <f ca="1">IF(TABLEAU!$B$69="","",IF(TABLEAU!$I$69&lt;&gt;0,"",IF(TODAY&lt;&gt;"JEUDI","",IF(TABLEAU!$AF$69=" ","",IF(TABLEAU!$AF$69="","",IF(AND(HOUR(TABLEAU!$AF$69)&gt;0,MINUTE(TABLEAU!$AF$69)&lt;10),CONCATENATE(HOUR(TABLEAU!$AF$69),"H0",MINUTE(TABLEAU!$AF$69)),IF(AND(HOUR(TABLEAU!$AF$69)&gt;0,MINUTE(TABLEAU!$AF$69)&gt;9),CONCATENATE(HOUR(TABLEAU!$AF$69),"H",MINUTE(TABLEAU!$AF$69)),CONCATENATE(MINUTE(TABLEAU!$AF$69)," MIN"))))))))</f>
        <v/>
      </c>
      <c r="AH69" s="983" t="str">
        <f ca="1">IF(TABLEAU!$I$69="","",IF(MINUTE(TABLEAU!$I$69)&gt;9,CONCATENATE(HOUR(TABLEAU!$I$69),"H",MINUTE(TABLEAU!$I$69)),CONCATENATE(HOUR(TABLEAU!$I$69),"H0",MINUTE(TABLEAU!$I$69))))</f>
        <v/>
      </c>
      <c r="AI69" s="1850"/>
      <c r="AJ69" s="85" t="str">
        <f ca="1">IF(TABLEAU!$B$69="","",TABLEAU!$P$69)</f>
        <v/>
      </c>
      <c r="AK69" s="85" t="str">
        <f ca="1">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O$69,"DEPASSE","&amp;&amp;&amp;"),"A",""),"B",""),"C",""),"D",""),"E",""),"F",""),"G",""),"H",""),"I",""),"J",""),"K",""),"L",""),"M",""),"N",""),"O",""),"P",""),"Q",""),"R",""),"S",""),"T",""),"U",""),"V",""),"W",""),"X",""),"Y",""),"Z",""),"0",""),"1",""),"2",""),"3",""),"4",""),"5",""),"6",""),"7",""),"8",""),"9",""),":",""),"(",""),")",""),"[",""),"]","")," ",""))</f>
        <v/>
      </c>
      <c r="AL69" s="634" t="str">
        <f ca="1">UPPER(IF(DATE.RDV.TV&lt;&gt;"JEUDI","",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B$69,"DEPASSE ","¤¤"),"A",""),"B",""),"C",""),"D",""),"E",""),"F",""),"G",""),"H",""),"I",""),"J",""),"K",""),"L",""),"M",""),"N",""),"O",""),"P",""),"Q",""),"R",""),"S",""),"T",""),"U",""),"V",""),"W",""),"X",""),"Y",""),"Z",""),"1",""),"2",""),"3",""),"4",""),"5",""),"6",""),"7",""),"8",""),"9",""),"0",""),"-",""),"(",""),")",""),"{",""),"}",""),"=",""),"[",""),"]",""),"#",""),"+",""),":",""),"/",""),"'",""),".","")," &amp; ","")," ° ",""))))</f>
        <v/>
      </c>
      <c r="AM69" s="836" t="str">
        <f ca="1">UPPER(IF(DATE.RDV.TV&lt;&gt;"JEUDI","",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C$69,"CHAMPIONNAT","¤"),"LDC","¤¤"),"UEFA","¤¤¤"),"FRANCE","¤¤¤¤"),"LIGUE","¤¤¤¤¤"),"GP","¤¤¤¤¤¤"),"MONDIAL","¤¤¤¤¤¤¤"),"EURO","¤¤¤¤¤¤¤¤"),"CONFEDERATIONS","¤¤¤¤¤¤¤¤¤"),"A",""),"B",""),"C",""),"D",""),"E",""),"F",""),"G",""),"H",""),"I",""),"J",""),"K",""),"L",""),"M",""),"N",""),"O",""),"P",""),"Q",""),"R",""),"S",""),"T",""),"U",""),"V",""),"W",""),"X",""),"Y",""),"Z",""),"1",""),"2",""),"3",""),"4",""),"5",""),"6",""),"7",""),"8",""),"9",""),"0",""),"-",""),"(",""),")",""),"{",""),"}",""),"=",""),"[",""),"]",""),"#",""),"+",""),":",""),"/",""),"'",""),".","")," &amp; ","")," ° ",""),"~",""))))</f>
        <v/>
      </c>
      <c r="AN69" s="1576" t="str">
        <f ca="1">IF(TABLEAU!$B$69=TABLEAU!$B$68,"",IF(OR(TABLEAU!$A$69="#DEPASSE#",TABLEAU!$P$69="#DEPASSE#"),TABLEAU!$B$69,""))</f>
        <v/>
      </c>
      <c r="AO69" s="1577"/>
      <c r="AP69" s="1577"/>
      <c r="AQ69" s="1577"/>
      <c r="AR69" s="1577"/>
      <c r="AS69" s="1577"/>
      <c r="AT69" s="1577"/>
      <c r="AU69" s="1577"/>
      <c r="AV69" s="1577"/>
      <c r="AW69" s="1577"/>
      <c r="AX69" s="1578"/>
      <c r="AY69" s="1243">
        <f ca="1">IF(AND(TABLEAU!$C$69&lt;&gt;"",TABLEAU!$B$69=""),1,0)</f>
        <v>0</v>
      </c>
      <c r="AZ69" s="2576"/>
      <c r="BA69" s="2577"/>
    </row>
    <row r="70" spans="1:53" ht="12" customHeight="1" thickBot="1">
      <c r="A70" s="1508" t="str">
        <f ca="1">IF(TABLEAU!$B$70="","",IF(OR(TABLEAU!$AL$70="¤¤",TABLEAU!$P$70&lt;&gt;""),"#DEPASSE#",SUBSTITUTE(IF(OR(JEUDI.4="",TABLEAU!$C$70=""),"",IF(AND(TODAY="JEUDI",HOUR((H.M))&gt;HOUR(JEUDI.4),MINUTE((H.M))&gt;MINUTE(JEUDI.4)),"",IF(TODAY&lt;&gt;"JEUDI","",IF(HOUR(TABLEAU!$I$70)&gt;0,CONCATENATE("DANS ",HOUR(TABLEAU!$I$70),"H",TABLEAU!$N$70),CONCATENATE("DANS ",HOUR(TABLEAU!$I$70),"H",TABLEAU!$N$70," MIN")))))," 0H"," ")))</f>
        <v/>
      </c>
      <c r="B70" s="1512" t="str">
        <f ca="1">SUBSTITUTE(SUBSTITUTE(SUBSTITUTE(IF(OR(TABLEAU!$C70,TABLEAU!$D70=""),"",SUBSTITUTE(SUBSTITUTE(SUBSTITUTE(SUBSTITUTE(SUBSTITUTE(SUBSTITUTE(SUBSTITUTE(SUBSTITUTE(SUBSTITUTE(SUBSTITUTE(SUBSTITUTE(SUBSTITUTE(SUBSTITUTE(SUBSTITUTE(SUBSTITUTE(SUBSTITUTE(SUBSTITUTE(SUBSTITUTE(SUBSTITUTE(SUBSTITUTE(SUBSTITUTE(SUBSTITUTE(SUBSTITUTE(SUBSTITUTE(IF(TABLEAU!$C70="","",SUBSTITUTE(IF(TABLEAU!$AE70="",TABLEAU!$U70,TABLEAU!$AE70),CONCATENATE(CVB,YEAR(A)," "),""))," #"," "),"] &amp; D","]# &amp; #D")," &amp; (A",CONCATENATE("# &amp; #",TABLEAU!$H70,"A")),"&amp; DEPASSE","&amp; #DEPASSE"),"## &amp; #A","# &amp; #(A"),"DANS MAINTENANT","MAINTENANT"),CONCATENATE(" H",TABLEAU!$N70),CONCATENATE(" ",TABLEAU!$N70," MIN"))," 0"," "),"] &amp;D","]# &amp; #D"),"}  MIN","} H"),"# &amp; D","# &amp; #D"),CONCATENATE("#MAINTENANT (A ",TABLEAU!$Z70,"): MAINTENANT"),"#MAINTENANT"),TABLEAU!$AB$2,""),TABLEAU!$AM$5,"")," MINAMILTON","HAMILTON"),CONCATENATE(TABLEAU!$Z70," ",TABLEAU!$Z70),TABLEAU!$Z70),"DEPUIS  MINIER","DEPUIS HIER"),"MINONGRIE","HONGRIE"),"#DANS (#DEPASSE","#DEPASSE"),CONCATENATE(" ",YEAR(A)),""),"]= [","= ["),")])",")]"),"#DEPASSE DEPUISDANS","#DANS"),"(A 1A ):",CONCATENATE("(A ",HOUR(TABLEAU!$D70),"H",TABLEAU!$F70,"):"))),"SUR "," SUR "),"  SUR "," SUR "),CONCATENATE("DEPASSE DEPUIS ",TABLEAU!$M70," (A DANS"),"DANS")</f>
        <v/>
      </c>
      <c r="C70" s="631" t="str">
        <f ca="1">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IF(4-COUNTBLANK(PROG.JEUDI)=0,"",CONCATENATE(JEUDI.PROG.1,JEUDI.PROG.2,JEUDI.PROG.3,JEUDI.PROG.4)),CONCATENATE("(A ",TABLEAU!$E$70,"H",TABLEAU!$X$70,"): "),""),JOUR.PLUS,""),JEUDI.VERIFIER,"")," &amp; #DANS"," &amp; DANS"),"](A","] &amp; (A"),CONCATENATE("#DEPASSE",TABLEAU!$M$70," "),"#DEPASSE "),"] &amp; D","]# &amp; #D"),CONCATENATE("DEMAIN= ",DIF.L1," ~ "),""),CONCATENATE("DEMAIN= ",DIF.LDC," ~ "),""),CONCATENATE("DEMAIN= ",DIF.UEFA," ~ "),""),CONCATENATE("DEMAIN= ",DIF.FRANCE," ~ "),""),CONCATENATE("DEMAIN= ",DIF.LIGUE," ~ "),""),CONCATENATE("DEMAIN= ",DIF.GP," ~ "),""),CONCATENATE("DEMAIN= ",DIF.MONDIAL," ~ "),""),CONCATENATE("DEMAIN= ",DIF.EURO," ~ "),""),CONCATENATE("DEMAIN= ",DIF.CONFEDERATIONS," ~ "),""),"'' (",CONCATENATE("'' ~ (JEUDI ",DAY(JEUDI.DATE)," ",LOOKUP(MONTH(JEUDI.DATE),MOIS)," ")),"= ''","DANS ''"),"UEF A 2019-20= &amp; ","UEFA 2019-20]# &amp; #"),"~ ",""),"''(","'' ("),"DEMAINDANS","DEMAIN DANS"),"JOURSDANS","JOURS"),DIF.L1,""),DIF.LDC,""),DIF.UEFA,""),DIF.FRANCE,""),DIF.LIGUE,""),DIF.GP,""),DIF.MONDIAL,""),DIF.EURO,""),DIF.CONFEDERATIONS,""),JEUDI.DANS,""),"#  (","#("),"[ ",""),"[MAINTENANT","MAINTENANT"))</f>
        <v/>
      </c>
      <c r="D70" s="632" t="str">
        <f ca="1">IF(4-COUNTBLANK(PROG.JEUDI)=0,"",IF(JEUDI.HEURE.1&lt;&gt;"",JEUDI.HEURE.1,IF(JEUDI.HEURE.2&lt;&gt;"",JEUDI.HEURE.2,IF(JEUDI.HEURE.3&lt;&gt;"",JEUDI.HEURE.3,IF(JEUDI.HEURE.4&lt;&gt;"",JEUDI.HEURE.4,"")))))</f>
        <v/>
      </c>
      <c r="E70" s="2654" t="str">
        <f ca="1">IF(TABLEAU!$D70="","",IF(TABLEAU!$D70="23:59","",HOUR(TABLEAU!$D70)))</f>
        <v/>
      </c>
      <c r="F70" s="2652" t="str">
        <f ca="1">IF(OR(TABLEAU!$D$70="",TABLEAU!$D$70="23:59"),"59",IF(MINUTE(TABLEAU!$D$70)&lt;10,CONCATENATE("0",MINUTE(TABLEAU!$D$70)),CONCATENATE(MINUTE(TABLEAU!$D$70))))</f>
        <v>59</v>
      </c>
      <c r="G70" s="588" t="str">
        <f ca="1">UPPER(SUBSTITUTE(SUBSTITUTE(SUBSTITUTE(IF(TABLEAU!$D$70="","",SUBSTITUTE(SUBSTITUTE(SUBSTITUTE(SUBSTITUTE(SUBSTITUTE(SUBSTITUTE(SUBSTITUTE(SUBSTITUTE(SUBSTITUTE(SUBSTITUTE(SUBSTITUTE(SUBSTITUTE(SUBSTITUTE(SUBSTITUTE(SUBSTITUTE(IF(OR(TABLEAU!$D$70="",TABLEAU!$C$70=""),"",IF(AND(TODAY="JEUDI",HOUR((H.M))&gt;HOUR(TABLEAU!$D$70),MINUTE((H.M))&gt;MINUTE(TABLEAU!$D$70)),CONCATENATE("#DEPASSE DEPUIS",TABLEAU!$M$70," ",TABLEAU!$C$70,"#"),IF(TABLEAU!$P$70&lt;&gt;"",CONCATENATE("#DEPASSE DEPUIS",TABLEAU!$M$70," ",TABLEAU!$C$70,"#"),IF(TODAY&lt;&gt;"JEUDI",CONCATENATE("#",JEUDI.DANS," (JEUDI ",DAY(JEUDI.DATE)," ",LOOKUP(MONTH(JEUDI.DATE),MOIS)," A ",HOUR(TABLEAU!$D$70),"H",TABLEAU!$F$70,"): ",TABLEAU!$C$70,"#"),CONCATENATE("#",TABLEAU!$L$70," (A ",TABLEAU!$Z$70,"): ",SUBSTITUTE(TABLEAU!$C$70,"#",""),"#"))))),CONCATENATE(LOOKUP(MONTH(JEUDI.DATE),MOIS)," (A"),CONCATENATE(LOOKUP(MONTH(JEUDI.DATE),MOIS)," A")),"##","#"),CONCATENATE("#DEPASSE DEPUIS  (A ): ",TABLEAU!$C$70,"#"),""),CONCATENATE("(A ",TABLEAU!$E$70,"H",TABLEAU!$X$70,"): "),""),CONCATENATE(TABLEAU!$L$70," DEPUIS"),"DEPASSE DEPUIS"),CONCATENATE("A ",HOUR(TABLEAU!$D$70),"H",TABLEAU!$F$70,"): (A ",HOUR(TABLEAU!$D$70),"H",TABLEAU!$F$70),CONCATENATE("A ",HOUR(TABLEAU!$D$70),"H",TABLEAU!$F$70)),"#DEPASSEDEPASSE","#DEPASSE"),"# (",CONCATENATE("#",TABLEAU!$H$70)),CONCATENATE("A ",SUBSTITUTE(TABLEAU!$M$33,":","H"),"): ~ (A ",SUBSTITUTE(TABLEAU!$M$33,":","H")),CONCATENATE("A ",SUBSTITUTE(TABLEAU!$M$33,":","H"))),CONCATENATE("#DEPASSE ",TABLEAU!$M$70,"#D"),"#D")," D"," #D"),"#DEPUIS","DEPUIS"),"COURS ","COURS# "),"#DE ","DE "),"GP #D","GP D")),"# &amp; #",CONCATENATE("# &amp; #DEPASSE DEPUIS",TABLEAU!$M$70," ")),"] &amp; (",CONCATENATE("]# &amp; DANS ",TABLEAU!$AH$70," ("))," 0"," "))</f>
        <v/>
      </c>
      <c r="H70" s="562" t="str">
        <f ca="1">SUBSTITUTE(IF(OR(DATE.RDV.TV&lt;&gt;"JEUDI",TABLEAU!$C$70=""),"",IF(HOUR(TABLEAU!$I$70)=0,CONCATENATE("DANS ",TABLEAU!$N$70," MIN ("),CONCATENATE("DANS ",HOUR(TABLEAU!$I$70),"H",TABLEAU!$N$70," ("))),"DANS  MIN (","")</f>
        <v/>
      </c>
      <c r="I70" s="299" t="str">
        <f ca="1">IF(OR(TODAY&lt;&gt;"JEUDI",TABLEAU!$C$70=""),"",IF(OR(TABLEAU!$D$70="",TABLEAU!$P$70="#DEPASSE#",TODAY&lt;&gt;"JEUDI"),0,IF(HOUR((H.M))&gt;HOUR(TABLEAU!$D$70),0,TABLEAU!$D$70-H.M)))</f>
        <v/>
      </c>
      <c r="J70" s="300" t="str">
        <f ca="1">SUBSTITUTE(SUBSTITUTE(SUBSTITUTE(IF(TABLEAU!$I$70="","",SUBSTITUTE(SUBSTITUTE(SUBSTITUTE(SUBSTITUTE(SUBSTITUTE(SUBSTITUTE(SUBSTITUTE(SUBSTITUTE(SUBSTITUTE(SUBSTITUTE(SUBSTITUTE(SUBSTITUTE(SUBSTITUTE(SUBSTITUTE(SUBSTITUTE(SUBSTITUTE(SUBSTITUTE(SUBSTITUTE(SUBSTITUTE(SUBSTITUTE(IF(DATE.DEPASSE&lt;0,TABLEAU!$U$70,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G70,"  "," "),CONCATENATE("(A ",TABLEAU!$Z$70,"): (A ",TABLEAU!$Z$70),CONCATENATE("(A ",TABLEAU!$Z$70)),CONCATENATE("#DEPASSE",TABLEAU!$M$70,"#DEPASSE",TABLEAU!$M$70),CONCATENATE("#DEPASSE",TABLEAU!$M$70)),CONCATENATE("#DEPASSE",TABLEAU!$L$70,"DEPASSE"),"#DEPASSE"),CONCATENATE(TABLEAU!$L$70," (A ",TABLEAU!$Z$70,"): DEPUIS"),"DEPASSE DEPUIS")," 1 "," 1ER "),"DEPASSE DEPUIS DEPASSE DEPUIS","DEPASSE DEPUIS"),CONCATENATE("DEPASSE ",TRIM(TABLEAU!$L$70)," DEPASSE ",TRIM(TABLEAU!$L$70)),CONCATENATE("DEPASSE ",TRIM(TABLEAU!$L$70))),"1ER MIN","1 MIN"),"1ER ERREUR","1 ERREUR"),CONCATENATE("(A ",TABLEAU!$Z$70,"): (A ",TABLEAU!$E$70,":",TABLEAU!$F$70),CONCATENATE("(A ",TABLEAU!$Z$70))," (A ):",""),"DEPASSE DEPUIS (",TABLEAU!$H$70),"] &amp; D","]# &amp; #D"),CONCATENATE("#DEPASSE",TABLEAU!$M$70,"DEPASSE"),"#DEPASSE")," [","): ["),"):):","):"),"DEPUIS ",TABLEAU!$L$70),CONCATENATE(SUBSTITUTE(TABLEAU!$M$70,"DEPUIS ",""))," "),"DEPUIS",CONCATENATE(TABLEAU!$M$70," (",JEUDI.VERIFIER," A ")),SUBSTITUTE(TABLEAU!$M$70,"DEPUIS","A"),""),"DEPASSE  ","DEPASSE"),"  A "," A"),"  "," "),TRIM(SUBSTITUTE(TABLEAU!$M$70," DEPUIS ","A ")),"EEE"),"EEE",CONCATENATE("A ",TABLEAU!$Z$70)),CONCATENATE("DEPASSE ",TABLEAU!$L$70,"HIER"),"DEPASSE DEPUIS HIER"),"DEPASSEDEPASSE","DEPASSE DEPUIS "),CONCATENATE(" A ",TABLEAU!$Z$59," (A ",TABLEAU!$Z$59),CONCATENATE(" A ",TABLEAU!$Z$59)),CONCATENATE("A ",TABLEAU!$Z$70," ",TABLEAU!$C$70),TABLEAU!$C$70),CONCATENATE(MOIS.MAINTENANT.2," (A"),CONCATENATE(MOIS.MAINTENANT.2," A")),"#DEPASSE #DEPASSEDEPUIS","#DEPASSE DEPUIS"),"A (A","A"),CONCATENATE(TABLEAU!$L$70," DEPASSE"),"DEPASSE"),"DEPASSE (",CONCATENATE("DEPASSE DEPUIS ",TABLEAU!$Q$70," (")),"''MIN","MIN"),"=):","]="),CONCATENATE("#DEPASSE ",TABLEAU!$Q$70),CONCATENATE("#DEPASSE DEPUIS ",TABLEAU!$Q$70)),"DEPASSE","DEPASSE DEPUIS"),"DEPUIS DEPUIS","DEPUIS")),"US A","USA"),CONCATENATE("DEPASSE DEPUIS ",TABLEAU!$Q$70,"DEPASSE DEPUIS ",TABLEAU!$Q$70),CONCATENATE("DEPASSE DEPUIS ",TABLEAU!$Q$70)),CONCATENATE("#DEPASSE DEPUIS ",TABLEAU!$Q$70," #DEPASSE DEPUIS ",TABLEAU!$Q$70),CONCATENATE("#DEPASSE DEPUIS ",TABLEAU!$Q$70)),"#DEPASSE DEPUIS #DEPASSE DEPUIS","#DEPASSE DEPUIS"),CONCATENATE("): ",JEUDI.DANS," (A ",TABLEAU!$E$70,"H",TABLEAU!$F$70),"")," &amp; D"," &amp; #D"),CONCATENATE(JEUDI.DANS," (JEUDI ",DAY(JEUDI.DATE)," ",LOOKUP(MONTH(JEUDI.DATE),MOIS)," A ",TABLEAU!$E$70,"H",TABLEAU!$F$70,"): DANS"),"DANS"),CONCATENATE(JEUDI.DANS," (JEUDI ",DAY(JEUDI.DATE)," ",LOOKUP(MONTH(JEUDI.DATE),MOIS)," A ",TABLEAU!$E$70,"H",TABLEAU!$F$70,"): ",JEUDI.DANS,"= ",TABLEAU!$AN$23,"(A ",TABLEAU!$E$70,"H",TABLEAU!$F$70),CONCATENATE(JEUDI.DANS,"= ",TABLEAU!$AN$23," (JEUDI ",DAY(JEUDI.DATE)," ",LOOKUP(MONTH(JEUDI.DATE),MOIS)," A ",TABLEAU!$E$70,"H",TABLEAU!$F$70)),CONCATENATE(JEUDI.DANS," (JEUDI ",DAY(JEUDI.DATE)," ",LOOKUP(MONTH(JEUDI.DATE),MOIS)," A ",TABLEAU!$E$70,"H",TABLEAU!$F$70,"): DANS"),"DANS"),"# (",CONCATENATE("#",TABLEAU!$H$70)),"DANS 0","DANS "),"# ~ ",CONCATENATE("#",FICHIER.A.MODIFIER," ~ ")),CONCATENATE("A ",SUBSTITUTE(TABLEAU!$M$33,":","H"),"): ~ (A ",SUBSTITUTE(TABLEAU!$M$33,":","H")),CONCATENATE("A ",SUBSTITUTE(TABLEAU!$M$33,":","H"))),CONCATENATE("(A ",TABLEAU!$Z$70,"): ~ (A"),"(A"),"DANS 0 MIN","MAINTENANT"),"DEPUIS(",CONCATENATE("DEPUIS ",TABLEAU!$M$70," (")),"DEPUIS DEPUIS  (A",CONCATENATE("DEPUIS ",TABLEAU!$M$70," (A")),"(A 1 ",CONCATENATE("(A ",TABLEAU!$E$70,":00")),"#A",CONCATENATE("#DANS ",HOUR(TABLEAU!$I$70),"H",TABLEAU!$N$70," (A")),"DEPUIS DEPUIS",CONCATENATE("DEPUIS ",TABLEAU!$M$70))),"]#D","]# &amp; #D"),"DEPUIS =",CONCATENATE("DEPUIS ",TABLEAU!$M$70)),"DANS  MAINTENANT","MAINTENANT")</f>
        <v/>
      </c>
      <c r="K70" s="301" t="str">
        <f ca="1">TRIM(SUBSTITUTE(SUBSTITUTE(SUBSTITUTE(SUBSTITUTE(SUBSTITUTE(SUBSTITUTE(SUBSTITUTE(SUBSTITUTE(SUBSTITUTE(TABLEAU!$O$70,CONCATENATE("): (",TABLEAU!$W$70),""),CONCATENATE("A ",TABLEAU!$E$70,"H",TABLEAU!$X$70,"): ("),""),"(SUR",CONCATENATE("(A ",TABLEAU!$E$70,"H",TABLEAU!$X$70," SUR"))," &amp; (",CONCATENATE(" &amp; ",TABLEAU!$L$70," (")),"AUJOURD'HUI",""),"##","#"),"1ER MIN","1 MIN"),CONCATENATE("DEPASSE ",TRIM(TABLEAU!$L$70)," DEPASSE"),"DEPASSE")," (A ):",""))</f>
        <v/>
      </c>
      <c r="L70" s="302" t="str">
        <f ca="1">UPPER(IF(TABLEAU!$P$70&lt;&gt;"","",IF(TABLEAU!$P$70="","",IF(TABLEAU!$AM$70&lt;&gt;"","#DEPASSE DEPUIS ",IF(TODAY&lt;&gt;"JEUDI","",IF(COUNTIF(ENCOURS,"#EN COURS#")&lt;&gt;0,"MAINTENANT",SUBSTITUTE(SUBSTITUTE(SUBSTITUTE(IF(OR(TABLEAU!$C$70="",TABLEAU!$D$70=""),"",IF(HOUR(TABLEAU!$I$70)=0,CONCATENATE("DANS ",TABLEAU!$N$70," MIN"),CONCATENATE("DANS ",HOUR(TABLEAU!$I$70),"H",TABLEAU!$N$70))),"DANS 0","DANS "),"DANS  MIN",TABLEAU!$M$70),"DANS 0 MIN","MAINTENANT")))))))</f>
        <v/>
      </c>
      <c r="M70" s="302" t="str">
        <f ca="1">IF(TODAY&lt;&gt;"JEUDI","",SUBSTITUTE(IF(TABLEAU!$D$70="","",IF(TABLEAU!$AF$70=" ","",IF(TABLEAU!$D$70-H.M&gt;0,"",IF(AND(HOUR(TABLEAU!$AF$70)&gt;0,MINUTE(TABLEAU!$AF$70)&lt;10),CONCATENATE(" ",HOUR(TABLEAU!$AF$70),"H0",MINUTE(TABLEAU!$AF$70)),IF(AND(HOUR(TABLEAU!$AF$70)&gt;0,MINUTE(TABLEAU!$AF$70)&gt;9),CONCATENATE(" ",HOUR(TABLEAU!$AF$70),"H",MINUTE(TABLEAU!$AF$70)),CONCATENATE(" 0",MINUTE(TABLEAU!$AF$70)," MIN"))))))," 0",""))</f>
        <v/>
      </c>
      <c r="N70" s="302" t="str">
        <f ca="1">IF(TABLEAU!$D$70="","",IF(OR(TABLEAU!$C$70="",TODAY&lt;&gt;"JEUDI"),"",IF(TABLEAU!$P$70="#DEPASSE#","",IF(HOUR((H.M))&gt;HOUR(TABLEAU!$D$70),"",IF(MINUTE(TABLEAU!$I$70)&lt;10,CONCATENATE("0",MINUTE(TABLEAU!$I$70)),MINUTE(TABLEAU!$I$70))))))</f>
        <v/>
      </c>
      <c r="O70" s="303" t="str">
        <f ca="1">UPPER(SUBSTITUTE(SUBSTITUTE(SUBSTITUTE(SUBSTITUTE(SUBSTITUTE(SUBSTITUTE(SUBSTITUTE(SUBSTITUTE(SUBSTITUTE(TABLEAU!$J$70,"DANS 0H","DANS "),"DANS 0","DANS "),CONCATENATE("(A ",TABLEAU!$E$70,"H",TABLEAU!$X$70,"): (",LOOKUP(WEEKDAY(JEUDI.DATE),SEMAINE)," ",DAY(JEUDI.DATE)," ",LOOKUP(MONTH(JEUDI.DATE),MOIS)," A 20H00): "),CONCATENATE(TABLEAU!$L$70," (A ",TABLEAU!$E$70,"H",TABLEAU!$X$70,")")),"DEPUIS 0","DEPUIS "),"&amp; A","&amp; (A"),CONCATENATE("(",NBA),""),"#DEPASSE DEPUIS (A","(A"),"DANS  MAINTENANT","MAINTENANT"),"] &amp; #","]# &amp; #"))</f>
        <v/>
      </c>
      <c r="P70" s="388" t="str">
        <f ca="1">IF(OR(TABLEAU!$D$70="",TODAY&lt;&gt;"JEUDI"),"",IF(AND(HOUR((H.M))=HOUR(TABLEAU!$D$70),MINUTE((H.M))&gt;MINUTE(TABLEAU!$D$70)),"#DEPASSE#",IF(HOUR((H.M))&gt;HOUR(TABLEAU!$D$70),"#DEPASSE#","")))</f>
        <v/>
      </c>
      <c r="Q70" s="389" t="str">
        <f ca="1">IF(OR(TABLEAU!$P$70="",TABLEAU!$S$70=""),"",IF(AND(HOUR(TABLEAU!$S$70)&gt;0,MINUTE(TABLEAU!$S$70)&lt;10),CONCATENATE(HOUR(TABLEAU!$S$70),"H0",MINUTE(TABLEAU!$S$70)),IF(AND(HOUR(TABLEAU!$S$70)=0,MINUTE(TABLEAU!$S$70)&lt;10),CONCATENATE(MINUTE(TABLEAU!$S$70)," MIN"),IF(AND(HOUR(TABLEAU!$S$70)&gt;0,MINUTE(TABLEAU!$S$70)&gt;9),CONCATENATE(HOUR(TABLEAU!$S$70),"H",MINUTE(TABLEAU!$S$70)),CONCATENATE(MINUTE(TABLEAU!$S$70)," MIN")))))</f>
        <v/>
      </c>
      <c r="R70" s="389" t="str">
        <f ca="1">UPPER(IF(OR(TABLEAU!$C$70="",TODAY&lt;&gt;"JEUDI"),"",IF(OR(TABLEAU!$D$70="",TABLEAU!$D$70="23:59",TABLEAU!$C$70=""),"",IF(AND(TODAY="JEUDI",HOUR(TABLEAU!$I$70)&lt;1,MINUTE(TABLEAU!$I$70)&lt;5,TABLEAU!$I$70&lt;&gt;"",TABLEAU!$I$70&lt;&gt;0),"BIENTOT",""))))</f>
        <v/>
      </c>
      <c r="S70" s="620" t="str">
        <f ca="1">IF(TABLEAU!$D$70="","",IF(TODAY&lt;&gt;"JEUDI","",IF((H.M)&gt;TABLEAU!$D$70,"",(H.M)-TABLEAU!$D$70)))</f>
        <v/>
      </c>
      <c r="T70" s="2303"/>
      <c r="U70" s="301" t="str">
        <f ca="1">UPPER(TRIM(SUBSTITUTE(SUBSTITUTE(SUBSTITUTE(SUBSTITUTE(SUBSTITUTE(SUBSTITUTE(SUBSTITUTE(SUBSTITUTE(SUBSTITUTE(SUBSTITUTE(SUBSTITUTE(SUBSTITUTE(SUBSTITUTE(SUBSTITUTE(SUBSTITUTE(SUBSTITUTE(SUBSTITUTE(SUBSTITUTE(IF(TABLEAU!$D$70="","",SUBSTITUTE(SUBSTITUTE(SUBSTITUTE(SUBSTITUTE(SUBSTITUTE(SUBSTITUTE(SUBSTITUTE(SUBSTITUTE(SUBSTITUTE(SUBSTITUTE(SUBSTITUTE(SUBSTITUTE(SUBSTITUTE(SUBSTITUTE(SUBSTITUTE(IF(OR(TABLEAU!$C$70="",TABLEAU!$D$70=""),"",IF(AND(TODAY="JEUDI",TABLEAU!$P$70&lt;&gt;""),CONCATENATE("#DEPASSE DEPUIS ",TABLEAU!$M$70," ",TABLEAU!$W$70,"#"),CONCATENATE("#",JEUDI.DANS," ",TABLEAU!$H$70,TABLEAU!$C$70,"#"))),": =",":"),CONCATENATE(NBA,"("),""),CONCATENATE(LOOKUP(MONTH(JEUDI.DATE),MOIS)," (A"),CONCATENATE(LOOKUP(MONTH(JEUDI.DATE),MOIS)," A")),"1ER MIN","1 MIN"),"((","("),"##","#"),"# ","#"),CONCATENATE("#",TABLEAU!$H$70,"DEPUIS"),"#DEPASSE DEPUIS"),"DEMAIN (",CONCATENATE("DEMAIN (JEUDI ",DAY(JEUDI.DATE)," ",LOOKUP(MONTH(JEUDI.DATE),MOIS)," ")),"JOURS (A ",CONCATENATE("JOURS (JEUDI ",DAY(JEUDI.DATE)," ",LOOKUP(MONTH(JEUDI.DATE),MOIS)," A ")),"(A","(JEUDI A"),"DANS 00 MIN","DANS "),"DANS 0","DANS "),"#&amp;","# &amp; "),"JOURS [",CONCATENATE("JOURS (",LOOKUP(WEEKDAY(JEUDI.DATE),SEMAINE)," ",DAY(JEUDI.DATE)," ",LOOKUP(MONTH(JEUDI.DATE),MOIS)," A ",HOUR(TABLEAU!$D$70),"H",TABLEAU!$F$70,"): ["))),CONCATENATE(JEUDI.DANS," ",JEUDI.DANS),CONCATENATE(" ",JEUDI.DANS)),"# ","#"),"#&amp; #","# &amp; #"),"US A","USA"),"(~ ("," ~ ("),"JEUDI A ","A "),CONCATENATE("#",TABLEAU!$H$70,TABLEAU!$W$70),TABLEAU!$W$70),"DEMAINDANS","DEMAIN DANS"),"''(","'' ("),CONCATENATE("#DANS ",TRIM(TABLEAU!$AH$70)," (#DEPASSE "),"#DEPASSE "),"]#D","]# &amp; #D"),"(MATCH","MATCH"),"COURS &amp; D","COURS# &amp; #D"),"#&amp; ","# &amp; #"),"# &amp; # ","# &amp; #"),CONCATENATE("#DEPASSE DEPUIS ",TABLEAU!$M$70," #"),"#"),"# &amp; ##","# &amp; #"),"DANS  (MAINTENANT","MAINTENANT")))</f>
        <v/>
      </c>
      <c r="V70" s="301" t="str">
        <f ca="1">UPPER(TRIM(SUBSTITUTE(SUBSTITUTE(IF(OR(TABLEAU!$C$70="",TABLEAU!$D$70="",JEUDI.DANS&lt;&gt;""),"",TABLEAU!$J$70),JOUR.PLUS,""),"DANS  MAINTENANT","MAINTENANT")))</f>
        <v/>
      </c>
      <c r="W70" s="349" t="str">
        <f ca="1">UPPER(IF(TABLEAU!$C$70=0,"",TABLEAU!$C$70))</f>
        <v/>
      </c>
      <c r="X70" s="782"/>
      <c r="Y70" s="302" t="str">
        <f ca="1">IF(OR(TODAY&lt;&gt;"JEUDI",TABLEAU!$C$70=""),"",IF(OR(TABLEAU!$C$70="",TABLEAU!$D$70=""),"",HOUR(TABLEAU!$D$70)))</f>
        <v/>
      </c>
      <c r="Z70" s="302" t="str">
        <f ca="1">IF(TABLEAU!$AM$70&lt;&gt;""," ",IF(OR(TODAY&lt;&gt;"JEUDI",TABLEAU!$C$70="",TABLEAU!$D$70="")," ",IF(MINUTE(TABLEAU!$D$70)&lt;10,CONCATENATE(HOUR(TABLEAU!$D$70),"H0",MINUTE(TABLEAU!$D$70)),IF(MINUTE(TABLEAU!$D$70)&gt;9,CONCATENATE(HOUR(TABLEAU!$D$70),"H",MINUTE(TABLEAU!$D$70))))))</f>
        <v xml:space="preserve"> </v>
      </c>
      <c r="AA70" s="358" t="str">
        <f ca="1">TRIM(SUBSTITUTE(SUBSTITUTE(SUBSTITUTE(SUBSTITUTE(IF(TABLEAU!$P$70="#DEPASSE#",TABLEAU!$AB$70,TABLEAU!$U$70),"# ","#"),"#&amp; #","# &amp; #"),"DANS (MAINTENANT","MAINTENANT"),SUBSTITUTE(SUBSTITUTE(CONCATENATE("#",TABLEAU!$H$70,"",TABLEAU!$H$70)," 0"," ")," 0"," "),SUBSTITUTE(TABLEAU!$H$70," 0"," ")))</f>
        <v/>
      </c>
      <c r="AB70" s="302" t="str">
        <f ca="1">UPPER(TRIM(SUBSTITUTE(SUBSTITUTE(SUBSTITUTE(SUBSTITUTE(SUBSTITUTE(SUBSTITUTE(TABLEAU!$K70,CONCATENATE(LOOKUP(MONTH(A),MOIS)," (A"),CONCATENATE(LOOKUP(MONTH(A),MOIS)," A ")),CONCATENATE(LOOKUP(MONTH(A)+1,MOIS)," (A"),CONCATENATE(LOOKUP(MONTH(A)+1,MOIS)," A ")),CONCATENATE("(",YEAR(JEUDI.DATE)),""),"] &amp; DANS","]# &amp; #DANS"),"DANS MAINTENANT","MAINTENANT"),SUBSTITUTE(CONCATENATE("#",SUBSTITUTE(TABLEAU!$H$70,"(",""),"#",TABLEAU!$H$70)," 0"," "),SUBSTITUTE(TABLEAU!$H$70," 0"," "))))</f>
        <v/>
      </c>
      <c r="AC70" s="693" t="str">
        <f ca="1">IF(TABLEAU!$P$70="#DEPASSE#",CONCATENATE(TABLEAU!$AC$69," &amp; ",TABLEAU!$B$70),TABLEAU!$AC$69)</f>
        <v/>
      </c>
      <c r="AD70" s="1821"/>
      <c r="AE70" s="303" t="str">
        <f ca="1">UPPER(TRIM(SUBSTITUTE(SUBSTITUTE(SUBSTITUTE(SUBSTITUTE(SUBSTITUTE(SUBSTITUTE(SUBSTITUTE(SUBSTITUTE(SUBSTITUTE(SUBSTITUTE(SUBSTITUTE(SUBSTITUTE(SUBSTITUTE(SUBSTITUTE(SUBSTITUTE(SUBSTITUTE(SUBSTITUTE(SUBSTITUTE(SUBSTITUTE(SUBSTITUTE(SUBSTITUTE(SUBSTITUTE(SUBSTITUTE(SUBSTITUTE(IF(TABLEAU!$P$70="#DEPASSE#",TABLEAU!$J$70,IF(TABLEAU!$C$70="","",TRIM(SUBSTITUTE(SUBSTITUTE(SUBSTITUTE(SUBSTITUTE(SUBSTITUTE(SUBSTITUTE(SUBSTITUTE(IF(TABLEAU!$L$70="#DEPASSE DEPUIS ",MODIF,IF(TABLEAU!$I$70=SUBSTITUTE(DEPP,"#",""),DEPP,SUBSTITUTE(SUBSTITUTE(SUBSTITUTE(SUBSTITUTE(SUBSTITUTE(SUBSTITUTE(SUBSTITUTE(SUBSTITUTE(SUBSTITUTE(SUBSTITUTE(SUBSTITUTE(SUBSTITUTE(SUBSTITUTE(SUBSTITUTE(SUBSTITUTE(SUBSTITUTE(SUBSTITUTE(SUBSTITUTE(TABLEAU!$AB$70,CONCATENATE(TABLEAU!$K70," A "),CONCATENATE(TABLEAU!$K70," (A ")),"JANVIER (","JANVIER "),"FEVRIER (","FEVRIER "),"MARS (","MARS "),"AVRIL (","AVRIL "),"MAI (","MAI "),"JUIN (","JUIN "),"JUILLET (","JUILLET "),"AOUT (","AOUT "),"SEPTEMBRE (","SEPTEMBRE "),"OCTOBRE (","OCTOBRE "),"NOVEMBRE (","NOVEMBRE "),"DECEMBRE (","DECEMBRE "),CONCATENATE(" &amp; ",TABLEAU!$K70," (")," &amp; "),CONCATENATE(" &amp;",TABLEAU!$L$70,"(")," &amp; ")," &amp; ("," &amp; "),CONCATENATE(TABLEAU!$K70," (A ",TABLEAU!$AC$70,"): HIER"),"DEPASSE DEPUIS HIER")," &amp; A"," &amp; (A"))),"(A ",CONCATENATE("(",DATE.RDV.TV," A ")),"((","("),CONCATENATE(DATE.RDV.TV," ("),""),CONCATENATE(DATE.RDV.TV," A "),"A "),CONCATENATE(YEAR(A)," (A"),"A"),CONCATENATE(TABLEAU!$L$70," (DEPASSE"),"DEPASSE"),CONCATENATE("DEPASSE",TABLEAU!$L$70,"(",LOOKUP(WEEKDAY(JEUDI.DATE),SEMAINE)," ",DAY(JEUDI.DATE)," ",LOOKUP(MONTH(JEUDI.DATE),MOIS)," A"),"DEPASSE DEPUIS")))),"#&amp; ","# &amp; #"),"DANS (A","MAINTENANT (A"),"DANS (MATCH","DANS MATCH"),CONCATENATE("(DEMAIN= ",DIF.L1," ~ "),""),CONCATENATE("(DEMAIN= ",DIF.LDC," ~ "),""),CONCATENATE("(DEMAIN= ",DIF.UEFA," ~ "),""),CONCATENATE("(DEMAIN= ",DIF.FRANCE," ~ "),""),CONCATENATE("(DEMAIN= ",DIF.LIGUE," ~ "),""),CONCATENATE("(DEMAIN= ",DIF.GP," ~ "),""),CONCATENATE("(DEMAIN= ",DIF.MONDIAL," ~ "),""),CONCATENATE("(DEMAIN= ",DIF.EURO," ~ "),""),CONCATENATE("(DEMAIN= ",DIF.CONFEDERATIONS," ~ "),""),CONCATENATE(TABLEAU!$K$3," A"),"A"),"MARDI A","A"),"MERCREDI A","A"),"JEUDI A","A"),"VENDREDI A","A"),"SAMEDI A","A"),"DIMANCHE A","A"),"00H","0H"),"DEPUIS DEPUIS",CONCATENATE("DEPUIS ",TABLEAU!$M$70)),"] &amp;D","]# &amp; #D"),"A 2A",CONCATENATE("A ",TABLEAU!$Y70,"H",TABLEAU!$F$70))," )",")")))</f>
        <v/>
      </c>
      <c r="AF70" s="984" t="str">
        <f ca="1">IF(TODAY&lt;&gt;"JEUDI"," ",IF(TABLEAU!$D$70="","",H.M-TABLEAU!$D$70))</f>
        <v xml:space="preserve"> </v>
      </c>
      <c r="AG70" s="984" t="str">
        <f ca="1">IF(TABLEAU!$B$70="","",IF(TABLEAU!$I$70&lt;&gt;0,"",IF(TODAY&lt;&gt;"JEUDI","",IF(TABLEAU!$AF$70=" ","",IF(TABLEAU!$AF$70="","",IF(AND(HOUR(TABLEAU!$AF$70)&gt;0,MINUTE(TABLEAU!$AF$70)&lt;10),CONCATENATE(HOUR(TABLEAU!$AF$70),"H0",MINUTE(TABLEAU!$AF$70)),IF(AND(HOUR(TABLEAU!$AF$70)&gt;0,MINUTE(TABLEAU!$AF$70)&gt;9),CONCATENATE(HOUR(TABLEAU!$AF$70),"H",MINUTE(TABLEAU!$AF$70)),CONCATENATE(MINUTE(TABLEAU!$AF$70)," MIN"))))))))</f>
        <v/>
      </c>
      <c r="AH70" s="984" t="str">
        <f ca="1">IF(TABLEAU!$I$70="","",IF(MINUTE(TABLEAU!$I$70)&gt;9,CONCATENATE(HOUR(TABLEAU!$I$70),"H",MINUTE(TABLEAU!$I$70)),CONCATENATE(HOUR(TABLEAU!$I$70),"H0",MINUTE(TABLEAU!$I$70))))</f>
        <v/>
      </c>
      <c r="AI70" s="1850"/>
      <c r="AJ70" s="86" t="str">
        <f ca="1">IF(TABLEAU!$B$70="","",TABLEAU!$P$70)</f>
        <v/>
      </c>
      <c r="AK70" s="86" t="str">
        <f ca="1">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O$70,"DEPASSE","&amp;&amp;&amp;"),"A",""),"B",""),"C",""),"D",""),"E",""),"F",""),"G",""),"H",""),"I",""),"J",""),"K",""),"L",""),"M",""),"N",""),"O",""),"P",""),"Q",""),"R",""),"S",""),"T",""),"U",""),"V",""),"W",""),"X",""),"Y",""),"Z",""),"0",""),"1",""),"2",""),"3",""),"4",""),"5",""),"6",""),"7",""),"8",""),"9",""),":",""),"(",""),")",""),"[",""),"]","")," ",""))</f>
        <v/>
      </c>
      <c r="AL70" s="637" t="str">
        <f ca="1">UPPER(IF(DATE.RDV.TV&lt;&gt;"JEUDI","",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B$70,"DEPASSE ","¤¤"),"A",""),"B",""),"C",""),"D",""),"E",""),"F",""),"G",""),"H",""),"I",""),"J",""),"K",""),"L",""),"M",""),"N",""),"O",""),"P",""),"Q",""),"R",""),"S",""),"T",""),"U",""),"V",""),"W",""),"X",""),"Y",""),"Z",""),"1",""),"2",""),"3",""),"4",""),"5",""),"6",""),"7",""),"8",""),"9",""),"0",""),"-",""),"(",""),")",""),"{",""),"}",""),"=",""),"[",""),"]",""),"#",""),"+",""),":",""),"/",""),"'",""),".","")," &amp; ","")," ° ",""))))</f>
        <v/>
      </c>
      <c r="AM70" s="837" t="str">
        <f ca="1">UPPER(IF(DATE.RDV.TV&lt;&gt;"JEUDI","",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C$70,"CHAMPIONNAT","¤"),"LDC","¤¤"),"UEFA","¤¤¤"),"FRANCE","¤¤¤¤"),"LIGUE","¤¤¤¤¤"),"GP","¤¤¤¤¤¤"),"MONDIAL","¤¤¤¤¤¤¤"),"EURO","¤¤¤¤¤¤¤¤"),"CONFEDERATIONS","¤¤¤¤¤¤¤¤¤"),"A",""),"B",""),"C",""),"D",""),"E",""),"F",""),"G",""),"H",""),"I",""),"J",""),"K",""),"L",""),"M",""),"N",""),"O",""),"P",""),"Q",""),"R",""),"S",""),"T",""),"U",""),"V",""),"W",""),"X",""),"Y",""),"Z",""),"1",""),"2",""),"3",""),"4",""),"5",""),"6",""),"7",""),"8",""),"9",""),"0",""),"-",""),"(",""),")",""),"{",""),"}",""),"=",""),"[",""),"]",""),"#",""),"+",""),":",""),"/",""),"'",""),".","")," &amp; ","")," ° ",""),"~",""))))</f>
        <v/>
      </c>
      <c r="AN70" s="1607" t="str">
        <f ca="1">IF(TABLEAU!$B$70=TABLEAU!$B$69,"",IF(OR(TABLEAU!$A$70="#DEPASSE#",TABLEAU!$P$70="#DEPASSE#"),TABLEAU!$B$70,""))</f>
        <v/>
      </c>
      <c r="AO70" s="1608"/>
      <c r="AP70" s="1608"/>
      <c r="AQ70" s="1608"/>
      <c r="AR70" s="1608"/>
      <c r="AS70" s="1608"/>
      <c r="AT70" s="1608"/>
      <c r="AU70" s="1608"/>
      <c r="AV70" s="1608"/>
      <c r="AW70" s="1608"/>
      <c r="AX70" s="1609"/>
      <c r="AY70" s="1243">
        <f ca="1">IF(AND(TABLEAU!$C$70&lt;&gt;"",TABLEAU!$B$70=""),1,0)</f>
        <v>0</v>
      </c>
      <c r="AZ70" s="2576"/>
      <c r="BA70" s="2577"/>
    </row>
    <row r="71" spans="1:53" ht="12" customHeight="1">
      <c r="A71" s="1508" t="str">
        <f ca="1">IF(TABLEAU!$B$71="","",IF(OR(TABLEAU!$AL$71="¤¤",TABLEAU!$P$71&lt;&gt;""),"#DEPASSE#",SUBSTITUTE(IF(OR(VENDREDI.1="",TABLEAU!$C$71=""),"",IF(AND(TODAY="VENDREDI",HOUR((H.M))&gt;HOUR(VENDREDI.1),MINUTE((H.M))&gt;MINUTE(VENDREDI.1)),"",IF(TODAY&lt;&gt;"VENDREDI","",IF(HOUR(TABLEAU!$I$71)&gt;0,CONCATENATE("DANS ",HOUR(TABLEAU!$I$71),"H",TABLEAU!$N$71),CONCATENATE("DANS ",HOUR(TABLEAU!$I$71),"H",TABLEAU!$N$71," MIN")))))," 0H"," ")))</f>
        <v/>
      </c>
      <c r="B71" s="1511" t="str">
        <f ca="1">SUBSTITUTE(SUBSTITUTE(SUBSTITUTE(IF(OR(TABLEAU!$C71,TABLEAU!$D71=""),"",SUBSTITUTE(SUBSTITUTE(SUBSTITUTE(SUBSTITUTE(SUBSTITUTE(SUBSTITUTE(SUBSTITUTE(SUBSTITUTE(SUBSTITUTE(SUBSTITUTE(SUBSTITUTE(SUBSTITUTE(SUBSTITUTE(SUBSTITUTE(SUBSTITUTE(SUBSTITUTE(SUBSTITUTE(SUBSTITUTE(SUBSTITUTE(SUBSTITUTE(SUBSTITUTE(SUBSTITUTE(SUBSTITUTE(SUBSTITUTE(IF(TABLEAU!$C71="","",SUBSTITUTE(IF(TABLEAU!$AE71="",TABLEAU!$U71,TABLEAU!$AE71),CONCATENATE(CVB,YEAR(A)," "),""))," #"," "),"] &amp; D","]# &amp; #D")," &amp; (A",CONCATENATE("# &amp; #",TABLEAU!$H71,"A")),"&amp; DEPASSE","&amp; #DEPASSE"),"## &amp; #A","# &amp; #(A"),"DANS MAINTENANT","MAINTENANT"),CONCATENATE(" H",TABLEAU!$N71),CONCATENATE(" ",TABLEAU!$N71," MIN"))," 0"," "),"] &amp;D","]# &amp; #D"),"}  MIN","} H"),"# &amp; D","# &amp; #D"),CONCATENATE("#MAINTENANT (A ",TABLEAU!$Z71,"): MAINTENANT"),"#MAINTENANT"),TABLEAU!$AB$2,""),TABLEAU!$AM$5,"")," MINAMILTON","HAMILTON"),CONCATENATE(TABLEAU!$Z71," ",TABLEAU!$Z71),TABLEAU!$Z71),"DEPUIS  MINIER","DEPUIS HIER"),"MINONGRIE","HONGRIE"),"#DANS (#DEPASSE","#DEPASSE"),CONCATENATE(" ",YEAR(A)),""),"]= [","= ["),")])",")]"),"#DEPASSE DEPUISDANS","#DANS"),"(A 1A ):",CONCATENATE("(A ",HOUR(TABLEAU!$D71),"H",TABLEAU!$F71,"):"))),"SUR "," SUR "),"  SUR "," SUR "),CONCATENATE("DEPASSE DEPUIS ",TABLEAU!$M71," (A DANS"),"DANS")</f>
        <v>#DANS 6 JOURS (VENDREDI 8 NOVEMBRE A 18H50 SUR TFX): [TELE-REALITE]#</v>
      </c>
      <c r="C71" s="629" t="s">
        <v>169</v>
      </c>
      <c r="D71" s="630">
        <v>0.78472222222222221</v>
      </c>
      <c r="E71" s="2655">
        <f>IF(TABLEAU!$D71="","",IF(TABLEAU!$D71="23:59","",HOUR(TABLEAU!$D71)))</f>
        <v>18</v>
      </c>
      <c r="F71" s="2656" t="str">
        <f>IF(OR(TABLEAU!$D$71="",TABLEAU!$D$71="23:59"),"59",IF(MINUTE(TABLEAU!$D$71)&lt;10,CONCATENATE("0",MINUTE(TABLEAU!$D$71)),CONCATENATE(MINUTE(TABLEAU!$D$71))))</f>
        <v>50</v>
      </c>
      <c r="G71" s="589" t="str">
        <f ca="1">UPPER(SUBSTITUTE(SUBSTITUTE(SUBSTITUTE(IF(TABLEAU!$D$71="","",SUBSTITUTE(SUBSTITUTE(SUBSTITUTE(SUBSTITUTE(SUBSTITUTE(SUBSTITUTE(SUBSTITUTE(SUBSTITUTE(SUBSTITUTE(SUBSTITUTE(SUBSTITUTE(SUBSTITUTE(SUBSTITUTE(SUBSTITUTE(SUBSTITUTE(IF(OR(TABLEAU!$D$71="",TABLEAU!$C$71=""),"",IF(AND(TODAY="VENDREDI",HOUR((H.M))&gt;HOUR(TABLEAU!$D$71),MINUTE((H.M))&gt;MINUTE(TABLEAU!$D$71)),CONCATENATE("#DEPASSE DEPUIS",TABLEAU!$M$71," ",TABLEAU!$C$71,"#"),IF(TABLEAU!$P$71&lt;&gt;"",CONCATENATE("#DEPASSE DEPUIS",TABLEAU!$M$71," ",TABLEAU!$C$71,"#"),IF(TODAY&lt;&gt;"VENDREDI",CONCATENATE("#",VENDREDI.DANS," (VENDREDI ",DAY(VENDREDI.DATE)," ",LOOKUP(MONTH(VENDREDI.DATE),MOIS)," A ",HOUR(TABLEAU!$D$71),"H",TABLEAU!$F$71,"): ",TABLEAU!$C$71,"#"),CONCATENATE("#",TABLEAU!$L$71," (A ",TABLEAU!$Z$71,"): ",SUBSTITUTE(TABLEAU!$C$71,"#",""),"#"))))),CONCATENATE(LOOKUP(MONTH(VENDREDI.DATE),MOIS)," (A"),CONCATENATE(LOOKUP(MONTH(VENDREDI.DATE),MOIS)," A")),"##","#"),CONCATENATE("#DEPASSE DEPUIS  (A ): ",TABLEAU!$C$71,"#"),""),CONCATENATE("(A ",TABLEAU!$E$71,"H",TABLEAU!$X$71,"): "),""),CONCATENATE(TABLEAU!$L$71," DEPUIS"),"DEPASSE DEPUIS"),CONCATENATE("A ",HOUR(TABLEAU!$D$71),"H",TABLEAU!$F$71,"): (A ",HOUR(TABLEAU!$D$71),"H",TABLEAU!$F$71),CONCATENATE("A ",HOUR(TABLEAU!$D$71),"H",TABLEAU!$F$71)),"#DEPASSEDEPASSE","#DEPASSE"),"# (",CONCATENATE("#",TABLEAU!$H$71)),CONCATENATE("A ",SUBSTITUTE(TABLEAU!$M$33,":","H"),"): ~ (A ",SUBSTITUTE(TABLEAU!$M$33,":","H")),CONCATENATE("A ",SUBSTITUTE(TABLEAU!$M$33,":","H"))),CONCATENATE("#DEPASSE ",TABLEAU!$M$71,"#D"),"#D")," D"," #D"),"#DEPUIS","DEPUIS"),"COURS ","COURS# "),"#DE ","DE "),"GP #D","GP D")),"# &amp; #",CONCATENATE("# &amp; #DEPASSE DEPUIS",TABLEAU!$M$71," ")),"] &amp; (",CONCATENATE("]# &amp; DANS ",TABLEAU!$AH$71," ("))," 0"," "))</f>
        <v>#DANS 6 JOURS (VENDREDI 8 NOVEMBRE A 18H50 SUR TFX): [TELE-REALITE]#</v>
      </c>
      <c r="H71" s="563" t="str">
        <f ca="1">SUBSTITUTE(IF(OR(DATE.RDV.TV&lt;&gt;"VENDREDI",TABLEAU!$C$71=""),"",IF(HOUR(TABLEAU!$I$71)=0,CONCATENATE("DANS ",TABLEAU!$N$71," MIN ("),CONCATENATE("DANS ",HOUR(TABLEAU!$I$71),"H",TABLEAU!$N$71," ("))),"DANS  MIN (","")</f>
        <v/>
      </c>
      <c r="I71" s="339" t="str">
        <f ca="1">IF(OR(TODAY&lt;&gt;"VENDREDI",TABLEAU!$C$71=""),"",IF(OR(TABLEAU!$D$71="",TABLEAU!$P$71="#DEPASSE#",TODAY&lt;&gt;"VENDREDI"),0,IF(HOUR((H.M))&gt;HOUR(TABLEAU!$D$71),0,TABLEAU!$D$71-H.M)))</f>
        <v/>
      </c>
      <c r="J71" s="340" t="str">
        <f ca="1">SUBSTITUTE(SUBSTITUTE(SUBSTITUTE(IF(TABLEAU!$I$71="","",SUBSTITUTE(SUBSTITUTE(SUBSTITUTE(SUBSTITUTE(SUBSTITUTE(SUBSTITUTE(SUBSTITUTE(SUBSTITUTE(SUBSTITUTE(SUBSTITUTE(SUBSTITUTE(SUBSTITUTE(SUBSTITUTE(SUBSTITUTE(SUBSTITUTE(SUBSTITUTE(SUBSTITUTE(SUBSTITUTE(SUBSTITUTE(SUBSTITUTE(IF(DATE.DEPASSE&lt;0,TABLEAU!$U$71,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G71,"  "," "),CONCATENATE("(A ",TABLEAU!$Z$71,"): (A ",TABLEAU!$Z$71),CONCATENATE("(A ",TABLEAU!$Z$71)),CONCATENATE("#DEPASSE",TABLEAU!$M$71,"#DEPASSE",TABLEAU!$M$71),CONCATENATE("#DEPASSE",TABLEAU!$M$71)),CONCATENATE("#DEPASSE",TABLEAU!$L$71,"DEPASSE"),"#DEPASSE"),CONCATENATE(TABLEAU!$L$71," (A ",TABLEAU!$Z$71,"): DEPUIS"),"DEPASSE DEPUIS")," 1 "," 1ER "),"DEPASSE DEPUIS DEPASSE DEPUIS","DEPASSE DEPUIS"),CONCATENATE("DEPASSE ",TRIM(TABLEAU!$L$71)," DEPASSE ",TRIM(TABLEAU!$L$71)),CONCATENATE("DEPASSE ",TRIM(TABLEAU!$L$71))),"1ER MIN","1 MIN"),"1ER ERREUR","1 ERREUR"),CONCATENATE("(A ",TABLEAU!$Z$71,"): (A ",TABLEAU!$E$71,":",TABLEAU!$F$71),CONCATENATE("(A ",TABLEAU!$Z$71))," (A ):",""),"DEPASSE DEPUIS (",TABLEAU!$H$71),"] &amp; D","]# &amp; #D"),CONCATENATE("#DEPASSE",TABLEAU!$M$71,"DEPASSE"),"#DEPASSE")," [","): ["),"):):","):"),"DEPUIS ",TABLEAU!$L$71),CONCATENATE(SUBSTITUTE(TABLEAU!$M$71,"DEPUIS ",""))," "),"DEPUIS",CONCATENATE(TABLEAU!$M$71," (",VENDREDI.VERIFIER," A ")),SUBSTITUTE(TABLEAU!$M$71,"DEPUIS","A"),""),"DEPASSE  ","DEPASSE"),"  A "," A"),"  "," "),TRIM(SUBSTITUTE(TABLEAU!$M$71," DEPUIS ","A ")),"EEE"),"EEE",CONCATENATE("A ",TABLEAU!$Z$71)),CONCATENATE("DEPASSE ",TABLEAU!$L$71,"HIER"),"DEPASSE DEPUIS HIER"),"DEPASSEDEPASSE","DEPASSE DEPUIS "),CONCATENATE(" A ",TABLEAU!$Z$59," (A ",TABLEAU!$Z$59),CONCATENATE(" A ",TABLEAU!$Z$59)),CONCATENATE("A ",TABLEAU!$Z$71," ",TABLEAU!$C$71),TABLEAU!$C$71),CONCATENATE(MOIS.MAINTENANT.2," (A"),CONCATENATE(MOIS.MAINTENANT.2," A")),"#DEPASSE #DEPASSEDEPUIS","#DEPASSE DEPUIS"),"A (A","A"),CONCATENATE(TABLEAU!$L$71," DEPASSE"),"DEPASSE"),"DEPASSE (",CONCATENATE("DEPASSE DEPUIS ",TABLEAU!$Q$71," (")),"''MIN","MIN"),"=):","]="),CONCATENATE("#DEPASSE ",TABLEAU!$Q$71),CONCATENATE("#DEPASSE DEPUIS ",TABLEAU!$Q$71)),"DEPASSE","DEPASSE DEPUIS"),"DEPUIS DEPUIS","DEPUIS")),"US A","USA"),CONCATENATE("DEPASSE DEPUIS ",TABLEAU!$Q$71,"DEPASSE DEPUIS ",TABLEAU!$Q$71),CONCATENATE("DEPASSE DEPUIS ",TABLEAU!$Q$71)),CONCATENATE("#DEPASSE DEPUIS ",TABLEAU!$Q$71," #DEPASSE DEPUIS ",TABLEAU!$Q$71),CONCATENATE("#DEPASSE DEPUIS ",TABLEAU!$Q$71)),"#DEPASSE DEPUIS #DEPASSE DEPUIS","#DEPASSE DEPUIS"),CONCATENATE("): ",VENDREDI.DANS," (A ",TABLEAU!$E$71,"H",TABLEAU!$F$71),"")," &amp; D"," &amp; #D"),CONCATENATE(VENDREDI.DANS," (VENDREDI ",DAY(VENDREDI.DATE)," ",LOOKUP(MONTH(VENDREDI.DATE),MOIS)," A ",TABLEAU!$E$71,"H",TABLEAU!$F$71,"): DANS"),"DANS"),CONCATENATE(VENDREDI.DANS," (VENDREDI ",DAY(VENDREDI.DATE)," ",LOOKUP(MONTH(VENDREDI.DATE),MOIS)," A ",TABLEAU!$E$71,"H",TABLEAU!$F$71,"): ",VENDREDI.DANS,"= ",TABLEAU!$AN$23,"(A ",TABLEAU!$E$71,"H",TABLEAU!$F$71),CONCATENATE(VENDREDI.DANS,"= ",TABLEAU!$AN$23," (VENDREDI ",DAY(VENDREDI.DATE)," ",LOOKUP(MONTH(VENDREDI.DATE),MOIS)," A ",TABLEAU!$E$71,"H",TABLEAU!$F$71)),CONCATENATE(VENDREDI.DANS," (VENDREDI ",DAY(VENDREDI.DATE)," ",LOOKUP(MONTH(VENDREDI.DATE),MOIS)," A ",TABLEAU!$E$71,"H",TABLEAU!$F$71,"): DANS"),"DANS"),"# (",CONCATENATE("#",TABLEAU!$H$71)),"DANS 0","DANS "),"# ~ ",CONCATENATE("#",FICHIER.A.MODIFIER," ~ ")),CONCATENATE("A ",SUBSTITUTE(TABLEAU!$M$33,":","H"),"): ~ (A ",SUBSTITUTE(TABLEAU!$M$33,":","H")),CONCATENATE("A ",SUBSTITUTE(TABLEAU!$M$33,":","H"))),CONCATENATE("(A ",TABLEAU!$Z$71,"): ~ (A"),"(A"),"DANS 0 MIN","MAINTENANT"),"DEPUIS(",CONCATENATE("DEPUIS ",TABLEAU!$M$71," (")),"DEPUIS DEPUIS  (A",CONCATENATE("DEPUIS ",TABLEAU!$M$71," (A")),"(A 1 ",CONCATENATE("(A ",TABLEAU!$E$71,":00")),"#A",CONCATENATE("#DANS ",HOUR(TABLEAU!$I$71),"H",TABLEAU!$N$71," (A")),"DEPUIS DEPUIS",CONCATENATE("DEPUIS ",TABLEAU!$M$71))),"]#D","]# &amp; #D"),"DEPUIS =",CONCATENATE("DEPUIS ",TABLEAU!$M$71)),"DANS  MAINTENANT","MAINTENANT")</f>
        <v/>
      </c>
      <c r="K71" s="194" t="str">
        <f ca="1">TRIM(SUBSTITUTE(SUBSTITUTE(SUBSTITUTE(SUBSTITUTE(SUBSTITUTE(SUBSTITUTE(SUBSTITUTE(SUBSTITUTE(SUBSTITUTE(TABLEAU!$O$71,CONCATENATE("): (",TABLEAU!$W$71),""),CONCATENATE("A ",TABLEAU!$E$71,"H",TABLEAU!$X$71,"): ("),""),"(SUR",CONCATENATE("(A ",TABLEAU!$E$71,"H",TABLEAU!$X$71," SUR"))," &amp; (",CONCATENATE(" &amp; ",TABLEAU!$L$71," (")),"AUJOURD'HUI",""),"##","#"),"1ER MIN","1 MIN"),CONCATENATE("DEPASSE ",TRIM(TABLEAU!$L$71)," DEPASSE"),"DEPASSE")," (A ):",""))</f>
        <v/>
      </c>
      <c r="L71" s="229" t="str">
        <f ca="1">UPPER(IF(TABLEAU!$P$71&lt;&gt;"","",IF(TABLEAU!$P$71="","",IF(TABLEAU!$AM$71&lt;&gt;"","#DEPASSE DEPUIS ",IF(TODAY&lt;&gt;"VENDREDI","",IF(COUNTIF(ENCOURS,"#EN COURS#")&lt;&gt;0,"MAINTENANT",SUBSTITUTE(SUBSTITUTE(SUBSTITUTE(IF(OR(TABLEAU!$C$71="",TABLEAU!$D$71=""),"",IF(HOUR(TABLEAU!$I$71)=0,CONCATENATE("DANS ",TABLEAU!$N$71," MIN"),CONCATENATE("DANS ",HOUR(TABLEAU!$I$71),"H",TABLEAU!$N$71))),"DANS 0","DANS "),"DANS  MIN",TABLEAU!$M$71),"DANS 0 MIN","MAINTENANT")))))))</f>
        <v/>
      </c>
      <c r="M71" s="229" t="str">
        <f ca="1">IF(TODAY&lt;&gt;"VENDREDI","",SUBSTITUTE(IF(TABLEAU!$D$71="","",IF(TABLEAU!$AF$71=" ","",IF(TABLEAU!$D$71-H.M&gt;0,"",IF(AND(HOUR(TABLEAU!$AF$71)&gt;0,MINUTE(TABLEAU!$AF$71)&lt;10),CONCATENATE(" ",HOUR(TABLEAU!$AF$71),"H0",MINUTE(TABLEAU!$AF$71)),IF(AND(HOUR(TABLEAU!$AF$71)&gt;0,MINUTE(TABLEAU!$AF$71)&gt;9),CONCATENATE(" ",HOUR(TABLEAU!$AF$71),"H",MINUTE(TABLEAU!$AF$71)),CONCATENATE(" 0",MINUTE(TABLEAU!$AF$71)," MIN"))))))," 0",""))</f>
        <v/>
      </c>
      <c r="N71" s="266" t="str">
        <f ca="1">IF(TABLEAU!$D$71="","",IF(OR(TABLEAU!$C$71="",TODAY&lt;&gt;"VENDREDI"),"",IF(TABLEAU!$P$71="#DEPASSE#","",IF(HOUR((H.M))&gt;HOUR(TABLEAU!$D$71),"",IF(MINUTE(TABLEAU!$I$71)&lt;10,CONCATENATE("0",MINUTE(TABLEAU!$I$71)),MINUTE(TABLEAU!$I$71))))))</f>
        <v/>
      </c>
      <c r="O71" s="195" t="str">
        <f ca="1">UPPER(SUBSTITUTE(SUBSTITUTE(SUBSTITUTE(SUBSTITUTE(SUBSTITUTE(SUBSTITUTE(SUBSTITUTE(SUBSTITUTE(SUBSTITUTE(TABLEAU!$J$71,"DANS 0H","DANS "),"DANS 0","DANS "),CONCATENATE("(A ",TABLEAU!$E$71,"H",TABLEAU!$X$71,"): (",LOOKUP(WEEKDAY(VENDREDI.DATE),SEMAINE)," ",DAY(VENDREDI.DATE)," ",LOOKUP(MONTH(VENDREDI.DATE),MOIS)," A 20H00): "),CONCATENATE(TABLEAU!$L$71," (A ",TABLEAU!$E$71,"H",TABLEAU!$X$71,")")),"DEPUIS 0","DEPUIS "),"&amp; A","&amp; (A"),CONCATENATE("(",NBA),""),"#DEPASSE DEPUIS (A","(A"),"DANS  MAINTENANT","MAINTENANT"),"] &amp; #","]# &amp; #"))</f>
        <v/>
      </c>
      <c r="P71" s="212" t="str">
        <f ca="1">IF(OR(TABLEAU!$D$71="",TODAY&lt;&gt;"VENDREDI"),"",IF(AND(HOUR((H.M))=HOUR(TABLEAU!$D$71),MINUTE((H.M))&gt;MINUTE(TABLEAU!$D$71)),"#DEPASSE#",IF(HOUR((H.M))&gt;HOUR(TABLEAU!$D$71),"#DEPASSE#","")))</f>
        <v/>
      </c>
      <c r="Q71" s="213" t="str">
        <f ca="1">IF(OR(TABLEAU!$P$71="",TABLEAU!$S$71=""),"",IF(AND(HOUR(TABLEAU!$S$71)&gt;0,MINUTE(TABLEAU!$S$71)&lt;10),CONCATENATE(HOUR(TABLEAU!$S$71),"H0",MINUTE(TABLEAU!$S$71)),IF(AND(HOUR(TABLEAU!$S$71)=0,MINUTE(TABLEAU!$S$71)&lt;10),CONCATENATE(MINUTE(TABLEAU!$S$71)," MIN"),IF(AND(HOUR(TABLEAU!$S$71)&gt;0,MINUTE(TABLEAU!$S$71)&gt;9),CONCATENATE(HOUR(TABLEAU!$S$71),"H",MINUTE(TABLEAU!$S$71)),CONCATENATE(MINUTE(TABLEAU!$S$71)," MIN")))))</f>
        <v/>
      </c>
      <c r="R71" s="213" t="str">
        <f ca="1">UPPER(IF(OR(TABLEAU!$C$71="",TODAY&lt;&gt;"VENDREDI"),"",IF(OR(TABLEAU!$D$71="",TABLEAU!$D$71="23:59",TABLEAU!$C$71=""),"",IF(AND(TODAY="VENDREDI",HOUR(TABLEAU!$I$71)&lt;1,MINUTE(TABLEAU!$I$71)&lt;5,TABLEAU!$I$71&lt;&gt;"",TABLEAU!$I$71&lt;&gt;0),"BIENTOT",""))))</f>
        <v/>
      </c>
      <c r="S71" s="617" t="str">
        <f ca="1">IF(TABLEAU!$D$71="","",IF(TODAY&lt;&gt;"VENDREDI","",IF((H.M)&gt;TABLEAU!$D$71,"",(H.M)-TABLEAU!$D$71)))</f>
        <v/>
      </c>
      <c r="T71" s="2304">
        <f ca="1">IF(TODAY="JEUDI",A+1,IF(TODAY="VENDREDI",A,IF(TODAY="SAMEDI",A+6,IF(TODAY="DIMANCHE",A+5,IF(TODAY=TABLEAU!$K$3,A+4,IF(TODAY="MARDI",A+3,IF(TODAY="MERCREDI",A+2)))))))</f>
        <v>43777</v>
      </c>
      <c r="U71" s="194" t="str">
        <f ca="1">UPPER(TRIM(SUBSTITUTE(SUBSTITUTE(SUBSTITUTE(SUBSTITUTE(SUBSTITUTE(SUBSTITUTE(SUBSTITUTE(SUBSTITUTE(SUBSTITUTE(SUBSTITUTE(SUBSTITUTE(SUBSTITUTE(SUBSTITUTE(SUBSTITUTE(SUBSTITUTE(SUBSTITUTE(SUBSTITUTE(SUBSTITUTE(IF(TABLEAU!$D$71="","",SUBSTITUTE(SUBSTITUTE(SUBSTITUTE(SUBSTITUTE(SUBSTITUTE(SUBSTITUTE(SUBSTITUTE(SUBSTITUTE(SUBSTITUTE(SUBSTITUTE(SUBSTITUTE(SUBSTITUTE(SUBSTITUTE(SUBSTITUTE(SUBSTITUTE(IF(OR(TABLEAU!$C$71="",TABLEAU!$D$71=""),"",IF(AND(TODAY="VENDREDI",TABLEAU!$P$71&lt;&gt;""),CONCATENATE("#DEPASSE DEPUIS ",TABLEAU!$M$71," ",TABLEAU!$W$71,"#"),CONCATENATE("#",VENDREDI.DANS," ",TABLEAU!$H$71,TABLEAU!$C$71,"#"))),": =",":"),CONCATENATE(NBA,"("),""),CONCATENATE(LOOKUP(MONTH(VENDREDI.DATE),MOIS)," (A"),CONCATENATE(LOOKUP(MONTH(VENDREDI.DATE),MOIS)," A")),"1ER MIN","1 MIN"),"((","("),"##","#"),"# ","#"),CONCATENATE("#",TABLEAU!$H$71,"DEPUIS"),"#DEPASSE DEPUIS"),"DEMAIN (",CONCATENATE("DEMAIN (VENDREDI ",DAY(VENDREDI.DATE)," ",LOOKUP(MONTH(VENDREDI.DATE),MOIS)," ")),"JOURS (A ",CONCATENATE("JOURS (VENDREDI ",DAY(VENDREDI.DATE)," ",LOOKUP(MONTH(VENDREDI.DATE),MOIS)," A ")),"(A","(VENDREDI A"),"DANS 00 MIN","DANS "),"DANS 0","DANS "),"#&amp;","# &amp; "),"JOURS [",CONCATENATE("JOURS (",LOOKUP(WEEKDAY(VENDREDI.DATE),SEMAINE)," ",DAY(VENDREDI.DATE)," ",LOOKUP(MONTH(VENDREDI.DATE),MOIS)," A ",HOUR(TABLEAU!$D$71),"H",TABLEAU!$F$71,"): ["))),CONCATENATE(VENDREDI.DANS," ",VENDREDI.DANS),CONCATENATE(" ",VENDREDI.DANS)),"# ","#"),"#&amp; #","# &amp; #"),"US A","USA"),"(~ ("," ~ ("),"VENDREDI A ","A "),CONCATENATE("#",TABLEAU!$H$71,TABLEAU!$W$71),TABLEAU!$W$71),"DEMAINDANS","DEMAIN DANS"),"''(","'' ("),CONCATENATE("#DANS ",TRIM(TABLEAU!$AH$71)," (#DEPASSE "),"#DEPASSE "),"]#D","]# &amp; #D"),"(MATCH","MATCH"),"COURS &amp; D","COURS# &amp; #D"),"#&amp; ","# &amp; #"),"# &amp; # ","# &amp; #"),CONCATENATE("#DEPASSE DEPUIS ",TABLEAU!$M$71," #"),"#"),"# &amp; ##","# &amp; #"),"DANS  (MAINTENANT","MAINTENANT")))</f>
        <v>#DANS 6 JOURS (VENDREDI 8 NOVEMBRE A 18H50 SUR TFX): [TELE-REALITE]#</v>
      </c>
      <c r="V71" s="194" t="str">
        <f ca="1">UPPER(TRIM(SUBSTITUTE(SUBSTITUTE(IF(OR(TABLEAU!$C$71="",TABLEAU!$D$71="",VENDREDI.DANS&lt;&gt;""),"",TABLEAU!$J$71),JOUR.PLUS,""),"DANS  MAINTENANT","MAINTENANT")))</f>
        <v/>
      </c>
      <c r="W71" s="226" t="str">
        <f>UPPER(IF(TABLEAU!$C$71=0,"",TABLEAU!$C$71))</f>
        <v>(A 18H50 SUR TFX): [TELE-REALITE]</v>
      </c>
      <c r="X71" s="783"/>
      <c r="Y71" s="229" t="str">
        <f ca="1">IF(OR(TODAY&lt;&gt;"VENDREDI",TABLEAU!$C$71=""),"",IF(OR(TABLEAU!$C$71="",TABLEAU!$D$71=""),"",HOUR(TABLEAU!$D$71)))</f>
        <v/>
      </c>
      <c r="Z71" s="229" t="str">
        <f ca="1">IF(TABLEAU!$AM$71&lt;&gt;""," ",IF(OR(TODAY&lt;&gt;"VENDREDI",TABLEAU!$C$71="",TABLEAU!$D$71="")," ",IF(MINUTE(TABLEAU!$D$71)&lt;10,CONCATENATE(HOUR(TABLEAU!$D$71),"H0",MINUTE(TABLEAU!$D$71)),IF(MINUTE(TABLEAU!$D$71)&gt;9,CONCATENATE(HOUR(TABLEAU!$D$71),"H",MINUTE(TABLEAU!$D$71))))))</f>
        <v xml:space="preserve"> </v>
      </c>
      <c r="AA71" s="242" t="str">
        <f ca="1">TRIM(SUBSTITUTE(SUBSTITUTE(SUBSTITUTE(SUBSTITUTE(IF(TABLEAU!$P$71="#DEPASSE#",TABLEAU!$AB$71,TABLEAU!$U$71),"# ","#"),"#&amp; #","# &amp; #"),"DANS (MAINTENANT","MAINTENANT"),SUBSTITUTE(SUBSTITUTE(CONCATENATE("#",TABLEAU!$H$71,"",TABLEAU!$H$71)," 0"," ")," 0"," "),SUBSTITUTE(TABLEAU!$H$71," 0"," ")))</f>
        <v>DANS 6 JOURS (VENDREDI 8 NOVEMBRE A 18H50 SUR TFX): [TELE-REALITE]</v>
      </c>
      <c r="AB71" s="229" t="str">
        <f ca="1">UPPER(TRIM(SUBSTITUTE(SUBSTITUTE(SUBSTITUTE(SUBSTITUTE(SUBSTITUTE(SUBSTITUTE(TABLEAU!$K71,CONCATENATE(LOOKUP(MONTH(A),MOIS)," (A"),CONCATENATE(LOOKUP(MONTH(A),MOIS)," A ")),CONCATENATE(LOOKUP(MONTH(A)+1,MOIS)," (A"),CONCATENATE(LOOKUP(MONTH(A)+1,MOIS)," A ")),CONCATENATE("(",YEAR(VENDREDI.DATE)),""),"] &amp; DANS","]# &amp; #DANS"),"DANS MAINTENANT","MAINTENANT"),SUBSTITUTE(CONCATENATE("#",SUBSTITUTE(TABLEAU!$H$71,"(",""),"#",TABLEAU!$H$71)," 0"," "),SUBSTITUTE(TABLEAU!$H$71," 0"," "))))</f>
        <v/>
      </c>
      <c r="AC71" s="694" t="str">
        <f ca="1">SUBSTITUTE(IF(AND(TABLEAU!$P$71="#DEPASSE#",TABLEAU!$U$71=TABLEAU!$AM$1),TABLEAU!$B$33,IF(TABLEAU!$P$71="#DEPASSE#",TABLEAU!$U$71,"")),CONCATENATE(DATE.RDV.TV," A "),"A ")</f>
        <v/>
      </c>
      <c r="AD71" s="1593" t="str">
        <f ca="1">CONCATENATE(LOOKUP(WEEKDAY(VENDREDI.DATE),SEMAINE)," ",DAY(VENDREDI.DATE)," ",LOOKUP(MONTH(VENDREDI.DATE),MOIS)," ")</f>
        <v xml:space="preserve">VENDREDI 8 NOVEMBRE </v>
      </c>
      <c r="AE71" s="195" t="str">
        <f ca="1">UPPER(TRIM(SUBSTITUTE(SUBSTITUTE(SUBSTITUTE(SUBSTITUTE(SUBSTITUTE(SUBSTITUTE(SUBSTITUTE(SUBSTITUTE(SUBSTITUTE(SUBSTITUTE(SUBSTITUTE(SUBSTITUTE(SUBSTITUTE(SUBSTITUTE(SUBSTITUTE(SUBSTITUTE(SUBSTITUTE(SUBSTITUTE(SUBSTITUTE(SUBSTITUTE(SUBSTITUTE(SUBSTITUTE(SUBSTITUTE(SUBSTITUTE(IF(TABLEAU!$P$71="#DEPASSE#",TABLEAU!$J$71,IF(TABLEAU!$C$71="","",TRIM(SUBSTITUTE(SUBSTITUTE(SUBSTITUTE(SUBSTITUTE(SUBSTITUTE(SUBSTITUTE(SUBSTITUTE(IF(TABLEAU!$L$71="#DEPASSE DEPUIS ",MODIF,IF(TABLEAU!$I$71=SUBSTITUTE(DEPP,"#",""),DEPP,SUBSTITUTE(SUBSTITUTE(SUBSTITUTE(SUBSTITUTE(SUBSTITUTE(SUBSTITUTE(SUBSTITUTE(SUBSTITUTE(SUBSTITUTE(SUBSTITUTE(SUBSTITUTE(SUBSTITUTE(SUBSTITUTE(SUBSTITUTE(SUBSTITUTE(SUBSTITUTE(SUBSTITUTE(SUBSTITUTE(TABLEAU!$AB$71,CONCATENATE(TABLEAU!$K71," A "),CONCATENATE(TABLEAU!$K71," (A ")),"JANVIER (","JANVIER "),"FEVRIER (","FEVRIER "),"MARS (","MARS "),"AVRIL (","AVRIL "),"MAI (","MAI "),"JUIN (","JUIN "),"JUILLET (","JUILLET "),"AOUT (","AOUT "),"SEPTEMBRE (","SEPTEMBRE "),"OCTOBRE (","OCTOBRE "),"NOVEMBRE (","NOVEMBRE "),"DECEMBRE (","DECEMBRE "),CONCATENATE(" &amp; ",TABLEAU!$K71," (")," &amp; "),CONCATENATE(" &amp;",TABLEAU!$L$71,"(")," &amp; ")," &amp; ("," &amp; "),CONCATENATE(TABLEAU!$K71," (A ",TABLEAU!$AC$71,"): HIER"),"DEPASSE DEPUIS HIER")," &amp; A"," &amp; (A"))),"(A ",CONCATENATE("(",DATE.RDV.TV," A ")),"((","("),CONCATENATE(DATE.RDV.TV," ("),""),CONCATENATE(DATE.RDV.TV," A "),"A "),CONCATENATE(YEAR(A)," (A"),"A"),CONCATENATE(TABLEAU!$L$71," (DEPASSE"),"DEPASSE"),CONCATENATE("DEPASSE",TABLEAU!$L$71,"(",LOOKUP(WEEKDAY(VENDREDI.DATE),SEMAINE)," ",DAY(VENDREDI.DATE)," ",LOOKUP(MONTH(VENDREDI.DATE),MOIS)," A"),"DEPASSE DEPUIS")))),"#&amp; ","# &amp; #"),"DANS (A","MAINTENANT (A"),"DANS (MATCH","DANS MATCH"),CONCATENATE("(DEMAIN= ",DIF.L1," ~ "),""),CONCATENATE("(DEMAIN= ",DIF.LDC," ~ "),""),CONCATENATE("(DEMAIN= ",DIF.UEFA," ~ "),""),CONCATENATE("(DEMAIN= ",DIF.FRANCE," ~ "),""),CONCATENATE("(DEMAIN= ",DIF.LIGUE," ~ "),""),CONCATENATE("(DEMAIN= ",DIF.GP," ~ "),""),CONCATENATE("(DEMAIN= ",DIF.MONDIAL," ~ "),""),CONCATENATE("(DEMAIN= ",DIF.EURO," ~ "),""),CONCATENATE("(DEMAIN= ",DIF.CONFEDERATIONS," ~ "),""),CONCATENATE(TABLEAU!$K$3," A"),"A"),"MARDI A","A"),"MERCREDI A","A"),"JEUDI A","A"),"VENDREDI A","A"),"SAMEDI A","A"),"DIMANCHE A","A"),"00H","0H"),"DEPUIS DEPUIS",CONCATENATE("DEPUIS ",TABLEAU!$M$71)),"] &amp;D","]# &amp; #D"),"A 2A",CONCATENATE("A ",TABLEAU!$Y71,"H",TABLEAU!$F$71))," )",")")))</f>
        <v/>
      </c>
      <c r="AF71" s="985" t="str">
        <f ca="1">IF(TODAY&lt;&gt;"VENDREDI"," ",IF(TABLEAU!$D$71="","",H.M-TABLEAU!$D$71))</f>
        <v xml:space="preserve"> </v>
      </c>
      <c r="AG71" s="985" t="str">
        <f ca="1">IF(TABLEAU!$B$71="","",IF(TABLEAU!$I$71&lt;&gt;0,"",IF(TODAY&lt;&gt;"VENDREDI","",IF(TABLEAU!$AF$71=" ","",IF(TABLEAU!$AF$71="","",IF(AND(HOUR(TABLEAU!$AF$71)&gt;0,MINUTE(TABLEAU!$AF$71)&lt;10),CONCATENATE(HOUR(TABLEAU!$AF$71),"H0",MINUTE(TABLEAU!$AF$71)),IF(AND(HOUR(TABLEAU!$AF$71)&gt;0,MINUTE(TABLEAU!$AF$71)&gt;9),CONCATENATE(HOUR(TABLEAU!$AF$71),"H",MINUTE(TABLEAU!$AF$71)),CONCATENATE(MINUTE(TABLEAU!$AF$71)," MIN"))))))))</f>
        <v/>
      </c>
      <c r="AH71" s="985" t="str">
        <f ca="1">IF(TABLEAU!$I$71="","",IF(MINUTE(TABLEAU!$I$71)&gt;9,CONCATENATE(HOUR(TABLEAU!$I$71),"H",MINUTE(TABLEAU!$I$71)),CONCATENATE(HOUR(TABLEAU!$I$71),"H0",MINUTE(TABLEAU!$I$71))))</f>
        <v/>
      </c>
      <c r="AI71" s="1619" t="str">
        <f ca="1">SUBSTITUTE(SUBSTITUTE(CONCATENATE(VENDREDI.TV.1,VENDREDI.TV.2,VENDREDI.TV.3,VENDREDI.TV.4),"##","# &amp; #"),CONCATENATE(" &amp; #",VENDREDI.DANS," (",VENDREDI.VERIFIER)," &amp; #(")</f>
        <v>#DANS 6 JOURS (VENDREDI 8 NOVEMBRE A 18H50 SUR TFX): [TELE-REALITE]# &amp; #(A 19H50 SUR W9): [LES MARSEILLAIS]#</v>
      </c>
      <c r="AJ71" s="87" t="str">
        <f ca="1">IF(TABLEAU!$B$71="","",TABLEAU!$P$71)</f>
        <v/>
      </c>
      <c r="AK71" s="87" t="str">
        <f ca="1">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O$71,"DEPASSE","&amp;&amp;&amp;"),"A",""),"B",""),"C",""),"D",""),"E",""),"F",""),"G",""),"H",""),"I",""),"J",""),"K",""),"L",""),"M",""),"N",""),"O",""),"P",""),"Q",""),"R",""),"S",""),"T",""),"U",""),"V",""),"W",""),"X",""),"Y",""),"Z",""),"0",""),"1",""),"2",""),"3",""),"4",""),"5",""),"6",""),"7",""),"8",""),"9",""),":",""),"(",""),")",""),"[",""),"]","")," ",""))</f>
        <v/>
      </c>
      <c r="AL71" s="633" t="str">
        <f ca="1">UPPER(IF(DATE.RDV.TV&lt;&gt;"VENDREDI","",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B$71,"DEPASSE ","¤¤"),"A",""),"B",""),"C",""),"D",""),"E",""),"F",""),"G",""),"H",""),"I",""),"J",""),"K",""),"L",""),"M",""),"N",""),"O",""),"P",""),"Q",""),"R",""),"S",""),"T",""),"U",""),"V",""),"W",""),"X",""),"Y",""),"Z",""),"1",""),"2",""),"3",""),"4",""),"5",""),"6",""),"7",""),"8",""),"9",""),"0",""),"-",""),"(",""),")",""),"{",""),"}",""),"=",""),"[",""),"]",""),"#",""),"+",""),":",""),"/",""),"'",""),".","")," &amp; ","")," ° ",""))))</f>
        <v/>
      </c>
      <c r="AM71" s="834" t="str">
        <f ca="1">UPPER(IF(DATE.RDV.TV&lt;&gt;"VENDREDI","",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C$71,"CHAMPIONNAT","¤"),"LDC","¤¤"),"UEFA","¤¤¤"),"FRANCE","¤¤¤¤"),"LIGUE","¤¤¤¤¤"),"GP","¤¤¤¤¤¤"),"MONDIAL","¤¤¤¤¤¤¤"),"EURO","¤¤¤¤¤¤¤¤"),"CONFEDERATIONS","¤¤¤¤¤¤¤¤¤"),"A",""),"B",""),"C",""),"D",""),"E",""),"F",""),"G",""),"H",""),"I",""),"J",""),"K",""),"L",""),"M",""),"N",""),"O",""),"P",""),"Q",""),"R",""),"S",""),"T",""),"U",""),"V",""),"W",""),"X",""),"Y",""),"Z",""),"1",""),"2",""),"3",""),"4",""),"5",""),"6",""),"7",""),"8",""),"9",""),"0",""),"-",""),"(",""),")",""),"{",""),"}",""),"=",""),"[",""),"]",""),"#",""),"+",""),":",""),"/",""),"'",""),".","")," &amp; ","")," ° ",""),"~",""))))</f>
        <v/>
      </c>
      <c r="AN71" s="1616" t="str">
        <f ca="1">IF(OR(TABLEAU!$A$71="#DEPASSE#",TABLEAU!$P$71="#DEPASSE#"),TABLEAU!$B$71,"")</f>
        <v/>
      </c>
      <c r="AO71" s="1617"/>
      <c r="AP71" s="1617"/>
      <c r="AQ71" s="1617"/>
      <c r="AR71" s="1617"/>
      <c r="AS71" s="1617"/>
      <c r="AT71" s="1617"/>
      <c r="AU71" s="1617"/>
      <c r="AV71" s="1617"/>
      <c r="AW71" s="1617"/>
      <c r="AX71" s="1618"/>
      <c r="AY71" s="1243">
        <f ca="1">IF(AND(TABLEAU!$C$71&lt;&gt;"",TABLEAU!$B$71=""),1,0)</f>
        <v>0</v>
      </c>
      <c r="AZ71" s="2576"/>
      <c r="BA71" s="2577"/>
    </row>
    <row r="72" spans="1:53" ht="12" customHeight="1">
      <c r="A72" s="1508" t="str">
        <f ca="1">IF(TABLEAU!$B$72="","",IF(OR(TABLEAU!$AL$72="¤¤",TABLEAU!$P$72&lt;&gt;""),"#DEPASSE#",SUBSTITUTE(IF(OR(VENDREDI.2="",TABLEAU!$C$72=""),"",IF(AND(TODAY="VENDREDI",HOUR((H.M))&gt;HOUR(VENDREDI.2),MINUTE((H.M))&gt;MINUTE(VENDREDI.2)),"",IF(TODAY&lt;&gt;"VENDREDI","",IF(HOUR(TABLEAU!$I$72)&gt;0,CONCATENATE("DANS ",HOUR(TABLEAU!$I$72),"H",TABLEAU!$N$72),CONCATENATE("DANS ",HOUR(TABLEAU!$I$72),"H",TABLEAU!$N$72," MIN")))))," 0H"," ")))</f>
        <v/>
      </c>
      <c r="B72" s="1512" t="str">
        <f ca="1">SUBSTITUTE(SUBSTITUTE(SUBSTITUTE(IF(OR(TABLEAU!$C72,TABLEAU!$D72=""),"",SUBSTITUTE(SUBSTITUTE(SUBSTITUTE(SUBSTITUTE(SUBSTITUTE(SUBSTITUTE(SUBSTITUTE(SUBSTITUTE(SUBSTITUTE(SUBSTITUTE(SUBSTITUTE(SUBSTITUTE(SUBSTITUTE(SUBSTITUTE(SUBSTITUTE(SUBSTITUTE(SUBSTITUTE(SUBSTITUTE(SUBSTITUTE(SUBSTITUTE(SUBSTITUTE(SUBSTITUTE(SUBSTITUTE(SUBSTITUTE(IF(TABLEAU!$C72="","",SUBSTITUTE(IF(TABLEAU!$AE72="",TABLEAU!$U72,TABLEAU!$AE72),CONCATENATE(CVB,YEAR(A)," "),""))," #"," "),"] &amp; D","]# &amp; #D")," &amp; (A",CONCATENATE("# &amp; #",TABLEAU!$H72,"A")),"&amp; DEPASSE","&amp; #DEPASSE"),"## &amp; #A","# &amp; #(A"),"DANS MAINTENANT","MAINTENANT"),CONCATENATE(" H",TABLEAU!$N72),CONCATENATE(" ",TABLEAU!$N72," MIN"))," 0"," "),"] &amp;D","]# &amp; #D"),"}  MIN","} H"),"# &amp; D","# &amp; #D"),CONCATENATE("#MAINTENANT (A ",TABLEAU!$Z72,"): MAINTENANT"),"#MAINTENANT"),TABLEAU!$AB$2,""),TABLEAU!$AM$5,"")," MINAMILTON","HAMILTON"),CONCATENATE(TABLEAU!$Z72," ",TABLEAU!$Z72),TABLEAU!$Z72),"DEPUIS  MINIER","DEPUIS HIER"),"MINONGRIE","HONGRIE"),"#DANS (#DEPASSE","#DEPASSE"),CONCATENATE(" ",YEAR(A)),""),"]= [","= ["),")])",")]"),"#DEPASSE DEPUISDANS","#DANS"),"(A 1A ):",CONCATENATE("(A ",HOUR(TABLEAU!$D72),"H",TABLEAU!$F72,"):"))),"SUR "," SUR "),"  SUR "," SUR "),CONCATENATE("DEPASSE DEPUIS ",TABLEAU!$M72," (A DANS"),"DANS")</f>
        <v>#DANS 6 JOURS (VENDREDI 8 NOVEMBRE A 19H50 SUR W9): [LES MARSEILLAIS]#</v>
      </c>
      <c r="C72" s="631" t="s">
        <v>170</v>
      </c>
      <c r="D72" s="632">
        <v>0.82638888888888884</v>
      </c>
      <c r="E72" s="2657">
        <f>IF(TABLEAU!$D72="","",IF(TABLEAU!$D72="23:59","",HOUR(TABLEAU!$D72)))</f>
        <v>19</v>
      </c>
      <c r="F72" s="2658" t="str">
        <f>IF(OR(TABLEAU!$D$72="",TABLEAU!$D$72="23:59"),"59",IF(MINUTE(TABLEAU!$D$72)&lt;10,CONCATENATE("0",MINUTE(TABLEAU!$D$72)),CONCATENATE(MINUTE(TABLEAU!$D$72))))</f>
        <v>50</v>
      </c>
      <c r="G72" s="590" t="str">
        <f ca="1">UPPER(SUBSTITUTE(SUBSTITUTE(SUBSTITUTE(IF(TABLEAU!$D$72="","",SUBSTITUTE(SUBSTITUTE(SUBSTITUTE(SUBSTITUTE(SUBSTITUTE(SUBSTITUTE(SUBSTITUTE(SUBSTITUTE(SUBSTITUTE(SUBSTITUTE(SUBSTITUTE(SUBSTITUTE(SUBSTITUTE(SUBSTITUTE(SUBSTITUTE(IF(OR(TABLEAU!$D$72="",TABLEAU!$C$72=""),"",IF(AND(TODAY="VENDREDI",HOUR((H.M))&gt;HOUR(TABLEAU!$D$72),MINUTE((H.M))&gt;MINUTE(TABLEAU!$D$72)),CONCATENATE("#DEPASSE DEPUIS",TABLEAU!$M$72," ",TABLEAU!$C$72,"#"),IF(TABLEAU!$P$72&lt;&gt;"",CONCATENATE("#DEPASSE DEPUIS",TABLEAU!$M$72," ",TABLEAU!$C$72,"#"),IF(TODAY&lt;&gt;"VENDREDI",CONCATENATE("#",VENDREDI.DANS," (VENDREDI ",DAY(VENDREDI.DATE)," ",LOOKUP(MONTH(VENDREDI.DATE),MOIS)," A ",HOUR(TABLEAU!$D$72),"H",TABLEAU!$F$72,"): ",TABLEAU!$C$72,"#"),CONCATENATE("#",TABLEAU!$L$72," (A ",TABLEAU!$Z$72,"): ",SUBSTITUTE(TABLEAU!$C$72,"#",""),"#"))))),CONCATENATE(LOOKUP(MONTH(VENDREDI.DATE),MOIS)," (A"),CONCATENATE(LOOKUP(MONTH(VENDREDI.DATE),MOIS)," A")),"##","#"),CONCATENATE("#DEPASSE DEPUIS  (A ): ",TABLEAU!$C$72,"#"),""),CONCATENATE("(A ",TABLEAU!$E$72,"H",TABLEAU!$X$72,"): "),""),CONCATENATE(TABLEAU!$L$72," DEPUIS"),"DEPASSE DEPUIS"),CONCATENATE("A ",HOUR(TABLEAU!$D$72),"H",TABLEAU!$F$72,"): (A ",HOUR(TABLEAU!$D$72),"H",TABLEAU!$F$72),CONCATENATE("A ",HOUR(TABLEAU!$D$72),"H",TABLEAU!$F$72)),"#DEPASSEDEPASSE","#DEPASSE"),"# (",CONCATENATE("#",TABLEAU!$H$72)),CONCATENATE("A ",SUBSTITUTE(TABLEAU!$M$33,":","H"),"): ~ (A ",SUBSTITUTE(TABLEAU!$M$33,":","H")),CONCATENATE("A ",SUBSTITUTE(TABLEAU!$M$33,":","H"))),CONCATENATE("#DEPASSE ",TABLEAU!$M$72,"#D"),"#D")," D"," #D"),"#DEPUIS","DEPUIS"),"COURS ","COURS# "),"#DE ","DE "),"GP #D","GP D")),"# &amp; #",CONCATENATE("# &amp; #DEPASSE DEPUIS",TABLEAU!$M$72," ")),"] &amp; (",CONCATENATE("]# &amp; DANS ",TABLEAU!$AH$72," ("))," 0"," "))</f>
        <v>#DANS 6 JOURS (VENDREDI 8 NOVEMBRE A 19H50 SUR W9): [LES MARSEILLAIS]#</v>
      </c>
      <c r="H72" s="564" t="str">
        <f ca="1">SUBSTITUTE(IF(OR(DATE.RDV.TV&lt;&gt;"VENDREDI",TABLEAU!$C$72=""),"",IF(HOUR(TABLEAU!$I$72)=0,CONCATENATE("DANS ",TABLEAU!$N$72," MIN ("),CONCATENATE("DANS ",HOUR(TABLEAU!$I$72),"H",TABLEAU!$N$72," ("))),"DANS  MIN (","")</f>
        <v/>
      </c>
      <c r="I72" s="304" t="str">
        <f ca="1">IF(OR(TODAY&lt;&gt;"VENDREDI",TABLEAU!$C$72=""),"",IF(OR(TABLEAU!$D$72="",TABLEAU!$P$72="#DEPASSE#",TODAY&lt;&gt;"VENDREDI"),0,IF(HOUR((H.M))&gt;HOUR(TABLEAU!$D$72),0,TABLEAU!$D$72-H.M)))</f>
        <v/>
      </c>
      <c r="J72" s="762" t="str">
        <f ca="1">SUBSTITUTE(SUBSTITUTE(SUBSTITUTE(IF(TABLEAU!$I$72="","",SUBSTITUTE(SUBSTITUTE(SUBSTITUTE(SUBSTITUTE(SUBSTITUTE(SUBSTITUTE(SUBSTITUTE(SUBSTITUTE(SUBSTITUTE(SUBSTITUTE(SUBSTITUTE(SUBSTITUTE(SUBSTITUTE(SUBSTITUTE(SUBSTITUTE(SUBSTITUTE(SUBSTITUTE(SUBSTITUTE(SUBSTITUTE(SUBSTITUTE(IF(DATE.DEPASSE&lt;0,TABLEAU!$U$72,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G72,"  "," "),CONCATENATE("(A ",TABLEAU!$Z$72,"): (A ",TABLEAU!$Z$72),CONCATENATE("(A ",TABLEAU!$Z$72)),CONCATENATE("#DEPASSE",TABLEAU!$M$72,"#DEPASSE",TABLEAU!$M$72),CONCATENATE("#DEPASSE",TABLEAU!$M$72)),CONCATENATE("#DEPASSE",TABLEAU!$L$72,"DEPASSE"),"#DEPASSE"),CONCATENATE(TABLEAU!$L$72," (A ",TABLEAU!$Z$72,"): DEPUIS"),"DEPASSE DEPUIS")," 1 "," 1ER "),"DEPASSE DEPUIS DEPASSE DEPUIS","DEPASSE DEPUIS"),CONCATENATE("DEPASSE ",TRIM(TABLEAU!$L$72)," DEPASSE ",TRIM(TABLEAU!$L$72)),CONCATENATE("DEPASSE ",TRIM(TABLEAU!$L$72))),"1ER MIN","1 MIN"),"1ER ERREUR","1 ERREUR"),CONCATENATE("(A ",TABLEAU!$Z$72,"): (A ",TABLEAU!$E$72,":",TABLEAU!$F$72),CONCATENATE("(A ",TABLEAU!$Z$72))," (A ):",""),"DEPASSE DEPUIS (",TABLEAU!$H$72),"] &amp; D","]# &amp; #D"),CONCATENATE("#DEPASSE",TABLEAU!$M$72,"DEPASSE"),"#DEPASSE")," [","): ["),"):):","):"),"DEPUIS ",TABLEAU!$L$72),CONCATENATE(SUBSTITUTE(TABLEAU!$M$72,"DEPUIS ",""))," "),"DEPUIS",CONCATENATE(TABLEAU!$M$72," (",VENDREDI.VERIFIER," A ")),SUBSTITUTE(TABLEAU!$M$72,"DEPUIS","A"),""),"DEPASSE  ","DEPASSE"),"  A "," A"),"  "," "),TRIM(SUBSTITUTE(TABLEAU!$M$72," DEPUIS ","A ")),"EEE"),"EEE",CONCATENATE("A ",TABLEAU!$Z$72)),CONCATENATE("DEPASSE ",TABLEAU!$L$72,"HIER"),"DEPASSE DEPUIS HIER"),"DEPASSEDEPASSE","DEPASSE DEPUIS "),CONCATENATE(" A ",TABLEAU!$Z$59," (A ",TABLEAU!$Z$59),CONCATENATE(" A ",TABLEAU!$Z$59)),CONCATENATE("A ",TABLEAU!$Z$72," ",TABLEAU!$C$72),TABLEAU!$C$72),CONCATENATE(MOIS.MAINTENANT.2," (A"),CONCATENATE(MOIS.MAINTENANT.2," A")),"#DEPASSE #DEPASSEDEPUIS","#DEPASSE DEPUIS"),"A (A","A"),CONCATENATE(TABLEAU!$L$72," DEPASSE"),"DEPASSE"),"DEPASSE (",CONCATENATE("DEPASSE DEPUIS ",TABLEAU!$Q$72," (")),"''MIN","MIN"),"=):","]="),CONCATENATE("#DEPASSE ",TABLEAU!$Q$72),CONCATENATE("#DEPASSE DEPUIS ",TABLEAU!$Q$72)),"DEPASSE","DEPASSE DEPUIS"),"DEPUIS DEPUIS","DEPUIS")),"US A","USA"),CONCATENATE("DEPASSE DEPUIS ",TABLEAU!$Q$72,"DEPASSE DEPUIS ",TABLEAU!$Q$72),CONCATENATE("DEPASSE DEPUIS ",TABLEAU!$Q$72)),CONCATENATE("#DEPASSE DEPUIS ",TABLEAU!$Q$72," #DEPASSE DEPUIS ",TABLEAU!$Q$72),CONCATENATE("#DEPASSE DEPUIS ",TABLEAU!$Q$72)),"#DEPASSE DEPUIS #DEPASSE DEPUIS","#DEPASSE DEPUIS"),CONCATENATE("): ",VENDREDI.DANS," (A ",TABLEAU!$E$72,"H",TABLEAU!$F$72),"")," &amp; D"," &amp; #D"),CONCATENATE(VENDREDI.DANS," (VENDREDI ",DAY(VENDREDI.DATE)," ",LOOKUP(MONTH(VENDREDI.DATE),MOIS)," A ",TABLEAU!$E$72,"H",TABLEAU!$F$72,"): DANS"),"DANS"),CONCATENATE(VENDREDI.DANS," (VENDREDI ",DAY(VENDREDI.DATE)," ",LOOKUP(MONTH(VENDREDI.DATE),MOIS)," A ",TABLEAU!$E$72,"H",TABLEAU!$F$72,"): ",VENDREDI.DANS,"= ",TABLEAU!$AN$23,"(A ",TABLEAU!$E$72,"H",TABLEAU!$F$72),CONCATENATE(VENDREDI.DANS,"= ",TABLEAU!$AN$23," (VENDREDI ",DAY(VENDREDI.DATE)," ",LOOKUP(MONTH(VENDREDI.DATE),MOIS)," A ",TABLEAU!$E$72,"H",TABLEAU!$F$72)),CONCATENATE(VENDREDI.DANS," (VENDREDI ",DAY(VENDREDI.DATE)," ",LOOKUP(MONTH(VENDREDI.DATE),MOIS)," A ",TABLEAU!$E$72,"H",TABLEAU!$F$72,"): DANS"),"DANS"),"# (",CONCATENATE("#",TABLEAU!$H$72)),"DANS 0","DANS "),"# ~ ",CONCATENATE("#",FICHIER.A.MODIFIER," ~ ")),CONCATENATE("A ",SUBSTITUTE(TABLEAU!$M$33,":","H"),"): ~ (A ",SUBSTITUTE(TABLEAU!$M$33,":","H")),CONCATENATE("A ",SUBSTITUTE(TABLEAU!$M$33,":","H"))),CONCATENATE("(A ",TABLEAU!$Z$72,"): ~ (A"),"(A"),"DANS 0 MIN","MAINTENANT"),"DEPUIS(",CONCATENATE("DEPUIS ",TABLEAU!$M$72," (")),"DEPUIS DEPUIS  (A",CONCATENATE("DEPUIS ",TABLEAU!$M$72," (A")),"(A 1 ",CONCATENATE("(A ",TABLEAU!$E$72,":00")),"#A",CONCATENATE("#DANS ",HOUR(TABLEAU!$I$72),"H",TABLEAU!$N$72," (A")),"DEPUIS DEPUIS",CONCATENATE("DEPUIS ",TABLEAU!$M$72))),"]#D","]# &amp; #D"),"DEPUIS =",CONCATENATE("DEPUIS ",TABLEAU!$M$72)),"DANS  MAINTENANT","MAINTENANT")</f>
        <v/>
      </c>
      <c r="K72" s="305" t="str">
        <f ca="1">TRIM(SUBSTITUTE(SUBSTITUTE(SUBSTITUTE(SUBSTITUTE(SUBSTITUTE(SUBSTITUTE(SUBSTITUTE(SUBSTITUTE(SUBSTITUTE(TABLEAU!$O$72,CONCATENATE("): (",TABLEAU!$W$72),""),CONCATENATE("A ",TABLEAU!$E$72,"H",TABLEAU!$X$72,"): ("),""),"(SUR",CONCATENATE("(A ",TABLEAU!$E$72,"H",TABLEAU!$X$72," SUR"))," &amp; (",CONCATENATE(" &amp; ",TABLEAU!$L$72," (")),"AUJOURD'HUI",""),"##","#"),"1ER MIN","1 MIN"),CONCATENATE("DEPASSE ",TRIM(TABLEAU!$L$72)," DEPASSE"),"DEPASSE")," (A ):",""))</f>
        <v/>
      </c>
      <c r="L72" s="306" t="str">
        <f ca="1">UPPER(IF(TABLEAU!$P$72&lt;&gt;"","",IF(TABLEAU!$P$72="","",IF(TABLEAU!$AM$72&lt;&gt;"","#DEPASSE DEPUIS ",IF(TODAY&lt;&gt;"VENDREDI","",IF(COUNTIF(ENCOURS,"#EN COURS#")&lt;&gt;0,"MAINTENANT",SUBSTITUTE(SUBSTITUTE(SUBSTITUTE(IF(OR(TABLEAU!$C$72="",TABLEAU!$D$72=""),"",IF(HOUR(TABLEAU!$I$72)=0,CONCATENATE("DANS ",TABLEAU!$N$72," MIN"),CONCATENATE("DANS ",HOUR(TABLEAU!$I$72),"H",TABLEAU!$N$72))),"DANS 0","DANS "),"DANS  MIN",TABLEAU!$M$72),"DANS 0 MIN","MAINTENANT")))))))</f>
        <v/>
      </c>
      <c r="M72" s="306" t="str">
        <f ca="1">IF(TODAY&lt;&gt;"VENDREDI","",SUBSTITUTE(IF(TABLEAU!$D$72="","",IF(TABLEAU!$AF$72=" ","",IF(TABLEAU!$D$72-H.M&gt;0,"",IF(AND(HOUR(TABLEAU!$AF$72)&gt;0,MINUTE(TABLEAU!$AF$72)&lt;10),CONCATENATE(" ",HOUR(TABLEAU!$AF$72),"H0",MINUTE(TABLEAU!$AF$72)),IF(AND(HOUR(TABLEAU!$AF$72)&gt;0,MINUTE(TABLEAU!$AF$72)&gt;9),CONCATENATE(" ",HOUR(TABLEAU!$AF$72),"H",MINUTE(TABLEAU!$AF$72)),CONCATENATE(" 0",MINUTE(TABLEAU!$AF$72)," MIN"))))))," 0",""))</f>
        <v/>
      </c>
      <c r="N72" s="276" t="str">
        <f ca="1">IF(TABLEAU!$D$72="","",IF(OR(TABLEAU!$C$72="",TODAY&lt;&gt;"VENDREDI"),"",IF(TABLEAU!$P$72="#DEPASSE#","",IF(HOUR((H.M))&gt;HOUR(TABLEAU!$D$72),"",IF(MINUTE(TABLEAU!$I$72)&lt;10,CONCATENATE("0",MINUTE(TABLEAU!$I$72)),MINUTE(TABLEAU!$I$72))))))</f>
        <v/>
      </c>
      <c r="O72" s="307" t="str">
        <f ca="1">UPPER(SUBSTITUTE(SUBSTITUTE(SUBSTITUTE(SUBSTITUTE(SUBSTITUTE(SUBSTITUTE(SUBSTITUTE(SUBSTITUTE(SUBSTITUTE(TABLEAU!$J$72,"DANS 0H","DANS "),"DANS 0","DANS "),CONCATENATE("(A ",TABLEAU!$E$72,"H",TABLEAU!$X$72,"): (",LOOKUP(WEEKDAY(VENDREDI.DATE),SEMAINE)," ",DAY(VENDREDI.DATE)," ",LOOKUP(MONTH(VENDREDI.DATE),MOIS)," A 20H00): "),CONCATENATE(TABLEAU!$L$72," (A ",TABLEAU!$E$72,"H",TABLEAU!$X$72,")")),"DEPUIS 0","DEPUIS "),"&amp; A","&amp; (A"),CONCATENATE("(",NBA),""),"#DEPASSE DEPUIS (A","(A"),"DANS  MAINTENANT","MAINTENANT"),"] &amp; #","]# &amp; #"))</f>
        <v/>
      </c>
      <c r="P72" s="391" t="str">
        <f ca="1">IF(OR(TABLEAU!$D$72="",TODAY&lt;&gt;"VENDREDI"),"",IF(AND(HOUR((H.M))=HOUR(TABLEAU!$D$72),MINUTE((H.M))&gt;MINUTE(TABLEAU!$D$72)),"#DEPASSE#",IF(HOUR((H.M))&gt;HOUR(TABLEAU!$D$72),"#DEPASSE#","")))</f>
        <v/>
      </c>
      <c r="Q72" s="306" t="str">
        <f ca="1">IF(OR(TABLEAU!$P$72="",TABLEAU!$S$72=""),"",IF(AND(HOUR(TABLEAU!$S$72)&gt;0,MINUTE(TABLEAU!$S$72)&lt;10),CONCATENATE(HOUR(TABLEAU!$S$72),"H0",MINUTE(TABLEAU!$S$72)),IF(AND(HOUR(TABLEAU!$S$72)=0,MINUTE(TABLEAU!$S$72)&lt;10),CONCATENATE(MINUTE(TABLEAU!$S$72)," MIN"),IF(AND(HOUR(TABLEAU!$S$72)&gt;0,MINUTE(TABLEAU!$S$72)&gt;9),CONCATENATE(HOUR(TABLEAU!$S$72),"H",MINUTE(TABLEAU!$S$72)),CONCATENATE(MINUTE(TABLEAU!$S$72)," MIN")))))</f>
        <v/>
      </c>
      <c r="R72" s="306" t="str">
        <f ca="1">UPPER(IF(OR(TABLEAU!$C$72="",TODAY&lt;&gt;"VENDREDI"),"",IF(OR(TABLEAU!$D$72="",TABLEAU!$D$72="23:59",TABLEAU!$C$72=""),"",IF(AND(TODAY="VENDREDI",HOUR(TABLEAU!$I$72)&lt;1,MINUTE(TABLEAU!$I$72)&lt;5,TABLEAU!$I$72&lt;&gt;"",TABLEAU!$I$72&lt;&gt;0),"BIENTOT",""))))</f>
        <v/>
      </c>
      <c r="S72" s="619" t="str">
        <f ca="1">IF(TABLEAU!$D$72="","",IF(TODAY&lt;&gt;"VENDREDI","",IF((H.M)&gt;TABLEAU!$D$72,"",(H.M)-TABLEAU!$D$72)))</f>
        <v/>
      </c>
      <c r="T72" s="2305"/>
      <c r="U72" s="305" t="str">
        <f ca="1">UPPER(TRIM(SUBSTITUTE(SUBSTITUTE(SUBSTITUTE(SUBSTITUTE(SUBSTITUTE(SUBSTITUTE(SUBSTITUTE(SUBSTITUTE(SUBSTITUTE(SUBSTITUTE(SUBSTITUTE(SUBSTITUTE(SUBSTITUTE(SUBSTITUTE(SUBSTITUTE(SUBSTITUTE(SUBSTITUTE(SUBSTITUTE(IF(TABLEAU!$D$72="","",SUBSTITUTE(SUBSTITUTE(SUBSTITUTE(SUBSTITUTE(SUBSTITUTE(SUBSTITUTE(SUBSTITUTE(SUBSTITUTE(SUBSTITUTE(SUBSTITUTE(SUBSTITUTE(SUBSTITUTE(SUBSTITUTE(SUBSTITUTE(SUBSTITUTE(IF(OR(TABLEAU!$C$72="",TABLEAU!$D$72=""),"",IF(AND(TODAY="VENDREDI",TABLEAU!$P$72&lt;&gt;""),CONCATENATE("#DEPASSE DEPUIS ",TABLEAU!$M$72," ",TABLEAU!$W$72,"#"),CONCATENATE("#",VENDREDI.DANS," ",TABLEAU!$H$72,TABLEAU!$C$72,"#"))),": =",":"),CONCATENATE(NBA,"("),""),CONCATENATE(LOOKUP(MONTH(VENDREDI.DATE),MOIS)," (A"),CONCATENATE(LOOKUP(MONTH(VENDREDI.DATE),MOIS)," A")),"1ER MIN","1 MIN"),"((","("),"##","#"),"# ","#"),CONCATENATE("#",TABLEAU!$H$72,"DEPUIS"),"#DEPASSE DEPUIS"),"DEMAIN (",CONCATENATE("DEMAIN (VENDREDI ",DAY(VENDREDI.DATE)," ",LOOKUP(MONTH(VENDREDI.DATE),MOIS)," ")),"JOURS (A ",CONCATENATE("JOURS (VENDREDI ",DAY(VENDREDI.DATE)," ",LOOKUP(MONTH(VENDREDI.DATE),MOIS)," A ")),"(A","(VENDREDI A"),"DANS 00 MIN","DANS "),"DANS 0","DANS "),"#&amp;","# &amp; "),"JOURS [",CONCATENATE("JOURS (",LOOKUP(WEEKDAY(VENDREDI.DATE),SEMAINE)," ",DAY(VENDREDI.DATE)," ",LOOKUP(MONTH(VENDREDI.DATE),MOIS)," A ",HOUR(TABLEAU!$D$72),"H",TABLEAU!$F$72,"): ["))),CONCATENATE(VENDREDI.DANS," ",VENDREDI.DANS),CONCATENATE(" ",VENDREDI.DANS)),"# ","#"),"#&amp; #","# &amp; #"),"US A","USA"),"(~ ("," ~ ("),"VENDREDI A ","A "),CONCATENATE("#",TABLEAU!$H$72,TABLEAU!$W$72),TABLEAU!$W$72),"DEMAINDANS","DEMAIN DANS"),"''(","'' ("),CONCATENATE("#DANS ",TRIM(TABLEAU!$AH$72)," (#DEPASSE "),"#DEPASSE "),"]#D","]# &amp; #D"),"(MATCH","MATCH"),"COURS &amp; D","COURS# &amp; #D"),"#&amp; ","# &amp; #"),"# &amp; # ","# &amp; #"),CONCATENATE("#DEPASSE DEPUIS ",TABLEAU!$M$72," #"),"#"),"# &amp; ##","# &amp; #"),"DANS  (MAINTENANT","MAINTENANT")))</f>
        <v>#DANS 6 JOURS (VENDREDI 8 NOVEMBRE A 19H50 SUR W9): [LES MARSEILLAIS]#</v>
      </c>
      <c r="V72" s="305" t="str">
        <f ca="1">UPPER(TRIM(SUBSTITUTE(SUBSTITUTE(IF(OR(TABLEAU!$C$72="",TABLEAU!$D$72="",VENDREDI.DANS&lt;&gt;""),"",TABLEAU!$J$72),JOUR.PLUS,""),"DANS  MAINTENANT","MAINTENANT")))</f>
        <v/>
      </c>
      <c r="W72" s="350" t="str">
        <f>UPPER(IF(TABLEAU!$C$72=0,"",TABLEAU!$C$72))</f>
        <v>(A 19H50 SUR W9): [LES MARSEILLAIS]</v>
      </c>
      <c r="X72" s="783"/>
      <c r="Y72" s="306" t="str">
        <f ca="1">IF(OR(TODAY&lt;&gt;"VENDREDI",TABLEAU!$C$72=""),"",IF(OR(TABLEAU!$C$72="",TABLEAU!$D$72=""),"",HOUR(TABLEAU!$D$72)))</f>
        <v/>
      </c>
      <c r="Z72" s="306" t="str">
        <f ca="1">IF(TABLEAU!$AM$72&lt;&gt;""," ",IF(OR(TODAY&lt;&gt;"VENDREDI",TABLEAU!$C$72="",TABLEAU!$D$72="")," ",IF(MINUTE(TABLEAU!$D$72)&lt;10,CONCATENATE(HOUR(TABLEAU!$D$72),"H0",MINUTE(TABLEAU!$D$72)),IF(MINUTE(TABLEAU!$D$72)&gt;9,CONCATENATE(HOUR(TABLEAU!$D$72),"H",MINUTE(TABLEAU!$D$72))))))</f>
        <v xml:space="preserve"> </v>
      </c>
      <c r="AA72" s="359" t="str">
        <f ca="1">TRIM(SUBSTITUTE(SUBSTITUTE(SUBSTITUTE(SUBSTITUTE(IF(TABLEAU!$P$72="#DEPASSE#",TABLEAU!$AB$72,TABLEAU!$U$72),"# ","#"),"#&amp; #","# &amp; #"),"DANS (MAINTENANT","MAINTENANT"),SUBSTITUTE(SUBSTITUTE(CONCATENATE("#",TABLEAU!$H$72,"",TABLEAU!$H$72)," 0"," ")," 0"," "),SUBSTITUTE(TABLEAU!$H$72," 0"," ")))</f>
        <v>DANS 6 JOURS (VENDREDI 8 NOVEMBRE A 19H50 SUR W9): [LES MARSEILLAIS]</v>
      </c>
      <c r="AB72" s="306" t="str">
        <f ca="1">UPPER(TRIM(SUBSTITUTE(SUBSTITUTE(SUBSTITUTE(SUBSTITUTE(SUBSTITUTE(SUBSTITUTE(TABLEAU!$K72,CONCATENATE(LOOKUP(MONTH(A),MOIS)," (A"),CONCATENATE(LOOKUP(MONTH(A),MOIS)," A ")),CONCATENATE(LOOKUP(MONTH(A)+1,MOIS)," (A"),CONCATENATE(LOOKUP(MONTH(A)+1,MOIS)," A ")),CONCATENATE("(",YEAR(VENDREDI.DATE)),""),"] &amp; DANS","]# &amp; #DANS"),"DANS MAINTENANT","MAINTENANT"),SUBSTITUTE(CONCATENATE("#",SUBSTITUTE(TABLEAU!$H$72,"(",""),"#",TABLEAU!$H$72)," 0"," "),SUBSTITUTE(TABLEAU!$H$72," 0"," "))))</f>
        <v/>
      </c>
      <c r="AC72" s="695" t="str">
        <f ca="1">IF(TABLEAU!$P$72="#DEPASSE#",CONCATENATE(TABLEAU!$AC$71," &amp; ",TABLEAU!$B$72),TABLEAU!$AC$71)</f>
        <v/>
      </c>
      <c r="AD72" s="1594"/>
      <c r="AE72" s="307" t="str">
        <f ca="1">UPPER(TRIM(SUBSTITUTE(SUBSTITUTE(SUBSTITUTE(SUBSTITUTE(SUBSTITUTE(SUBSTITUTE(SUBSTITUTE(SUBSTITUTE(SUBSTITUTE(SUBSTITUTE(SUBSTITUTE(SUBSTITUTE(SUBSTITUTE(SUBSTITUTE(SUBSTITUTE(SUBSTITUTE(SUBSTITUTE(SUBSTITUTE(SUBSTITUTE(SUBSTITUTE(SUBSTITUTE(SUBSTITUTE(SUBSTITUTE(SUBSTITUTE(IF(TABLEAU!$P$72="#DEPASSE#",TABLEAU!$J$72,IF(TABLEAU!$C$72="","",TRIM(SUBSTITUTE(SUBSTITUTE(SUBSTITUTE(SUBSTITUTE(SUBSTITUTE(SUBSTITUTE(SUBSTITUTE(IF(TABLEAU!$L$72="#DEPASSE DEPUIS ",MODIF,IF(TABLEAU!$I$72=SUBSTITUTE(DEPP,"#",""),DEPP,SUBSTITUTE(SUBSTITUTE(SUBSTITUTE(SUBSTITUTE(SUBSTITUTE(SUBSTITUTE(SUBSTITUTE(SUBSTITUTE(SUBSTITUTE(SUBSTITUTE(SUBSTITUTE(SUBSTITUTE(SUBSTITUTE(SUBSTITUTE(SUBSTITUTE(SUBSTITUTE(SUBSTITUTE(SUBSTITUTE(TABLEAU!$AB$72,CONCATENATE(TABLEAU!$K72," A "),CONCATENATE(TABLEAU!$K72," (A ")),"JANVIER (","JANVIER "),"FEVRIER (","FEVRIER "),"MARS (","MARS "),"AVRIL (","AVRIL "),"MAI (","MAI "),"JUIN (","JUIN "),"JUILLET (","JUILLET "),"AOUT (","AOUT "),"SEPTEMBRE (","SEPTEMBRE "),"OCTOBRE (","OCTOBRE "),"NOVEMBRE (","NOVEMBRE "),"DECEMBRE (","DECEMBRE "),CONCATENATE(" &amp; ",TABLEAU!$K72," (")," &amp; "),CONCATENATE(" &amp;",TABLEAU!$L$72,"(")," &amp; ")," &amp; ("," &amp; "),CONCATENATE(TABLEAU!$K72," (A ",TABLEAU!$AC$72,"): HIER"),"DEPASSE DEPUIS HIER")," &amp; A"," &amp; (A"))),"(A ",CONCATENATE("(",DATE.RDV.TV," A ")),"((","("),CONCATENATE(DATE.RDV.TV," ("),""),CONCATENATE(DATE.RDV.TV," A "),"A "),CONCATENATE(YEAR(A)," (A"),"A"),CONCATENATE(TABLEAU!$L$72," (DEPASSE"),"DEPASSE"),CONCATENATE("DEPASSE",TABLEAU!$L$72,"(",LOOKUP(WEEKDAY(VENDREDI.DATE),SEMAINE)," ",DAY(VENDREDI.DATE)," ",LOOKUP(MONTH(VENDREDI.DATE),MOIS)," A"),"DEPASSE DEPUIS")))),"#&amp; ","# &amp; #"),"DANS (A","MAINTENANT (A"),"DANS (MATCH","DANS MATCH"),CONCATENATE("(DEMAIN= ",DIF.L1," ~ "),""),CONCATENATE("(DEMAIN= ",DIF.LDC," ~ "),""),CONCATENATE("(DEMAIN= ",DIF.UEFA," ~ "),""),CONCATENATE("(DEMAIN= ",DIF.FRANCE," ~ "),""),CONCATENATE("(DEMAIN= ",DIF.LIGUE," ~ "),""),CONCATENATE("(DEMAIN= ",DIF.GP," ~ "),""),CONCATENATE("(DEMAIN= ",DIF.MONDIAL," ~ "),""),CONCATENATE("(DEMAIN= ",DIF.EURO," ~ "),""),CONCATENATE("(DEMAIN= ",DIF.CONFEDERATIONS," ~ "),""),CONCATENATE(TABLEAU!$K$3," A"),"A"),"MARDI A","A"),"MERCREDI A","A"),"JEUDI A","A"),"VENDREDI A","A"),"SAMEDI A","A"),"DIMANCHE A","A"),"00H","0H"),"DEPUIS DEPUIS",CONCATENATE("DEPUIS ",TABLEAU!$M$72)),"] &amp;D","]# &amp; #D"),"A 2A",CONCATENATE("A ",TABLEAU!$Y72,"H",TABLEAU!$F$72))," )",")")))</f>
        <v/>
      </c>
      <c r="AF72" s="982" t="str">
        <f ca="1">IF(TODAY&lt;&gt;"VENDREDI"," ",IF(TABLEAU!$D$72="","",H.M-TABLEAU!$D$72))</f>
        <v xml:space="preserve"> </v>
      </c>
      <c r="AG72" s="982" t="str">
        <f ca="1">IF(TABLEAU!$B$72="","",IF(TABLEAU!$I$72&lt;&gt;0,"",IF(TODAY&lt;&gt;"VENDREDI","",IF(TABLEAU!$AF$72=" ","",IF(TABLEAU!$AF$72="","",IF(AND(HOUR(TABLEAU!$AF$72)&gt;0,MINUTE(TABLEAU!$AF$72)&lt;10),CONCATENATE(HOUR(TABLEAU!$AF$72),"H0",MINUTE(TABLEAU!$AF$72)),IF(AND(HOUR(TABLEAU!$AF$72)&gt;0,MINUTE(TABLEAU!$AF$72)&gt;9),CONCATENATE(HOUR(TABLEAU!$AF$72),"H",MINUTE(TABLEAU!$AF$72)),CONCATENATE(MINUTE(TABLEAU!$AF$72)," MIN"))))))))</f>
        <v/>
      </c>
      <c r="AH72" s="982" t="str">
        <f ca="1">IF(TABLEAU!$I$72="","",IF(MINUTE(TABLEAU!$I$72)&gt;9,CONCATENATE(HOUR(TABLEAU!$I$72),"H",MINUTE(TABLEAU!$I$72)),CONCATENATE(HOUR(TABLEAU!$I$72),"H0",MINUTE(TABLEAU!$I$72))))</f>
        <v/>
      </c>
      <c r="AI72" s="1620"/>
      <c r="AJ72" s="88" t="str">
        <f ca="1">IF(TABLEAU!$B$72="","",TABLEAU!$P$72)</f>
        <v/>
      </c>
      <c r="AK72" s="88" t="str">
        <f ca="1">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O$72,"DEPASSE","&amp;&amp;&amp;"),"A",""),"B",""),"C",""),"D",""),"E",""),"F",""),"G",""),"H",""),"I",""),"J",""),"K",""),"L",""),"M",""),"N",""),"O",""),"P",""),"Q",""),"R",""),"S",""),"T",""),"U",""),"V",""),"W",""),"X",""),"Y",""),"Z",""),"0",""),"1",""),"2",""),"3",""),"4",""),"5",""),"6",""),"7",""),"8",""),"9",""),":",""),"(",""),")",""),"[",""),"]","")," ",""))</f>
        <v/>
      </c>
      <c r="AL72" s="61" t="str">
        <f ca="1">UPPER(IF(DATE.RDV.TV&lt;&gt;"VENDREDI","",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B$72,"DEPASSE ","¤¤"),"A",""),"B",""),"C",""),"D",""),"E",""),"F",""),"G",""),"H",""),"I",""),"J",""),"K",""),"L",""),"M",""),"N",""),"O",""),"P",""),"Q",""),"R",""),"S",""),"T",""),"U",""),"V",""),"W",""),"X",""),"Y",""),"Z",""),"1",""),"2",""),"3",""),"4",""),"5",""),"6",""),"7",""),"8",""),"9",""),"0",""),"-",""),"(",""),")",""),"{",""),"}",""),"=",""),"[",""),"]",""),"#",""),"+",""),":",""),"/",""),"'",""),".","")," &amp; ","")," ° ",""))))</f>
        <v/>
      </c>
      <c r="AM72" s="835" t="str">
        <f ca="1">UPPER(IF(DATE.RDV.TV&lt;&gt;"VENDREDI","",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C$72,"CHAMPIONNAT","¤"),"LDC","¤¤"),"UEFA","¤¤¤"),"FRANCE","¤¤¤¤"),"LIGUE","¤¤¤¤¤"),"GP","¤¤¤¤¤¤"),"MONDIAL","¤¤¤¤¤¤¤"),"EURO","¤¤¤¤¤¤¤¤"),"CONFEDERATIONS","¤¤¤¤¤¤¤¤¤"),"A",""),"B",""),"C",""),"D",""),"E",""),"F",""),"G",""),"H",""),"I",""),"J",""),"K",""),"L",""),"M",""),"N",""),"O",""),"P",""),"Q",""),"R",""),"S",""),"T",""),"U",""),"V",""),"W",""),"X",""),"Y",""),"Z",""),"1",""),"2",""),"3",""),"4",""),"5",""),"6",""),"7",""),"8",""),"9",""),"0",""),"-",""),"(",""),")",""),"{",""),"}",""),"=",""),"[",""),"]",""),"#",""),"+",""),":",""),"/",""),"'",""),".","")," &amp; ","")," ° ",""),"~",""))))</f>
        <v/>
      </c>
      <c r="AN72" s="1579" t="str">
        <f ca="1">IF(TABLEAU!$B$72=TABLEAU!$B$71,"",IF(OR(TABLEAU!$A$72="#DEPASSE#",TABLEAU!$P$72="#DEPASSE#"),TABLEAU!$B$72,""))</f>
        <v/>
      </c>
      <c r="AO72" s="1580"/>
      <c r="AP72" s="1580"/>
      <c r="AQ72" s="1580"/>
      <c r="AR72" s="1580"/>
      <c r="AS72" s="1580"/>
      <c r="AT72" s="1580"/>
      <c r="AU72" s="1580"/>
      <c r="AV72" s="1580"/>
      <c r="AW72" s="1580"/>
      <c r="AX72" s="1581"/>
      <c r="AY72" s="1243">
        <f ca="1">IF(AND(TABLEAU!$C$72&lt;&gt;"",TABLEAU!$B$72=""),1,0)</f>
        <v>0</v>
      </c>
      <c r="AZ72" s="2576"/>
      <c r="BA72" s="2577"/>
    </row>
    <row r="73" spans="1:53" ht="12" customHeight="1">
      <c r="A73" s="1508" t="str">
        <f ca="1">IF(TABLEAU!$B$73="","",IF(OR(TABLEAU!$AL$73="¤¤",TABLEAU!$P$73&lt;&gt;""),"#DEPASSE#",SUBSTITUTE(IF(OR(VENDREDI.3="",TABLEAU!$C$73=""),"",IF(AND(TODAY="VENDREDI",HOUR((H.M))&gt;HOUR(VENDREDI.3),MINUTE((H.M))&gt;MINUTE(VENDREDI.3)),"",IF(TODAY&lt;&gt;"VENDREDI","",IF(HOUR(TABLEAU!$I$73)&gt;0,CONCATENATE("DANS ",HOUR(TABLEAU!$I$73),"H",TABLEAU!$N$73),CONCATENATE("DANS ",HOUR(TABLEAU!$I$73),"H",TABLEAU!$N$73," MIN")))))," 0H"," ")))</f>
        <v/>
      </c>
      <c r="B73" s="1513" t="str">
        <f ca="1">SUBSTITUTE(SUBSTITUTE(SUBSTITUTE(IF(OR(TABLEAU!$C73,TABLEAU!$D73=""),"",SUBSTITUTE(SUBSTITUTE(SUBSTITUTE(SUBSTITUTE(SUBSTITUTE(SUBSTITUTE(SUBSTITUTE(SUBSTITUTE(SUBSTITUTE(SUBSTITUTE(SUBSTITUTE(SUBSTITUTE(SUBSTITUTE(SUBSTITUTE(SUBSTITUTE(SUBSTITUTE(SUBSTITUTE(SUBSTITUTE(SUBSTITUTE(SUBSTITUTE(SUBSTITUTE(SUBSTITUTE(SUBSTITUTE(SUBSTITUTE(IF(TABLEAU!$C73="","",SUBSTITUTE(IF(TABLEAU!$AE73="",TABLEAU!$U73,TABLEAU!$AE73),CONCATENATE(CVB,YEAR(A)," "),""))," #"," "),"] &amp; D","]# &amp; #D")," &amp; (A",CONCATENATE("# &amp; #",TABLEAU!$H73,"A")),"&amp; DEPASSE","&amp; #DEPASSE"),"## &amp; #A","# &amp; #(A"),"DANS MAINTENANT","MAINTENANT"),CONCATENATE(" H",TABLEAU!$N73),CONCATENATE(" ",TABLEAU!$N73," MIN"))," 0"," "),"] &amp;D","]# &amp; #D"),"}  MIN","} H"),"# &amp; D","# &amp; #D"),CONCATENATE("#MAINTENANT (A ",TABLEAU!$Z73,"): MAINTENANT"),"#MAINTENANT"),TABLEAU!$AB$2,""),TABLEAU!$AM$5,"")," MINAMILTON","HAMILTON"),CONCATENATE(TABLEAU!$Z73," ",TABLEAU!$Z73),TABLEAU!$Z73),"DEPUIS  MINIER","DEPUIS HIER"),"MINONGRIE","HONGRIE"),"#DANS (#DEPASSE","#DEPASSE"),CONCATENATE(" ",YEAR(A)),""),"]= [","= ["),")])",")]"),"#DEPASSE DEPUISDANS","#DANS"),"(A 1A ):",CONCATENATE("(A ",HOUR(TABLEAU!$D73),"H",TABLEAU!$F73,"):"))),"SUR "," SUR "),"  SUR "," SUR "),CONCATENATE("DEPASSE DEPUIS ",TABLEAU!$M73," (A DANS"),"DANS")</f>
        <v/>
      </c>
      <c r="C73" s="832" t="str">
        <f ca="1">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IF(4-COUNTBLANK(PROG.VENDREDI)=0,"",CONCATENATE(VENDREDI.PROG.1,VENDREDI.PROG.2,VENDREDI.PROG.3,VENDREDI.PROG.4)),CONCATENATE("(A ",TABLEAU!$E$73,"H",TABLEAU!$X$73,"): "),""),JOUR.PLUS,""),VENDREDI.VERIFIER,"")," &amp; #DANS"," &amp; DANS"),"](A","] &amp; (A"),CONCATENATE("#DEPASSE",TABLEAU!$M$73," "),"#DEPASSE "),"] &amp; D","]# &amp; #D"),CONCATENATE("DEMAIN= ",DIF.L1," ~ "),""),CONCATENATE("DEMAIN= ",DIF.LDC," ~ "),""),CONCATENATE("DEMAIN= ",DIF.UEFA," ~ "),""),CONCATENATE("DEMAIN= ",DIF.FRANCE," ~ "),""),CONCATENATE("DEMAIN= ",DIF.LIGUE," ~ "),""),CONCATENATE("DEMAIN= ",DIF.GP," ~ "),""),CONCATENATE("DEMAIN= ",DIF.MONDIAL," ~ "),""),CONCATENATE("DEMAIN= ",DIF.EURO," ~ "),""),CONCATENATE("DEMAIN= ",DIF.CONFEDERATIONS," ~ "),""),"'' (",CONCATENATE("'' ~ (VENDREDI ",DAY(VENDREDI.DATE)," ",LOOKUP(MONTH(VENDREDI.DATE),MOIS)," ")),"= ''","DANS ''"),"UEF A 2019-20= &amp; ","UEFA 2019-20]# &amp; #"),"~ ",""),"''(","'' ("),"DEMAINDANS","DEMAIN DANS"),"JOURSDANS","JOURS"),DIF.L1,""),DIF.LDC,""),DIF.UEFA,""),DIF.FRANCE,""),DIF.LIGUE,""),DIF.GP,""),DIF.MONDIAL,""),DIF.EURO,""),DIF.CONFEDERATIONS,""),VENDREDI.DANS,""),"#  (","#("),"[ ",""),"[MAINTENANT","MAINTENANT"))</f>
        <v/>
      </c>
      <c r="D73" s="833" t="str">
        <f ca="1">IF(4-COUNTBLANK(PROG.VENDREDI)=0,"",IF(VENDREDI.HEURE.1&lt;&gt;"",VENDREDI.HEURE.1,IF(VENDREDI.HEURE.2&lt;&gt;"",VENDREDI.HEURE.2,IF(VENDREDI.HEURE.3&lt;&gt;"",VENDREDI.HEURE.3,IF(VENDREDI.HEURE.4&lt;&gt;"",VENDREDI.HEURE.4,"")))))</f>
        <v/>
      </c>
      <c r="E73" s="2659" t="str">
        <f ca="1">IF(TABLEAU!$D73="","",IF(TABLEAU!$D73="23:59","",HOUR(TABLEAU!$D73)))</f>
        <v/>
      </c>
      <c r="F73" s="2658" t="str">
        <f ca="1">IF(OR(TABLEAU!$D$73="",TABLEAU!$D$73="23:59"),"59",IF(MINUTE(TABLEAU!$D$73)&lt;10,CONCATENATE("0",MINUTE(TABLEAU!$D$73)),CONCATENATE(MINUTE(TABLEAU!$D$73))))</f>
        <v>59</v>
      </c>
      <c r="G73" s="591" t="str">
        <f ca="1">UPPER(SUBSTITUTE(SUBSTITUTE(SUBSTITUTE(IF(TABLEAU!$D$73="","",SUBSTITUTE(SUBSTITUTE(SUBSTITUTE(SUBSTITUTE(SUBSTITUTE(SUBSTITUTE(SUBSTITUTE(SUBSTITUTE(SUBSTITUTE(SUBSTITUTE(SUBSTITUTE(SUBSTITUTE(SUBSTITUTE(SUBSTITUTE(SUBSTITUTE(IF(OR(TABLEAU!$D$73="",TABLEAU!$C$73=""),"",IF(AND(TODAY="VENDREDI",HOUR((H.M))&gt;HOUR(TABLEAU!$D$73),MINUTE((H.M))&gt;MINUTE(TABLEAU!$D$73)),CONCATENATE("#DEPASSE DEPUIS",TABLEAU!$M$73," ",TABLEAU!$C$73,"#"),IF(TABLEAU!$P$73&lt;&gt;"",CONCATENATE("#DEPASSE DEPUIS",TABLEAU!$M$73," ",TABLEAU!$C$73,"#"),IF(TODAY&lt;&gt;"VENDREDI",CONCATENATE("#",VENDREDI.DANS," (VENDREDI ",DAY(VENDREDI.DATE)," ",LOOKUP(MONTH(VENDREDI.DATE),MOIS)," A ",HOUR(TABLEAU!$D$73),"H",TABLEAU!$F$73,"): ",TABLEAU!$C$73,"#"),CONCATENATE("#",TABLEAU!$L$73," (A ",TABLEAU!$Z$73,"): ",SUBSTITUTE(TABLEAU!$C$73,"#",""),"#"))))),CONCATENATE(LOOKUP(MONTH(VENDREDI.DATE),MOIS)," (A"),CONCATENATE(LOOKUP(MONTH(VENDREDI.DATE),MOIS)," A")),"##","#"),CONCATENATE("#DEPASSE DEPUIS  (A ): ",TABLEAU!$C$73,"#"),""),CONCATENATE("(A ",TABLEAU!$E$73,"H",TABLEAU!$X$73,"): "),""),CONCATENATE(TABLEAU!$L$73," DEPUIS"),"DEPASSE DEPUIS"),CONCATENATE("A ",HOUR(TABLEAU!$D$73),"H",TABLEAU!$F$73,"): (A ",HOUR(TABLEAU!$D$73),"H",TABLEAU!$F$73),CONCATENATE("A ",HOUR(TABLEAU!$D$73),"H",TABLEAU!$F$73)),"#DEPASSEDEPASSE","#DEPASSE"),"# (",CONCATENATE("#",TABLEAU!$H$73)),CONCATENATE("A ",SUBSTITUTE(TABLEAU!$M$33,":","H"),"): ~ (A ",SUBSTITUTE(TABLEAU!$M$33,":","H")),CONCATENATE("A ",SUBSTITUTE(TABLEAU!$M$33,":","H"))),CONCATENATE("#DEPASSE ",TABLEAU!$M$73,"#D"),"#D")," D"," #D"),"#DEPUIS","DEPUIS"),"COURS ","COURS# "),"#DE ","DE "),"GP #D","GP D")),"# &amp; #",CONCATENATE("# &amp; #DEPASSE DEPUIS",TABLEAU!$M$73," ")),"] &amp; (",CONCATENATE("]# &amp; DANS ",TABLEAU!$AH$73," ("))," 0"," "))</f>
        <v/>
      </c>
      <c r="H73" s="565" t="str">
        <f ca="1">SUBSTITUTE(IF(OR(DATE.RDV.TV&lt;&gt;"VENDREDI",TABLEAU!$C$73=""),"",IF(HOUR(TABLEAU!$I$73)=0,CONCATENATE("DANS ",TABLEAU!$N$73," MIN ("),CONCATENATE("DANS ",HOUR(TABLEAU!$I$73),"H",TABLEAU!$N$73," ("))),"DANS  MIN (","")</f>
        <v/>
      </c>
      <c r="I73" s="341" t="str">
        <f ca="1">IF(OR(TODAY&lt;&gt;"VENDREDI",TABLEAU!$C$73=""),"",IF(OR(TABLEAU!$D$73="",TABLEAU!$P$73="#DEPASSE#",TODAY&lt;&gt;"VENDREDI"),0,IF(HOUR((H.M))&gt;HOUR(TABLEAU!$D$73),0,TABLEAU!$D$73-H.M)))</f>
        <v/>
      </c>
      <c r="J73" s="342" t="str">
        <f ca="1">SUBSTITUTE(SUBSTITUTE(SUBSTITUTE(IF(TABLEAU!$I$73="","",SUBSTITUTE(SUBSTITUTE(SUBSTITUTE(SUBSTITUTE(SUBSTITUTE(SUBSTITUTE(SUBSTITUTE(SUBSTITUTE(SUBSTITUTE(SUBSTITUTE(SUBSTITUTE(SUBSTITUTE(SUBSTITUTE(SUBSTITUTE(SUBSTITUTE(SUBSTITUTE(SUBSTITUTE(SUBSTITUTE(SUBSTITUTE(SUBSTITUTE(IF(DATE.DEPASSE&lt;0,TABLEAU!$U$73,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G73,"  "," "),CONCATENATE("(A ",TABLEAU!$Z$73,"): (A ",TABLEAU!$Z$73),CONCATENATE("(A ",TABLEAU!$Z$73)),CONCATENATE("#DEPASSE",TABLEAU!$M$73,"#DEPASSE",TABLEAU!$M$73),CONCATENATE("#DEPASSE",TABLEAU!$M$73)),CONCATENATE("#DEPASSE",TABLEAU!$L$73,"DEPASSE"),"#DEPASSE"),CONCATENATE(TABLEAU!$L$73," (A ",TABLEAU!$Z$73,"): DEPUIS"),"DEPASSE DEPUIS")," 1 "," 1ER "),"DEPASSE DEPUIS DEPASSE DEPUIS","DEPASSE DEPUIS"),CONCATENATE("DEPASSE ",TRIM(TABLEAU!$L$73)," DEPASSE ",TRIM(TABLEAU!$L$73)),CONCATENATE("DEPASSE ",TRIM(TABLEAU!$L$73))),"1ER MIN","1 MIN"),"1ER ERREUR","1 ERREUR"),CONCATENATE("(A ",TABLEAU!$Z$73,"): (A ",TABLEAU!$E$73,":",TABLEAU!$F$73),CONCATENATE("(A ",TABLEAU!$Z$73))," (A ):",""),"DEPASSE DEPUIS (",TABLEAU!$H$73),"] &amp; D","]# &amp; #D"),CONCATENATE("#DEPASSE",TABLEAU!$M$73,"DEPASSE"),"#DEPASSE")," [","): ["),"):):","):"),"DEPUIS ",TABLEAU!$L$73),CONCATENATE(SUBSTITUTE(TABLEAU!$M$73,"DEPUIS ",""))," "),"DEPUIS",CONCATENATE(TABLEAU!$M$73," (",VENDREDI.VERIFIER," A ")),SUBSTITUTE(TABLEAU!$M$73,"DEPUIS","A"),""),"DEPASSE  ","DEPASSE"),"  A "," A"),"  "," "),TRIM(SUBSTITUTE(TABLEAU!$M$73," DEPUIS ","A ")),"EEE"),"EEE",CONCATENATE("A ",TABLEAU!$Z$73)),CONCATENATE("DEPASSE ",TABLEAU!$L$73,"HIER"),"DEPASSE DEPUIS HIER"),"DEPASSEDEPASSE","DEPASSE DEPUIS "),CONCATENATE(" A ",TABLEAU!$Z$59," (A ",TABLEAU!$Z$59),CONCATENATE(" A ",TABLEAU!$Z$59)),CONCATENATE("A ",TABLEAU!$Z$73," ",TABLEAU!$C$73),TABLEAU!$C$73),CONCATENATE(MOIS.MAINTENANT.2," (A"),CONCATENATE(MOIS.MAINTENANT.2," A")),"#DEPASSE #DEPASSEDEPUIS","#DEPASSE DEPUIS"),"A (A","A"),CONCATENATE(TABLEAU!$L$73," DEPASSE"),"DEPASSE"),"DEPASSE (",CONCATENATE("DEPASSE DEPUIS ",TABLEAU!$Q$73," (")),"''MIN","MIN"),"=):","]="),CONCATENATE("#DEPASSE ",TABLEAU!$Q$73),CONCATENATE("#DEPASSE DEPUIS ",TABLEAU!$Q$73)),"DEPASSE","DEPASSE DEPUIS"),"DEPUIS DEPUIS","DEPUIS")),"US A","USA"),CONCATENATE("DEPASSE DEPUIS ",TABLEAU!$Q$73,"DEPASSE DEPUIS ",TABLEAU!$Q$73),CONCATENATE("DEPASSE DEPUIS ",TABLEAU!$Q$73)),CONCATENATE("#DEPASSE DEPUIS ",TABLEAU!$Q$73," #DEPASSE DEPUIS ",TABLEAU!$Q$73),CONCATENATE("#DEPASSE DEPUIS ",TABLEAU!$Q$73)),"#DEPASSE DEPUIS #DEPASSE DEPUIS","#DEPASSE DEPUIS"),CONCATENATE("): ",VENDREDI.DANS," (A ",TABLEAU!$E$73,"H",TABLEAU!$F$73),"")," &amp; D"," &amp; #D"),CONCATENATE(VENDREDI.DANS," (VENDREDI ",DAY(VENDREDI.DATE)," ",LOOKUP(MONTH(VENDREDI.DATE),MOIS)," A ",TABLEAU!$E$73,"H",TABLEAU!$F$73,"): DANS"),"DANS"),CONCATENATE(VENDREDI.DANS," (VENDREDI ",DAY(VENDREDI.DATE)," ",LOOKUP(MONTH(VENDREDI.DATE),MOIS)," A ",TABLEAU!$E$73,"H",TABLEAU!$F$73,"): ",VENDREDI.DANS,"= ",TABLEAU!$AN$23,"(A ",TABLEAU!$E$73,"H",TABLEAU!$F$73),CONCATENATE(VENDREDI.DANS,"= ",TABLEAU!$AN$23," (VENDREDI ",DAY(VENDREDI.DATE)," ",LOOKUP(MONTH(VENDREDI.DATE),MOIS)," A ",TABLEAU!$E$73,"H",TABLEAU!$F$73)),CONCATENATE(VENDREDI.DANS," (VENDREDI ",DAY(VENDREDI.DATE)," ",LOOKUP(MONTH(VENDREDI.DATE),MOIS)," A ",TABLEAU!$E$73,"H",TABLEAU!$F$73,"): DANS"),"DANS"),"# (",CONCATENATE("#",TABLEAU!$H$73)),"DANS 0","DANS "),"# ~ ",CONCATENATE("#",FICHIER.A.MODIFIER," ~ ")),CONCATENATE("A ",SUBSTITUTE(TABLEAU!$M$33,":","H"),"): ~ (A ",SUBSTITUTE(TABLEAU!$M$33,":","H")),CONCATENATE("A ",SUBSTITUTE(TABLEAU!$M$33,":","H"))),CONCATENATE("(A ",TABLEAU!$Z$73,"): ~ (A"),"(A"),"DANS 0 MIN","MAINTENANT"),"DEPUIS(",CONCATENATE("DEPUIS ",TABLEAU!$M$73," (")),"DEPUIS DEPUIS  (A",CONCATENATE("DEPUIS ",TABLEAU!$M$73," (A")),"(A 1 ",CONCATENATE("(A ",TABLEAU!$E$73,":00")),"#A",CONCATENATE("#DANS ",HOUR(TABLEAU!$I$73),"H",TABLEAU!$N$73," (A")),"DEPUIS DEPUIS",CONCATENATE("DEPUIS ",TABLEAU!$M$73))),"]#D","]# &amp; #D"),"DEPUIS =",CONCATENATE("DEPUIS ",TABLEAU!$M$73)),"DANS  MAINTENANT","MAINTENANT")</f>
        <v/>
      </c>
      <c r="K73" s="200" t="str">
        <f ca="1">TRIM(SUBSTITUTE(SUBSTITUTE(SUBSTITUTE(SUBSTITUTE(SUBSTITUTE(SUBSTITUTE(SUBSTITUTE(SUBSTITUTE(SUBSTITUTE(TABLEAU!$O$73,CONCATENATE("): (",TABLEAU!$W$73),""),CONCATENATE("A ",TABLEAU!$E$73,"H",TABLEAU!$X$73,"): ("),""),"(SUR",CONCATENATE("(A ",TABLEAU!$E$73,"H",TABLEAU!$X$73," SUR"))," &amp; (",CONCATENATE(" &amp; ",TABLEAU!$L$73," (")),"AUJOURD'HUI",""),"##","#"),"1ER MIN","1 MIN"),CONCATENATE("DEPASSE ",TRIM(TABLEAU!$L$73)," DEPASSE"),"DEPASSE")," (A ):",""))</f>
        <v/>
      </c>
      <c r="L73" s="211" t="str">
        <f ca="1">UPPER(IF(TABLEAU!$P$73&lt;&gt;"","",IF(TABLEAU!$P$73="","",IF(TABLEAU!$AM$73&lt;&gt;"","#DEPASSE DEPUIS ",IF(TODAY&lt;&gt;"VENDREDI","",IF(COUNTIF(ENCOURS,"#EN COURS#")&lt;&gt;0,"MAINTENANT",SUBSTITUTE(SUBSTITUTE(SUBSTITUTE(IF(OR(TABLEAU!$C$73="",TABLEAU!$D$73=""),"",IF(HOUR(TABLEAU!$I$73)=0,CONCATENATE("DANS ",TABLEAU!$N$73," MIN"),CONCATENATE("DANS ",HOUR(TABLEAU!$I$73),"H",TABLEAU!$N$73))),"DANS 0","DANS "),"DANS  MIN",TABLEAU!$M$73),"DANS 0 MIN","MAINTENANT")))))))</f>
        <v/>
      </c>
      <c r="M73" s="211" t="str">
        <f ca="1">IF(TODAY&lt;&gt;"VENDREDI","",SUBSTITUTE(IF(TABLEAU!$D$73="","",IF(TABLEAU!$AF$73=" ","",IF(TABLEAU!$D$73-H.M&gt;0,"",IF(AND(HOUR(TABLEAU!$AF$73)&gt;0,MINUTE(TABLEAU!$AF$73)&lt;10),CONCATENATE(" ",HOUR(TABLEAU!$AF$73),"H0",MINUTE(TABLEAU!$AF$73)),IF(AND(HOUR(TABLEAU!$AF$73)&gt;0,MINUTE(TABLEAU!$AF$73)&gt;9),CONCATENATE(" ",HOUR(TABLEAU!$AF$73),"H",MINUTE(TABLEAU!$AF$73)),CONCATENATE(" 0",MINUTE(TABLEAU!$AF$73)," MIN"))))))," 0",""))</f>
        <v/>
      </c>
      <c r="N73" s="270" t="str">
        <f ca="1">IF(TABLEAU!$D$73="","",IF(OR(TABLEAU!$C$73="",TODAY&lt;&gt;"VENDREDI"),"",IF(TABLEAU!$P$73="#DEPASSE#","",IF(HOUR((H.M))&gt;HOUR(TABLEAU!$D$73),"",IF(MINUTE(TABLEAU!$I$73)&lt;10,CONCATENATE("0",MINUTE(TABLEAU!$I$73)),MINUTE(TABLEAU!$I$73))))))</f>
        <v/>
      </c>
      <c r="O73" s="201" t="str">
        <f ca="1">UPPER(SUBSTITUTE(SUBSTITUTE(SUBSTITUTE(SUBSTITUTE(SUBSTITUTE(SUBSTITUTE(SUBSTITUTE(SUBSTITUTE(SUBSTITUTE(TABLEAU!$J$73,"DANS 0H","DANS "),"DANS 0","DANS "),CONCATENATE("(A ",TABLEAU!$E$73,"H",TABLEAU!$X$73,"): (",LOOKUP(WEEKDAY(VENDREDI.DATE),SEMAINE)," ",DAY(VENDREDI.DATE)," ",LOOKUP(MONTH(VENDREDI.DATE),MOIS)," A 20H00): "),CONCATENATE(TABLEAU!$L$73," (A ",TABLEAU!$E$73,"H",TABLEAU!$X$73,")")),"DEPUIS 0","DEPUIS "),"&amp; A","&amp; (A"),CONCATENATE("(",NBA),""),"#DEPASSE DEPUIS (A","(A"),"DANS  MAINTENANT","MAINTENANT"),"] &amp; #","]# &amp; #"))</f>
        <v/>
      </c>
      <c r="P73" s="210" t="str">
        <f ca="1">IF(OR(TABLEAU!$D$73="",TODAY&lt;&gt;"VENDREDI"),"",IF(AND(HOUR((H.M))=HOUR(TABLEAU!$D$73),MINUTE((H.M))&gt;MINUTE(TABLEAU!$D$73)),"#DEPASSE#",IF(HOUR((H.M))&gt;HOUR(TABLEAU!$D$73),"#DEPASSE#","")))</f>
        <v/>
      </c>
      <c r="Q73" s="211" t="str">
        <f ca="1">IF(OR(TABLEAU!$P$73="",TABLEAU!$S$73=""),"",IF(AND(HOUR(TABLEAU!$S$73)&gt;0,MINUTE(TABLEAU!$S$73)&lt;10),CONCATENATE(HOUR(TABLEAU!$S$73),"H0",MINUTE(TABLEAU!$S$73)),IF(AND(HOUR(TABLEAU!$S$73)=0,MINUTE(TABLEAU!$S$73)&lt;10),CONCATENATE(MINUTE(TABLEAU!$S$73)," MIN"),IF(AND(HOUR(TABLEAU!$S$73)&gt;0,MINUTE(TABLEAU!$S$73)&gt;9),CONCATENATE(HOUR(TABLEAU!$S$73),"H",MINUTE(TABLEAU!$S$73)),CONCATENATE(MINUTE(TABLEAU!$S$73)," MIN")))))</f>
        <v/>
      </c>
      <c r="R73" s="211" t="str">
        <f ca="1">UPPER(IF(OR(TABLEAU!$C$73="",TODAY&lt;&gt;"VENDREDI"),"",IF(OR(TABLEAU!$D$73="",TABLEAU!$D$73="23:59",TABLEAU!$C$73=""),"",IF(AND(TODAY="VENDREDI",HOUR(TABLEAU!$I$73)&lt;1,MINUTE(TABLEAU!$I$73)&lt;5,TABLEAU!$I$73&lt;&gt;"",TABLEAU!$I$73&lt;&gt;0),"BIENTOT",""))))</f>
        <v/>
      </c>
      <c r="S73" s="618" t="str">
        <f ca="1">IF(TABLEAU!$D$73="","",IF(TODAY&lt;&gt;"VENDREDI","",IF((H.M)&gt;TABLEAU!$D$73,"",(H.M)-TABLEAU!$D$73)))</f>
        <v/>
      </c>
      <c r="T73" s="2154" t="str">
        <f ca="1">UPPER(IF(TODAY="JEUDI","DEMAIN",IF(TODAY="VENDREDI","",IF(TODAY="SAMEDI","DANS 6 JOURS",IF(TODAY="DIMANCHE","DANS 5 JOURS",IF(TODAY=TABLEAU!$K$3,"DANS 4 JOURS",IF(TODAY="MARDI","DANS 3 JOURS",IF(TODAY="MERCREDI","DANS 2 JOURS"))))))))</f>
        <v>DANS 6 JOURS</v>
      </c>
      <c r="U73" s="200" t="str">
        <f ca="1">UPPER(TRIM(SUBSTITUTE(SUBSTITUTE(SUBSTITUTE(SUBSTITUTE(SUBSTITUTE(SUBSTITUTE(SUBSTITUTE(SUBSTITUTE(SUBSTITUTE(SUBSTITUTE(SUBSTITUTE(SUBSTITUTE(SUBSTITUTE(SUBSTITUTE(SUBSTITUTE(SUBSTITUTE(SUBSTITUTE(SUBSTITUTE(IF(TABLEAU!$D$73="","",SUBSTITUTE(SUBSTITUTE(SUBSTITUTE(SUBSTITUTE(SUBSTITUTE(SUBSTITUTE(SUBSTITUTE(SUBSTITUTE(SUBSTITUTE(SUBSTITUTE(SUBSTITUTE(SUBSTITUTE(SUBSTITUTE(SUBSTITUTE(SUBSTITUTE(IF(OR(TABLEAU!$C$73="",TABLEAU!$D$73=""),"",IF(AND(TODAY="VENDREDI",TABLEAU!$P$73&lt;&gt;""),CONCATENATE("#DEPASSE DEPUIS ",TABLEAU!$M$73," ",TABLEAU!$W$73,"#"),CONCATENATE("#",VENDREDI.DANS," ",TABLEAU!$H$73,TABLEAU!$C$73,"#"))),": =",":"),CONCATENATE(NBA,"("),""),CONCATENATE(LOOKUP(MONTH(VENDREDI.DATE),MOIS)," (A"),CONCATENATE(LOOKUP(MONTH(VENDREDI.DATE),MOIS)," A")),"1ER MIN","1 MIN"),"((","("),"##","#"),"# ","#"),CONCATENATE("#",TABLEAU!$H$73,"DEPUIS"),"#DEPASSE DEPUIS"),"DEMAIN (",CONCATENATE("DEMAIN (VENDREDI ",DAY(VENDREDI.DATE)," ",LOOKUP(MONTH(VENDREDI.DATE),MOIS)," ")),"JOURS (A ",CONCATENATE("JOURS (VENDREDI ",DAY(VENDREDI.DATE)," ",LOOKUP(MONTH(VENDREDI.DATE),MOIS)," A ")),"(A","(VENDREDI A"),"DANS 00 MIN","DANS "),"DANS 0","DANS "),"#&amp;","# &amp; "),"JOURS [",CONCATENATE("JOURS (",LOOKUP(WEEKDAY(VENDREDI.DATE),SEMAINE)," ",DAY(VENDREDI.DATE)," ",LOOKUP(MONTH(VENDREDI.DATE),MOIS)," A ",HOUR(TABLEAU!$D$73),"H",TABLEAU!$F$73,"): ["))),CONCATENATE(VENDREDI.DANS," ",VENDREDI.DANS),CONCATENATE(" ",VENDREDI.DANS)),"# ","#"),"#&amp; #","# &amp; #"),"US A","USA"),"(~ ("," ~ ("),"VENDREDI A ","A "),CONCATENATE("#",TABLEAU!$H$73,TABLEAU!$W$73),TABLEAU!$W$73),"DEMAINDANS","DEMAIN DANS"),"''(","'' ("),CONCATENATE("#DANS ",TRIM(TABLEAU!$AH$73)," (#DEPASSE "),"#DEPASSE "),"]#D","]# &amp; #D"),"(MATCH","MATCH"),"COURS &amp; D","COURS# &amp; #D"),"#&amp; ","# &amp; #"),"# &amp; # ","# &amp; #"),CONCATENATE("#DEPASSE DEPUIS ",TABLEAU!$M$73," #"),"#"),"# &amp; ##","# &amp; #"),"DANS  (MAINTENANT","MAINTENANT")))</f>
        <v/>
      </c>
      <c r="V73" s="200" t="str">
        <f ca="1">UPPER(TRIM(SUBSTITUTE(SUBSTITUTE(IF(OR(TABLEAU!$C$73="",TABLEAU!$D$73="",VENDREDI.DANS&lt;&gt;""),"",TABLEAU!$J$73),JOUR.PLUS,""),"DANS  MAINTENANT","MAINTENANT")))</f>
        <v/>
      </c>
      <c r="W73" s="224" t="str">
        <f ca="1">UPPER(IF(TABLEAU!$C$73=0,"",TABLEAU!$C$73))</f>
        <v/>
      </c>
      <c r="X73" s="783"/>
      <c r="Y73" s="211" t="str">
        <f ca="1">IF(OR(TODAY&lt;&gt;"VENDREDI",TABLEAU!$C$73=""),"",IF(OR(TABLEAU!$C$73="",TABLEAU!$D$73=""),"",HOUR(TABLEAU!$D$73)))</f>
        <v/>
      </c>
      <c r="Z73" s="211" t="str">
        <f ca="1">IF(TABLEAU!$AM$73&lt;&gt;""," ",IF(OR(TODAY&lt;&gt;"VENDREDI",TABLEAU!$C$73="",TABLEAU!$D$73="")," ",IF(MINUTE(TABLEAU!$D$73)&lt;10,CONCATENATE(HOUR(TABLEAU!$D$73),"H0",MINUTE(TABLEAU!$D$73)),IF(MINUTE(TABLEAU!$D$73)&gt;9,CONCATENATE(HOUR(TABLEAU!$D$73),"H",MINUTE(TABLEAU!$D$73))))))</f>
        <v xml:space="preserve"> </v>
      </c>
      <c r="AA73" s="247" t="str">
        <f ca="1">TRIM(SUBSTITUTE(SUBSTITUTE(SUBSTITUTE(SUBSTITUTE(IF(TABLEAU!$P$73="#DEPASSE#",TABLEAU!$AB$73,TABLEAU!$U$73),"# ","#"),"#&amp; #","# &amp; #"),"DANS (MAINTENANT","MAINTENANT"),SUBSTITUTE(SUBSTITUTE(CONCATENATE("#",TABLEAU!$H$73,"",TABLEAU!$H$73)," 0"," ")," 0"," "),SUBSTITUTE(TABLEAU!$H$73," 0"," ")))</f>
        <v/>
      </c>
      <c r="AB73" s="211" t="str">
        <f ca="1">UPPER(TRIM(SUBSTITUTE(SUBSTITUTE(SUBSTITUTE(SUBSTITUTE(SUBSTITUTE(SUBSTITUTE(TABLEAU!$K73,CONCATENATE(LOOKUP(MONTH(A),MOIS)," (A"),CONCATENATE(LOOKUP(MONTH(A),MOIS)," A ")),CONCATENATE(LOOKUP(MONTH(A)+1,MOIS)," (A"),CONCATENATE(LOOKUP(MONTH(A)+1,MOIS)," A ")),CONCATENATE("(",YEAR(VENDREDI.DATE)),""),"] &amp; DANS","]# &amp; #DANS"),"DANS MAINTENANT","MAINTENANT"),SUBSTITUTE(CONCATENATE("#",SUBSTITUTE(TABLEAU!$H$73,"(",""),"#",TABLEAU!$H$73)," 0"," "),SUBSTITUTE(TABLEAU!$H$73," 0"," "))))</f>
        <v/>
      </c>
      <c r="AC73" s="696" t="str">
        <f ca="1">IF(TABLEAU!$P$73="#DEPASSE#",CONCATENATE(TABLEAU!$AC$72," &amp; ",TABLEAU!$B$73),TABLEAU!$AC$72)</f>
        <v/>
      </c>
      <c r="AD73" s="1594"/>
      <c r="AE73" s="201" t="str">
        <f ca="1">UPPER(TRIM(SUBSTITUTE(SUBSTITUTE(SUBSTITUTE(SUBSTITUTE(SUBSTITUTE(SUBSTITUTE(SUBSTITUTE(SUBSTITUTE(SUBSTITUTE(SUBSTITUTE(SUBSTITUTE(SUBSTITUTE(SUBSTITUTE(SUBSTITUTE(SUBSTITUTE(SUBSTITUTE(SUBSTITUTE(SUBSTITUTE(SUBSTITUTE(SUBSTITUTE(SUBSTITUTE(SUBSTITUTE(SUBSTITUTE(SUBSTITUTE(IF(TABLEAU!$P$73="#DEPASSE#",TABLEAU!$J$73,IF(TABLEAU!$C$73="","",TRIM(SUBSTITUTE(SUBSTITUTE(SUBSTITUTE(SUBSTITUTE(SUBSTITUTE(SUBSTITUTE(SUBSTITUTE(IF(TABLEAU!$L$73="#DEPASSE DEPUIS ",MODIF,IF(TABLEAU!$I$73=SUBSTITUTE(DEPP,"#",""),DEPP,SUBSTITUTE(SUBSTITUTE(SUBSTITUTE(SUBSTITUTE(SUBSTITUTE(SUBSTITUTE(SUBSTITUTE(SUBSTITUTE(SUBSTITUTE(SUBSTITUTE(SUBSTITUTE(SUBSTITUTE(SUBSTITUTE(SUBSTITUTE(SUBSTITUTE(SUBSTITUTE(SUBSTITUTE(SUBSTITUTE(TABLEAU!$AB$73,CONCATENATE(TABLEAU!$K73," A "),CONCATENATE(TABLEAU!$K73," (A ")),"JANVIER (","JANVIER "),"FEVRIER (","FEVRIER "),"MARS (","MARS "),"AVRIL (","AVRIL "),"MAI (","MAI "),"JUIN (","JUIN "),"JUILLET (","JUILLET "),"AOUT (","AOUT "),"SEPTEMBRE (","SEPTEMBRE "),"OCTOBRE (","OCTOBRE "),"NOVEMBRE (","NOVEMBRE "),"DECEMBRE (","DECEMBRE "),CONCATENATE(" &amp; ",TABLEAU!$K73," (")," &amp; "),CONCATENATE(" &amp;",TABLEAU!$L$73,"(")," &amp; ")," &amp; ("," &amp; "),CONCATENATE(TABLEAU!$K73," (A ",TABLEAU!$AC$73,"): HIER"),"DEPASSE DEPUIS HIER")," &amp; A"," &amp; (A"))),"(A ",CONCATENATE("(",DATE.RDV.TV," A ")),"((","("),CONCATENATE(DATE.RDV.TV," ("),""),CONCATENATE(DATE.RDV.TV," A "),"A "),CONCATENATE(YEAR(A)," (A"),"A"),CONCATENATE(TABLEAU!$L$73," (DEPASSE"),"DEPASSE"),CONCATENATE("DEPASSE",TABLEAU!$L$73,"(",LOOKUP(WEEKDAY(VENDREDI.DATE),SEMAINE)," ",DAY(VENDREDI.DATE)," ",LOOKUP(MONTH(VENDREDI.DATE),MOIS)," A"),"DEPASSE DEPUIS")))),"#&amp; ","# &amp; #"),"DANS (A","MAINTENANT (A"),"DANS (MATCH","DANS MATCH"),CONCATENATE("(DEMAIN= ",DIF.L1," ~ "),""),CONCATENATE("(DEMAIN= ",DIF.LDC," ~ "),""),CONCATENATE("(DEMAIN= ",DIF.UEFA," ~ "),""),CONCATENATE("(DEMAIN= ",DIF.FRANCE," ~ "),""),CONCATENATE("(DEMAIN= ",DIF.LIGUE," ~ "),""),CONCATENATE("(DEMAIN= ",DIF.GP," ~ "),""),CONCATENATE("(DEMAIN= ",DIF.MONDIAL," ~ "),""),CONCATENATE("(DEMAIN= ",DIF.EURO," ~ "),""),CONCATENATE("(DEMAIN= ",DIF.CONFEDERATIONS," ~ "),""),CONCATENATE(TABLEAU!$K$3," A"),"A"),"MARDI A","A"),"MERCREDI A","A"),"JEUDI A","A"),"VENDREDI A","A"),"SAMEDI A","A"),"DIMANCHE A","A"),"00H","0H"),"DEPUIS DEPUIS",CONCATENATE("DEPUIS ",TABLEAU!$M$73)),"] &amp;D","]# &amp; #D"),"A 2A",CONCATENATE("A ",TABLEAU!$Y73,"H",TABLEAU!$F$73))," )",")")))</f>
        <v/>
      </c>
      <c r="AF73" s="983" t="str">
        <f ca="1">IF(TODAY&lt;&gt;"VENDREDI"," ",IF(TABLEAU!$D$73="","",H.M-TABLEAU!$D$73))</f>
        <v xml:space="preserve"> </v>
      </c>
      <c r="AG73" s="983" t="str">
        <f ca="1">IF(TABLEAU!$B$73="","",IF(TABLEAU!$I$73&lt;&gt;0,"",IF(TODAY&lt;&gt;"VENDREDI","",IF(TABLEAU!$AF$73=" ","",IF(TABLEAU!$AF$73="","",IF(AND(HOUR(TABLEAU!$AF$73)&gt;0,MINUTE(TABLEAU!$AF$73)&lt;10),CONCATENATE(HOUR(TABLEAU!$AF$73),"H0",MINUTE(TABLEAU!$AF$73)),IF(AND(HOUR(TABLEAU!$AF$73)&gt;0,MINUTE(TABLEAU!$AF$73)&gt;9),CONCATENATE(HOUR(TABLEAU!$AF$73),"H",MINUTE(TABLEAU!$AF$73)),CONCATENATE(MINUTE(TABLEAU!$AF$73)," MIN"))))))))</f>
        <v/>
      </c>
      <c r="AH73" s="983" t="str">
        <f ca="1">IF(TABLEAU!$I$73="","",IF(MINUTE(TABLEAU!$I$73)&gt;9,CONCATENATE(HOUR(TABLEAU!$I$73),"H",MINUTE(TABLEAU!$I$73)),CONCATENATE(HOUR(TABLEAU!$I$73),"H0",MINUTE(TABLEAU!$I$73))))</f>
        <v/>
      </c>
      <c r="AI73" s="1620"/>
      <c r="AJ73" s="88" t="str">
        <f ca="1">IF(TABLEAU!$B$73="","",TABLEAU!$P$73)</f>
        <v/>
      </c>
      <c r="AK73" s="88" t="str">
        <f ca="1">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O$73,"DEPASSE","&amp;&amp;&amp;"),"A",""),"B",""),"C",""),"D",""),"E",""),"F",""),"G",""),"H",""),"I",""),"J",""),"K",""),"L",""),"M",""),"N",""),"O",""),"P",""),"Q",""),"R",""),"S",""),"T",""),"U",""),"V",""),"W",""),"X",""),"Y",""),"Z",""),"0",""),"1",""),"2",""),"3",""),"4",""),"5",""),"6",""),"7",""),"8",""),"9",""),":",""),"(",""),")",""),"[",""),"]","")," ",""))</f>
        <v/>
      </c>
      <c r="AL73" s="634" t="str">
        <f ca="1">UPPER(IF(DATE.RDV.TV&lt;&gt;"VENDREDI","",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B$73,"DEPASSE ","¤¤"),"A",""),"B",""),"C",""),"D",""),"E",""),"F",""),"G",""),"H",""),"I",""),"J",""),"K",""),"L",""),"M",""),"N",""),"O",""),"P",""),"Q",""),"R",""),"S",""),"T",""),"U",""),"V",""),"W",""),"X",""),"Y",""),"Z",""),"1",""),"2",""),"3",""),"4",""),"5",""),"6",""),"7",""),"8",""),"9",""),"0",""),"-",""),"(",""),")",""),"{",""),"}",""),"=",""),"[",""),"]",""),"#",""),"+",""),":",""),"/",""),"'",""),".","")," &amp; ","")," ° ",""))))</f>
        <v/>
      </c>
      <c r="AM73" s="836" t="str">
        <f ca="1">UPPER(IF(DATE.RDV.TV&lt;&gt;"VENDREDI","",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C$73,"CHAMPIONNAT","¤"),"LDC","¤¤"),"UEFA","¤¤¤"),"FRANCE","¤¤¤¤"),"LIGUE","¤¤¤¤¤"),"GP","¤¤¤¤¤¤"),"MONDIAL","¤¤¤¤¤¤¤"),"EURO","¤¤¤¤¤¤¤¤"),"CONFEDERATIONS","¤¤¤¤¤¤¤¤¤"),"A",""),"B",""),"C",""),"D",""),"E",""),"F",""),"G",""),"H",""),"I",""),"J",""),"K",""),"L",""),"M",""),"N",""),"O",""),"P",""),"Q",""),"R",""),"S",""),"T",""),"U",""),"V",""),"W",""),"X",""),"Y",""),"Z",""),"1",""),"2",""),"3",""),"4",""),"5",""),"6",""),"7",""),"8",""),"9",""),"0",""),"-",""),"(",""),")",""),"{",""),"}",""),"=",""),"[",""),"]",""),"#",""),"+",""),":",""),"/",""),"'",""),".","")," &amp; ","")," ° ",""),"~",""))))</f>
        <v/>
      </c>
      <c r="AN73" s="1576" t="str">
        <f ca="1">IF(TABLEAU!$B$73=TABLEAU!$B$72,"",IF(OR(TABLEAU!$A$73="#DEPASSE#",TABLEAU!$P$73="#DEPASSE#"),TABLEAU!$B$73,""))</f>
        <v/>
      </c>
      <c r="AO73" s="1577"/>
      <c r="AP73" s="1577"/>
      <c r="AQ73" s="1577"/>
      <c r="AR73" s="1577"/>
      <c r="AS73" s="1577"/>
      <c r="AT73" s="1577"/>
      <c r="AU73" s="1577"/>
      <c r="AV73" s="1577"/>
      <c r="AW73" s="1577"/>
      <c r="AX73" s="1578"/>
      <c r="AY73" s="1243">
        <f ca="1">IF(AND(TABLEAU!$C$73&lt;&gt;"",TABLEAU!$B$73=""),1,0)</f>
        <v>0</v>
      </c>
      <c r="AZ73" s="2576"/>
      <c r="BA73" s="2577"/>
    </row>
    <row r="74" spans="1:53" ht="12" customHeight="1" thickBot="1">
      <c r="A74" s="1508" t="str">
        <f ca="1">IF(TABLEAU!$B$74="","",IF(OR(TABLEAU!$AL$74="¤¤",TABLEAU!$P$74&lt;&gt;""),"#DEPASSE#",SUBSTITUTE(IF(OR(VENDREDI.4="",TABLEAU!$C$74=""),"",IF(AND(TODAY="VENDREDI",HOUR((H.M))&gt;HOUR(VENDREDI.4),MINUTE((H.M))&gt;MINUTE(VENDREDI.4)),"",IF(TODAY&lt;&gt;"VENDREDI","",IF(HOUR(TABLEAU!$I$74)&gt;0,CONCATENATE("DANS ",HOUR(TABLEAU!$I$74),"H",TABLEAU!$N$74),CONCATENATE("DANS ",HOUR(TABLEAU!$I$74),"H",TABLEAU!$N$74," MIN")))))," 0H"," ")))</f>
        <v/>
      </c>
      <c r="B74" s="1512" t="str">
        <f ca="1">SUBSTITUTE(SUBSTITUTE(SUBSTITUTE(IF(OR(TABLEAU!$C74,TABLEAU!$D74=""),"",SUBSTITUTE(SUBSTITUTE(SUBSTITUTE(SUBSTITUTE(SUBSTITUTE(SUBSTITUTE(SUBSTITUTE(SUBSTITUTE(SUBSTITUTE(SUBSTITUTE(SUBSTITUTE(SUBSTITUTE(SUBSTITUTE(SUBSTITUTE(SUBSTITUTE(SUBSTITUTE(SUBSTITUTE(SUBSTITUTE(SUBSTITUTE(SUBSTITUTE(SUBSTITUTE(SUBSTITUTE(SUBSTITUTE(SUBSTITUTE(IF(TABLEAU!$C74="","",SUBSTITUTE(IF(TABLEAU!$AE74="",TABLEAU!$U74,TABLEAU!$AE74),CONCATENATE(CVB,YEAR(A)," "),""))," #"," "),"] &amp; D","]# &amp; #D")," &amp; (A",CONCATENATE("# &amp; #",TABLEAU!$H74,"A")),"&amp; DEPASSE","&amp; #DEPASSE"),"## &amp; #A","# &amp; #(A"),"DANS MAINTENANT","MAINTENANT"),CONCATENATE(" H",TABLEAU!$N74),CONCATENATE(" ",TABLEAU!$N74," MIN"))," 0"," "),"] &amp;D","]# &amp; #D"),"}  MIN","} H"),"# &amp; D","# &amp; #D"),CONCATENATE("#MAINTENANT (A ",TABLEAU!$Z74,"): MAINTENANT"),"#MAINTENANT"),TABLEAU!$AB$2,""),TABLEAU!$AM$5,"")," MINAMILTON","HAMILTON"),CONCATENATE(TABLEAU!$Z74," ",TABLEAU!$Z74),TABLEAU!$Z74),"DEPUIS  MINIER","DEPUIS HIER"),"MINONGRIE","HONGRIE"),"#DANS (#DEPASSE","#DEPASSE"),CONCATENATE(" ",YEAR(A)),""),"]= [","= ["),")])",")]"),"#DEPASSE DEPUISDANS","#DANS"),"(A 1A ):",CONCATENATE("(A ",HOUR(TABLEAU!$D74),"H",TABLEAU!$F74,"):"))),"SUR "," SUR "),"  SUR "," SUR "),CONCATENATE("DEPASSE DEPUIS ",TABLEAU!$M74," (A DANS"),"DANS")</f>
        <v/>
      </c>
      <c r="C74" s="631"/>
      <c r="D74" s="632"/>
      <c r="E74" s="2660" t="str">
        <f>IF(TABLEAU!$D74="","",IF(TABLEAU!$D74="23:59","",HOUR(TABLEAU!$D74)))</f>
        <v/>
      </c>
      <c r="F74" s="2658" t="str">
        <f>IF(OR(TABLEAU!$D$74="",TABLEAU!$D$74="23:59"),"59",IF(MINUTE(TABLEAU!$D$74)&lt;10,CONCATENATE("0",MINUTE(TABLEAU!$D$74)),CONCATENATE(MINUTE(TABLEAU!$D$74))))</f>
        <v>59</v>
      </c>
      <c r="G74" s="592" t="str">
        <f ca="1">UPPER(SUBSTITUTE(SUBSTITUTE(SUBSTITUTE(IF(TABLEAU!$D$74="","",SUBSTITUTE(SUBSTITUTE(SUBSTITUTE(SUBSTITUTE(SUBSTITUTE(SUBSTITUTE(SUBSTITUTE(SUBSTITUTE(SUBSTITUTE(SUBSTITUTE(SUBSTITUTE(SUBSTITUTE(SUBSTITUTE(SUBSTITUTE(SUBSTITUTE(IF(OR(TABLEAU!$D$74="",TABLEAU!$C$74=""),"",IF(AND(TODAY="VENDREDI",HOUR((H.M))&gt;HOUR(TABLEAU!$D$74),MINUTE((H.M))&gt;MINUTE(TABLEAU!$D$74)),CONCATENATE("#DEPASSE DEPUIS",TABLEAU!$M$74," ",TABLEAU!$C$74,"#"),IF(TABLEAU!$P$74&lt;&gt;"",CONCATENATE("#DEPASSE DEPUIS",TABLEAU!$M$74," ",TABLEAU!$C$74,"#"),IF(TODAY&lt;&gt;"VENDREDI",CONCATENATE("#",VENDREDI.DANS," (VENDREDI ",DAY(VENDREDI.DATE)," ",LOOKUP(MONTH(VENDREDI.DATE),MOIS)," A ",HOUR(TABLEAU!$D$74),"H",TABLEAU!$F$74,"): ",TABLEAU!$C$74,"#"),CONCATENATE("#",TABLEAU!$L$74," (A ",TABLEAU!$Z$74,"): ",SUBSTITUTE(TABLEAU!$C$74,"#",""),"#"))))),CONCATENATE(LOOKUP(MONTH(VENDREDI.DATE),MOIS)," (A"),CONCATENATE(LOOKUP(MONTH(VENDREDI.DATE),MOIS)," A")),"##","#"),CONCATENATE("#DEPASSE DEPUIS  (A ): ",TABLEAU!$C$74,"#"),""),CONCATENATE("(A ",TABLEAU!$E$74,"H",TABLEAU!$X$74,"): "),""),CONCATENATE(TABLEAU!$L$74," DEPUIS"),"DEPASSE DEPUIS"),CONCATENATE("A ",HOUR(TABLEAU!$D$74),"H",TABLEAU!$F$74,"): (A ",HOUR(TABLEAU!$D$74),"H",TABLEAU!$F$74),CONCATENATE("A ",HOUR(TABLEAU!$D$74),"H",TABLEAU!$F$74)),"#DEPASSEDEPASSE","#DEPASSE"),"# (",CONCATENATE("#",TABLEAU!$H$74)),CONCATENATE("A ",SUBSTITUTE(TABLEAU!$M$33,":","H"),"): ~ (A ",SUBSTITUTE(TABLEAU!$M$33,":","H")),CONCATENATE("A ",SUBSTITUTE(TABLEAU!$M$33,":","H"))),CONCATENATE("#DEPASSE ",TABLEAU!$M$74,"#D"),"#D")," D"," #D"),"#DEPUIS","DEPUIS"),"COURS ","COURS# "),"#DE ","DE "),"GP #D","GP D")),"# &amp; #",CONCATENATE("# &amp; #DEPASSE DEPUIS",TABLEAU!$M$74," ")),"] &amp; (",CONCATENATE("]# &amp; DANS ",TABLEAU!$AH$74," ("))," 0"," "))</f>
        <v/>
      </c>
      <c r="H74" s="566" t="str">
        <f ca="1">SUBSTITUTE(IF(OR(DATE.RDV.TV&lt;&gt;"VENDREDI",TABLEAU!$C$74=""),"",IF(HOUR(TABLEAU!$I$74)=0,CONCATENATE("DANS ",TABLEAU!$N$74," MIN ("),CONCATENATE("DANS ",HOUR(TABLEAU!$I$74),"H",TABLEAU!$N$74," ("))),"DANS  MIN (","")</f>
        <v/>
      </c>
      <c r="I74" s="308" t="str">
        <f ca="1">IF(OR(TODAY&lt;&gt;"VENDREDI",TABLEAU!$C$74=""),"",IF(OR(TABLEAU!$D$74="",TABLEAU!$P$74="#DEPASSE#",TODAY&lt;&gt;"VENDREDI"),0,IF(HOUR((H.M))&gt;HOUR(TABLEAU!$D$74),0,TABLEAU!$D$74-H.M)))</f>
        <v/>
      </c>
      <c r="J74" s="309" t="str">
        <f ca="1">SUBSTITUTE(SUBSTITUTE(SUBSTITUTE(IF(TABLEAU!$I$74="","",SUBSTITUTE(SUBSTITUTE(SUBSTITUTE(SUBSTITUTE(SUBSTITUTE(SUBSTITUTE(SUBSTITUTE(SUBSTITUTE(SUBSTITUTE(SUBSTITUTE(SUBSTITUTE(SUBSTITUTE(SUBSTITUTE(SUBSTITUTE(SUBSTITUTE(SUBSTITUTE(SUBSTITUTE(SUBSTITUTE(SUBSTITUTE(SUBSTITUTE(IF(DATE.DEPASSE&lt;0,TABLEAU!$U$74,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G74,"  "," "),CONCATENATE("(A ",TABLEAU!$Z$74,"): (A ",TABLEAU!$Z$74),CONCATENATE("(A ",TABLEAU!$Z$74)),CONCATENATE("#DEPASSE",TABLEAU!$M$74,"#DEPASSE",TABLEAU!$M$74),CONCATENATE("#DEPASSE",TABLEAU!$M$74)),CONCATENATE("#DEPASSE",TABLEAU!$L$74,"DEPASSE"),"#DEPASSE"),CONCATENATE(TABLEAU!$L$74," (A ",TABLEAU!$Z$74,"): DEPUIS"),"DEPASSE DEPUIS")," 1 "," 1ER "),"DEPASSE DEPUIS DEPASSE DEPUIS","DEPASSE DEPUIS"),CONCATENATE("DEPASSE ",TRIM(TABLEAU!$L$74)," DEPASSE ",TRIM(TABLEAU!$L$74)),CONCATENATE("DEPASSE ",TRIM(TABLEAU!$L$74))),"1ER MIN","1 MIN"),"1ER ERREUR","1 ERREUR"),CONCATENATE("(A ",TABLEAU!$Z$74,"): (A ",TABLEAU!$E$74,":",TABLEAU!$F$74),CONCATENATE("(A ",TABLEAU!$Z$74))," (A ):",""),"DEPASSE DEPUIS (",TABLEAU!$H$74),"] &amp; D","]# &amp; #D"),CONCATENATE("#DEPASSE",TABLEAU!$M$74,"DEPASSE"),"#DEPASSE")," [","): ["),"):):","):"),"DEPUIS ",TABLEAU!$L$74),CONCATENATE(SUBSTITUTE(TABLEAU!$M$74,"DEPUIS ",""))," "),"DEPUIS",CONCATENATE(TABLEAU!$M$74," (",VENDREDI.VERIFIER," A ")),SUBSTITUTE(TABLEAU!$M$74,"DEPUIS","A"),""),"DEPASSE  ","DEPASSE"),"  A "," A"),"  "," "),TRIM(SUBSTITUTE(TABLEAU!$M$74," DEPUIS ","A ")),"EEE"),"EEE",CONCATENATE("A ",TABLEAU!$Z$74)),CONCATENATE("DEPASSE ",TABLEAU!$L$74,"HIER"),"DEPASSE DEPUIS HIER"),"DEPASSEDEPASSE","DEPASSE DEPUIS "),CONCATENATE(" A ",TABLEAU!$Z$59," (A ",TABLEAU!$Z$59),CONCATENATE(" A ",TABLEAU!$Z$59)),CONCATENATE("A ",TABLEAU!$Z$74," ",TABLEAU!$C$74),TABLEAU!$C$74),CONCATENATE(MOIS.MAINTENANT.2," (A"),CONCATENATE(MOIS.MAINTENANT.2," A")),"#DEPASSE #DEPASSEDEPUIS","#DEPASSE DEPUIS"),"A (A","A"),CONCATENATE(TABLEAU!$L$74," DEPASSE"),"DEPASSE"),"DEPASSE (",CONCATENATE("DEPASSE DEPUIS ",TABLEAU!$Q$74," (")),"''MIN","MIN"),"=):","]="),CONCATENATE("#DEPASSE ",TABLEAU!$Q$74),CONCATENATE("#DEPASSE DEPUIS ",TABLEAU!$Q$74)),"DEPASSE","DEPASSE DEPUIS"),"DEPUIS DEPUIS","DEPUIS")),"US A","USA"),CONCATENATE("DEPASSE DEPUIS ",TABLEAU!$Q$74,"DEPASSE DEPUIS ",TABLEAU!$Q$74),CONCATENATE("DEPASSE DEPUIS ",TABLEAU!$Q$74)),CONCATENATE("#DEPASSE DEPUIS ",TABLEAU!$Q$74," #DEPASSE DEPUIS ",TABLEAU!$Q$74),CONCATENATE("#DEPASSE DEPUIS ",TABLEAU!$Q$74)),"#DEPASSE DEPUIS #DEPASSE DEPUIS","#DEPASSE DEPUIS"),CONCATENATE("): ",VENDREDI.DANS," (A ",TABLEAU!$E$74,"H",TABLEAU!$F$74),"")," &amp; D"," &amp; #D"),CONCATENATE(VENDREDI.DANS," (VENDREDI ",DAY(VENDREDI.DATE)," ",LOOKUP(MONTH(VENDREDI.DATE),MOIS)," A ",TABLEAU!$E$74,"H",TABLEAU!$F$74,"): DANS"),"DANS"),CONCATENATE(VENDREDI.DANS," (VENDREDI ",DAY(VENDREDI.DATE)," ",LOOKUP(MONTH(VENDREDI.DATE),MOIS)," A ",TABLEAU!$E$74,"H",TABLEAU!$F$74,"): ",VENDREDI.DANS,"= ",TABLEAU!$AN$23,"(A ",TABLEAU!$E$74,"H",TABLEAU!$F$74),CONCATENATE(VENDREDI.DANS,"= ",TABLEAU!$AN$23," (VENDREDI ",DAY(VENDREDI.DATE)," ",LOOKUP(MONTH(VENDREDI.DATE),MOIS)," A ",TABLEAU!$E$74,"H",TABLEAU!$F$74)),CONCATENATE(VENDREDI.DANS," (VENDREDI ",DAY(VENDREDI.DATE)," ",LOOKUP(MONTH(VENDREDI.DATE),MOIS)," A ",TABLEAU!$E$74,"H",TABLEAU!$F$74,"): DANS"),"DANS"),"# (",CONCATENATE("#",TABLEAU!$H$74)),"DANS 0","DANS "),"# ~ ",CONCATENATE("#",FICHIER.A.MODIFIER," ~ ")),CONCATENATE("A ",SUBSTITUTE(TABLEAU!$M$33,":","H"),"): ~ (A ",SUBSTITUTE(TABLEAU!$M$33,":","H")),CONCATENATE("A ",SUBSTITUTE(TABLEAU!$M$33,":","H"))),CONCATENATE("(A ",TABLEAU!$Z$74,"): ~ (A"),"(A"),"DANS 0 MIN","MAINTENANT"),"DEPUIS(",CONCATENATE("DEPUIS ",TABLEAU!$M$74," (")),"DEPUIS DEPUIS  (A",CONCATENATE("DEPUIS ",TABLEAU!$M$74," (A")),"(A 1 ",CONCATENATE("(A ",TABLEAU!$E$74,":00")),"#A",CONCATENATE("#DANS ",HOUR(TABLEAU!$I$74),"H",TABLEAU!$N$74," (A")),"DEPUIS DEPUIS",CONCATENATE("DEPUIS ",TABLEAU!$M$74))),"]#D","]# &amp; #D"),"DEPUIS =",CONCATENATE("DEPUIS ",TABLEAU!$M$74)),"DANS  MAINTENANT","MAINTENANT")</f>
        <v/>
      </c>
      <c r="K74" s="310" t="str">
        <f ca="1">TRIM(SUBSTITUTE(SUBSTITUTE(SUBSTITUTE(SUBSTITUTE(SUBSTITUTE(SUBSTITUTE(SUBSTITUTE(SUBSTITUTE(SUBSTITUTE(TABLEAU!$O$74,CONCATENATE("): (",TABLEAU!$W$74),""),CONCATENATE("A ",TABLEAU!$E$74,"H",TABLEAU!$X$74,"): ("),""),"(SUR",CONCATENATE("(A ",TABLEAU!$E$74,"H",TABLEAU!$X$74," SUR"))," &amp; (",CONCATENATE(" &amp; ",TABLEAU!$L$74," (")),"AUJOURD'HUI",""),"##","#"),"1ER MIN","1 MIN"),CONCATENATE("DEPASSE ",TRIM(TABLEAU!$L$74)," DEPASSE"),"DEPASSE")," (A ):",""))</f>
        <v/>
      </c>
      <c r="L74" s="311" t="str">
        <f ca="1">UPPER(IF(TABLEAU!$P$74&lt;&gt;"","",IF(TABLEAU!$P$74="","",IF(TABLEAU!$AM$74&lt;&gt;"","#DEPASSE DEPUIS ",IF(TODAY&lt;&gt;"VENDREDI","",IF(COUNTIF(ENCOURS,"#EN COURS#")&lt;&gt;0,"MAINTENANT",SUBSTITUTE(SUBSTITUTE(SUBSTITUTE(IF(OR(TABLEAU!$C$74="",TABLEAU!$D$74=""),"",IF(HOUR(TABLEAU!$I$74)=0,CONCATENATE("DANS ",TABLEAU!$N$74," MIN"),CONCATENATE("DANS ",HOUR(TABLEAU!$I$74),"H",TABLEAU!$N$74))),"DANS 0","DANS "),"DANS  MIN",TABLEAU!$M$74),"DANS 0 MIN","MAINTENANT")))))))</f>
        <v/>
      </c>
      <c r="M74" s="311" t="str">
        <f ca="1">IF(TODAY&lt;&gt;"VENDREDI","",SUBSTITUTE(IF(TABLEAU!$D$74="","",IF(TABLEAU!$AF$74=" ","",IF(TABLEAU!$D$74-H.M&gt;0,"",IF(AND(HOUR(TABLEAU!$AF$74)&gt;0,MINUTE(TABLEAU!$AF$74)&lt;10),CONCATENATE(" ",HOUR(TABLEAU!$AF$74),"H0",MINUTE(TABLEAU!$AF$74)),IF(AND(HOUR(TABLEAU!$AF$74)&gt;0,MINUTE(TABLEAU!$AF$74)&gt;9),CONCATENATE(" ",HOUR(TABLEAU!$AF$74),"H",MINUTE(TABLEAU!$AF$74)),CONCATENATE(" 0",MINUTE(TABLEAU!$AF$74)," MIN"))))))," 0",""))</f>
        <v/>
      </c>
      <c r="N74" s="282" t="str">
        <f>IF(TABLEAU!$D$74="","",IF(OR(TABLEAU!$C$74="",TODAY&lt;&gt;"VENDREDI"),"",IF(TABLEAU!$P$74="#DEPASSE#","",IF(HOUR((H.M))&gt;HOUR(TABLEAU!$D$74),"",IF(MINUTE(TABLEAU!$I$74)&lt;10,CONCATENATE("0",MINUTE(TABLEAU!$I$74)),MINUTE(TABLEAU!$I$74))))))</f>
        <v/>
      </c>
      <c r="O74" s="312" t="str">
        <f ca="1">UPPER(SUBSTITUTE(SUBSTITUTE(SUBSTITUTE(SUBSTITUTE(SUBSTITUTE(SUBSTITUTE(SUBSTITUTE(SUBSTITUTE(SUBSTITUTE(TABLEAU!$J$74,"DANS 0H","DANS "),"DANS 0","DANS "),CONCATENATE("(A ",TABLEAU!$E$74,"H",TABLEAU!$X$74,"): (",LOOKUP(WEEKDAY(VENDREDI.DATE),SEMAINE)," ",DAY(VENDREDI.DATE)," ",LOOKUP(MONTH(VENDREDI.DATE),MOIS)," A 20H00): "),CONCATENATE(TABLEAU!$L$74," (A ",TABLEAU!$E$74,"H",TABLEAU!$X$74,")")),"DEPUIS 0","DEPUIS "),"&amp; A","&amp; (A"),CONCATENATE("(",NBA),""),"#DEPASSE DEPUIS (A","(A"),"DANS  MAINTENANT","MAINTENANT"),"] &amp; #","]# &amp; #"))</f>
        <v/>
      </c>
      <c r="P74" s="392" t="str">
        <f ca="1">IF(OR(TABLEAU!$D$74="",TODAY&lt;&gt;"VENDREDI"),"",IF(AND(HOUR((H.M))=HOUR(TABLEAU!$D$74),MINUTE((H.M))&gt;MINUTE(TABLEAU!$D$74)),"#DEPASSE#",IF(HOUR((H.M))&gt;HOUR(TABLEAU!$D$74),"#DEPASSE#","")))</f>
        <v/>
      </c>
      <c r="Q74" s="393" t="str">
        <f ca="1">IF(OR(TABLEAU!$P$74="",TABLEAU!$S$74=""),"",IF(AND(HOUR(TABLEAU!$S$74)&gt;0,MINUTE(TABLEAU!$S$74)&lt;10),CONCATENATE(HOUR(TABLEAU!$S$74),"H0",MINUTE(TABLEAU!$S$74)),IF(AND(HOUR(TABLEAU!$S$74)=0,MINUTE(TABLEAU!$S$74)&lt;10),CONCATENATE(MINUTE(TABLEAU!$S$74)," MIN"),IF(AND(HOUR(TABLEAU!$S$74)&gt;0,MINUTE(TABLEAU!$S$74)&gt;9),CONCATENATE(HOUR(TABLEAU!$S$74),"H",MINUTE(TABLEAU!$S$74)),CONCATENATE(MINUTE(TABLEAU!$S$74)," MIN")))))</f>
        <v/>
      </c>
      <c r="R74" s="393" t="str">
        <f ca="1">UPPER(IF(OR(TABLEAU!$C$74="",TODAY&lt;&gt;"VENDREDI"),"",IF(OR(TABLEAU!$D$74="",TABLEAU!$D$74="23:59",TABLEAU!$C$74=""),"",IF(AND(TODAY="VENDREDI",HOUR(TABLEAU!$I$74)&lt;1,MINUTE(TABLEAU!$I$74)&lt;5,TABLEAU!$I$74&lt;&gt;"",TABLEAU!$I$74&lt;&gt;0),"BIENTOT",""))))</f>
        <v/>
      </c>
      <c r="S74" s="620" t="str">
        <f>IF(TABLEAU!$D$74="","",IF(TODAY&lt;&gt;"VENDREDI","",IF((H.M)&gt;TABLEAU!$D$74,"",(H.M)-TABLEAU!$D$74)))</f>
        <v/>
      </c>
      <c r="T74" s="2155"/>
      <c r="U74" s="310" t="str">
        <f ca="1">UPPER(TRIM(SUBSTITUTE(SUBSTITUTE(SUBSTITUTE(SUBSTITUTE(SUBSTITUTE(SUBSTITUTE(SUBSTITUTE(SUBSTITUTE(SUBSTITUTE(SUBSTITUTE(SUBSTITUTE(SUBSTITUTE(SUBSTITUTE(SUBSTITUTE(SUBSTITUTE(SUBSTITUTE(SUBSTITUTE(SUBSTITUTE(IF(TABLEAU!$D$74="","",SUBSTITUTE(SUBSTITUTE(SUBSTITUTE(SUBSTITUTE(SUBSTITUTE(SUBSTITUTE(SUBSTITUTE(SUBSTITUTE(SUBSTITUTE(SUBSTITUTE(SUBSTITUTE(SUBSTITUTE(SUBSTITUTE(SUBSTITUTE(SUBSTITUTE(IF(OR(TABLEAU!$C$74="",TABLEAU!$D$74=""),"",IF(AND(TODAY="VENDREDI",TABLEAU!$P$74&lt;&gt;""),CONCATENATE("#DEPASSE DEPUIS ",TABLEAU!$M$74," ",TABLEAU!$W$74,"#"),CONCATENATE("#",VENDREDI.DANS," ",TABLEAU!$H$74,TABLEAU!$C$74,"#"))),": =",":"),CONCATENATE(NBA,"("),""),CONCATENATE(LOOKUP(MONTH(VENDREDI.DATE),MOIS)," (A"),CONCATENATE(LOOKUP(MONTH(VENDREDI.DATE),MOIS)," A")),"1ER MIN","1 MIN"),"((","("),"##","#"),"# ","#"),CONCATENATE("#",TABLEAU!$H$74,"DEPUIS"),"#DEPASSE DEPUIS"),"DEMAIN (",CONCATENATE("DEMAIN (VENDREDI ",DAY(VENDREDI.DATE)," ",LOOKUP(MONTH(VENDREDI.DATE),MOIS)," ")),"JOURS (A ",CONCATENATE("JOURS (VENDREDI ",DAY(VENDREDI.DATE)," ",LOOKUP(MONTH(VENDREDI.DATE),MOIS)," A ")),"(A","(VENDREDI A"),"DANS 00 MIN","DANS "),"DANS 0","DANS "),"#&amp;","# &amp; "),"JOURS [",CONCATENATE("JOURS (",LOOKUP(WEEKDAY(VENDREDI.DATE),SEMAINE)," ",DAY(VENDREDI.DATE)," ",LOOKUP(MONTH(VENDREDI.DATE),MOIS)," A ",HOUR(TABLEAU!$D$74),"H",TABLEAU!$F$74,"): ["))),CONCATENATE(VENDREDI.DANS," ",VENDREDI.DANS),CONCATENATE(" ",VENDREDI.DANS)),"# ","#"),"#&amp; #","# &amp; #"),"US A","USA"),"(~ ("," ~ ("),"VENDREDI A ","A "),CONCATENATE("#",TABLEAU!$H$74,TABLEAU!$W$74),TABLEAU!$W$74),"DEMAINDANS","DEMAIN DANS"),"''(","'' ("),CONCATENATE("#DANS ",TRIM(TABLEAU!$AH$74)," (#DEPASSE "),"#DEPASSE "),"]#D","]# &amp; #D"),"(MATCH","MATCH"),"COURS &amp; D","COURS# &amp; #D"),"#&amp; ","# &amp; #"),"# &amp; # ","# &amp; #"),CONCATENATE("#DEPASSE DEPUIS ",TABLEAU!$M$74," #"),"#"),"# &amp; ##","# &amp; #"),"DANS  (MAINTENANT","MAINTENANT")))</f>
        <v/>
      </c>
      <c r="V74" s="310" t="str">
        <f ca="1">UPPER(TRIM(SUBSTITUTE(SUBSTITUTE(IF(OR(TABLEAU!$C$74="",TABLEAU!$D$74="",VENDREDI.DANS&lt;&gt;""),"",TABLEAU!$J$74),JOUR.PLUS,""),"DANS  MAINTENANT","MAINTENANT")))</f>
        <v/>
      </c>
      <c r="W74" s="351" t="str">
        <f>UPPER(IF(TABLEAU!$C$74=0,"",TABLEAU!$C$74))</f>
        <v/>
      </c>
      <c r="X74" s="783"/>
      <c r="Y74" s="311" t="str">
        <f ca="1">IF(OR(TODAY&lt;&gt;"VENDREDI",TABLEAU!$C$74=""),"",IF(OR(TABLEAU!$C$74="",TABLEAU!$D$74=""),"",HOUR(TABLEAU!$D$74)))</f>
        <v/>
      </c>
      <c r="Z74" s="311" t="str">
        <f ca="1">IF(TABLEAU!$AM$74&lt;&gt;""," ",IF(OR(TODAY&lt;&gt;"VENDREDI",TABLEAU!$C$74="",TABLEAU!$D$74="")," ",IF(MINUTE(TABLEAU!$D$74)&lt;10,CONCATENATE(HOUR(TABLEAU!$D$74),"H0",MINUTE(TABLEAU!$D$74)),IF(MINUTE(TABLEAU!$D$74)&gt;9,CONCATENATE(HOUR(TABLEAU!$D$74),"H",MINUTE(TABLEAU!$D$74))))))</f>
        <v xml:space="preserve"> </v>
      </c>
      <c r="AA74" s="360" t="str">
        <f ca="1">TRIM(SUBSTITUTE(SUBSTITUTE(SUBSTITUTE(SUBSTITUTE(IF(TABLEAU!$P$74="#DEPASSE#",TABLEAU!$AB$74,TABLEAU!$U$74),"# ","#"),"#&amp; #","# &amp; #"),"DANS (MAINTENANT","MAINTENANT"),SUBSTITUTE(SUBSTITUTE(CONCATENATE("#",TABLEAU!$H$74,"",TABLEAU!$H$74)," 0"," ")," 0"," "),SUBSTITUTE(TABLEAU!$H$74," 0"," ")))</f>
        <v/>
      </c>
      <c r="AB74" s="311" t="str">
        <f ca="1">UPPER(TRIM(SUBSTITUTE(SUBSTITUTE(SUBSTITUTE(SUBSTITUTE(SUBSTITUTE(SUBSTITUTE(TABLEAU!$K74,CONCATENATE(LOOKUP(MONTH(A),MOIS)," (A"),CONCATENATE(LOOKUP(MONTH(A),MOIS)," A ")),CONCATENATE(LOOKUP(MONTH(A)+1,MOIS)," (A"),CONCATENATE(LOOKUP(MONTH(A)+1,MOIS)," A ")),CONCATENATE("(",YEAR(VENDREDI.DATE)),""),"] &amp; DANS","]# &amp; #DANS"),"DANS MAINTENANT","MAINTENANT"),SUBSTITUTE(CONCATENATE("#",SUBSTITUTE(TABLEAU!$H$74,"(",""),"#",TABLEAU!$H$74)," 0"," "),SUBSTITUTE(TABLEAU!$H$74," 0"," "))))</f>
        <v/>
      </c>
      <c r="AC74" s="697" t="str">
        <f ca="1">IF(TABLEAU!$P$74="#DEPASSE#",CONCATENATE(TABLEAU!$AC$73," &amp; ",TABLEAU!$B$74),TABLEAU!$AC$73)</f>
        <v/>
      </c>
      <c r="AD74" s="1595"/>
      <c r="AE74" s="312" t="str">
        <f ca="1">UPPER(TRIM(SUBSTITUTE(SUBSTITUTE(SUBSTITUTE(SUBSTITUTE(SUBSTITUTE(SUBSTITUTE(SUBSTITUTE(SUBSTITUTE(SUBSTITUTE(SUBSTITUTE(SUBSTITUTE(SUBSTITUTE(SUBSTITUTE(SUBSTITUTE(SUBSTITUTE(SUBSTITUTE(SUBSTITUTE(SUBSTITUTE(SUBSTITUTE(SUBSTITUTE(SUBSTITUTE(SUBSTITUTE(SUBSTITUTE(SUBSTITUTE(IF(TABLEAU!$P$74="#DEPASSE#",TABLEAU!$J$74,IF(TABLEAU!$C$74="","",TRIM(SUBSTITUTE(SUBSTITUTE(SUBSTITUTE(SUBSTITUTE(SUBSTITUTE(SUBSTITUTE(SUBSTITUTE(IF(TABLEAU!$L$74="#DEPASSE DEPUIS ",MODIF,IF(TABLEAU!$I$74=SUBSTITUTE(DEPP,"#",""),DEPP,SUBSTITUTE(SUBSTITUTE(SUBSTITUTE(SUBSTITUTE(SUBSTITUTE(SUBSTITUTE(SUBSTITUTE(SUBSTITUTE(SUBSTITUTE(SUBSTITUTE(SUBSTITUTE(SUBSTITUTE(SUBSTITUTE(SUBSTITUTE(SUBSTITUTE(SUBSTITUTE(SUBSTITUTE(SUBSTITUTE(TABLEAU!$AB$74,CONCATENATE(TABLEAU!$K74," A "),CONCATENATE(TABLEAU!$K74," (A ")),"JANVIER (","JANVIER "),"FEVRIER (","FEVRIER "),"MARS (","MARS "),"AVRIL (","AVRIL "),"MAI (","MAI "),"JUIN (","JUIN "),"JUILLET (","JUILLET "),"AOUT (","AOUT "),"SEPTEMBRE (","SEPTEMBRE "),"OCTOBRE (","OCTOBRE "),"NOVEMBRE (","NOVEMBRE "),"DECEMBRE (","DECEMBRE "),CONCATENATE(" &amp; ",TABLEAU!$K74," (")," &amp; "),CONCATENATE(" &amp;",TABLEAU!$L$74,"(")," &amp; ")," &amp; ("," &amp; "),CONCATENATE(TABLEAU!$K74," (A ",TABLEAU!$AC$74,"): HIER"),"DEPASSE DEPUIS HIER")," &amp; A"," &amp; (A"))),"(A ",CONCATENATE("(",DATE.RDV.TV," A ")),"((","("),CONCATENATE(DATE.RDV.TV," ("),""),CONCATENATE(DATE.RDV.TV," A "),"A "),CONCATENATE(YEAR(A)," (A"),"A"),CONCATENATE(TABLEAU!$L$74," (DEPASSE"),"DEPASSE"),CONCATENATE("DEPASSE",TABLEAU!$L$74,"(",LOOKUP(WEEKDAY(VENDREDI.DATE),SEMAINE)," ",DAY(VENDREDI.DATE)," ",LOOKUP(MONTH(VENDREDI.DATE),MOIS)," A"),"DEPASSE DEPUIS")))),"#&amp; ","# &amp; #"),"DANS (A","MAINTENANT (A"),"DANS (MATCH","DANS MATCH"),CONCATENATE("(DEMAIN= ",DIF.L1," ~ "),""),CONCATENATE("(DEMAIN= ",DIF.LDC," ~ "),""),CONCATENATE("(DEMAIN= ",DIF.UEFA," ~ "),""),CONCATENATE("(DEMAIN= ",DIF.FRANCE," ~ "),""),CONCATENATE("(DEMAIN= ",DIF.LIGUE," ~ "),""),CONCATENATE("(DEMAIN= ",DIF.GP," ~ "),""),CONCATENATE("(DEMAIN= ",DIF.MONDIAL," ~ "),""),CONCATENATE("(DEMAIN= ",DIF.EURO," ~ "),""),CONCATENATE("(DEMAIN= ",DIF.CONFEDERATIONS," ~ "),""),CONCATENATE(TABLEAU!$K$3," A"),"A"),"MARDI A","A"),"MERCREDI A","A"),"JEUDI A","A"),"VENDREDI A","A"),"SAMEDI A","A"),"DIMANCHE A","A"),"00H","0H"),"DEPUIS DEPUIS",CONCATENATE("DEPUIS ",TABLEAU!$M$74)),"] &amp;D","]# &amp; #D"),"A 2A",CONCATENATE("A ",TABLEAU!$Y74,"H",TABLEAU!$F$74))," )",")")))</f>
        <v/>
      </c>
      <c r="AF74" s="984" t="str">
        <f ca="1">IF(TODAY&lt;&gt;"VENDREDI"," ",IF(TABLEAU!$D$74="","",H.M-TABLEAU!$D$74))</f>
        <v xml:space="preserve"> </v>
      </c>
      <c r="AG74" s="984" t="str">
        <f ca="1">IF(TABLEAU!$B$74="","",IF(TABLEAU!$I$74&lt;&gt;0,"",IF(TODAY&lt;&gt;"VENDREDI","",IF(TABLEAU!$AF$74=" ","",IF(TABLEAU!$AF$74="","",IF(AND(HOUR(TABLEAU!$AF$74)&gt;0,MINUTE(TABLEAU!$AF$74)&lt;10),CONCATENATE(HOUR(TABLEAU!$AF$74),"H0",MINUTE(TABLEAU!$AF$74)),IF(AND(HOUR(TABLEAU!$AF$74)&gt;0,MINUTE(TABLEAU!$AF$74)&gt;9),CONCATENATE(HOUR(TABLEAU!$AF$74),"H",MINUTE(TABLEAU!$AF$74)),CONCATENATE(MINUTE(TABLEAU!$AF$74)," MIN"))))))))</f>
        <v/>
      </c>
      <c r="AH74" s="984" t="str">
        <f ca="1">IF(TABLEAU!$I$74="","",IF(MINUTE(TABLEAU!$I$74)&gt;9,CONCATENATE(HOUR(TABLEAU!$I$74),"H",MINUTE(TABLEAU!$I$74)),CONCATENATE(HOUR(TABLEAU!$I$74),"H0",MINUTE(TABLEAU!$I$74))))</f>
        <v/>
      </c>
      <c r="AI74" s="1620"/>
      <c r="AJ74" s="89" t="str">
        <f ca="1">IF(TABLEAU!$B$74="","",TABLEAU!$P$74)</f>
        <v/>
      </c>
      <c r="AK74" s="89" t="str">
        <f ca="1">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O$74,"DEPASSE","&amp;&amp;&amp;"),"A",""),"B",""),"C",""),"D",""),"E",""),"F",""),"G",""),"H",""),"I",""),"J",""),"K",""),"L",""),"M",""),"N",""),"O",""),"P",""),"Q",""),"R",""),"S",""),"T",""),"U",""),"V",""),"W",""),"X",""),"Y",""),"Z",""),"0",""),"1",""),"2",""),"3",""),"4",""),"5",""),"6",""),"7",""),"8",""),"9",""),":",""),"(",""),")",""),"[",""),"]","")," ",""))</f>
        <v/>
      </c>
      <c r="AL74" s="635" t="str">
        <f ca="1">UPPER(IF(DATE.RDV.TV&lt;&gt;"VENDREDI","",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B$74,"DEPASSE ","¤¤"),"A",""),"B",""),"C",""),"D",""),"E",""),"F",""),"G",""),"H",""),"I",""),"J",""),"K",""),"L",""),"M",""),"N",""),"O",""),"P",""),"Q",""),"R",""),"S",""),"T",""),"U",""),"V",""),"W",""),"X",""),"Y",""),"Z",""),"1",""),"2",""),"3",""),"4",""),"5",""),"6",""),"7",""),"8",""),"9",""),"0",""),"-",""),"(",""),")",""),"{",""),"}",""),"=",""),"[",""),"]",""),"#",""),"+",""),":",""),"/",""),"'",""),".","")," &amp; ","")," ° ",""))))</f>
        <v/>
      </c>
      <c r="AM74" s="837" t="str">
        <f ca="1">UPPER(IF(DATE.RDV.TV&lt;&gt;"VENDREDI","",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C$74,"CHAMPIONNAT","¤"),"LDC","¤¤"),"UEFA","¤¤¤"),"FRANCE","¤¤¤¤"),"LIGUE","¤¤¤¤¤"),"GP","¤¤¤¤¤¤"),"MONDIAL","¤¤¤¤¤¤¤"),"EURO","¤¤¤¤¤¤¤¤"),"CONFEDERATIONS","¤¤¤¤¤¤¤¤¤"),"A",""),"B",""),"C",""),"D",""),"E",""),"F",""),"G",""),"H",""),"I",""),"J",""),"K",""),"L",""),"M",""),"N",""),"O",""),"P",""),"Q",""),"R",""),"S",""),"T",""),"U",""),"V",""),"W",""),"X",""),"Y",""),"Z",""),"1",""),"2",""),"3",""),"4",""),"5",""),"6",""),"7",""),"8",""),"9",""),"0",""),"-",""),"(",""),")",""),"{",""),"}",""),"=",""),"[",""),"]",""),"#",""),"+",""),":",""),"/",""),"'",""),".","")," &amp; ","")," ° ",""),"~",""))))</f>
        <v/>
      </c>
      <c r="AN74" s="1607" t="str">
        <f ca="1">IF(TABLEAU!$B$74=TABLEAU!$B$73,"",IF(OR(TABLEAU!$A$74="#DEPASSE#",TABLEAU!$P$74="#DEPASSE#"),TABLEAU!$B$74,""))</f>
        <v/>
      </c>
      <c r="AO74" s="1608"/>
      <c r="AP74" s="1608"/>
      <c r="AQ74" s="1608"/>
      <c r="AR74" s="1608"/>
      <c r="AS74" s="1608"/>
      <c r="AT74" s="1608"/>
      <c r="AU74" s="1608"/>
      <c r="AV74" s="1608"/>
      <c r="AW74" s="1608"/>
      <c r="AX74" s="1609"/>
      <c r="AY74" s="1243">
        <f ca="1">IF(AND(TABLEAU!$C$74&lt;&gt;"",TABLEAU!$B$74=""),1,0)</f>
        <v>0</v>
      </c>
      <c r="AZ74" s="2576"/>
      <c r="BA74" s="2577"/>
    </row>
    <row r="75" spans="1:53" ht="12" customHeight="1">
      <c r="A75" s="1508" t="str">
        <f ca="1">IF(TABLEAU!$B$75="","",IF(OR(TABLEAU!$AL$75="¤¤",TABLEAU!$P$75&lt;&gt;""),"#DEPASSE#",SUBSTITUTE(IF(OR(SAMEDI.1="",TABLEAU!$C$75=""),"",IF(AND(TODAY="SAMEDI",HOUR((H.M))&gt;HOUR(SAMEDI.1),MINUTE((H.M))&gt;MINUTE(SAMEDI.1)),"",IF(TODAY&lt;&gt;"SAMEDI","",IF(HOUR(TABLEAU!$I$75)&gt;0,CONCATENATE("DANS ",HOUR(TABLEAU!$I$75),"H",TABLEAU!$N$75),CONCATENATE("DANS ",HOUR(TABLEAU!$I$75),"H",TABLEAU!$N$75," MIN")))))," 0H"," ")))</f>
        <v>DANS 7H45</v>
      </c>
      <c r="B75" s="1511" t="str">
        <f ca="1">SUBSTITUTE(SUBSTITUTE(SUBSTITUTE(IF(OR(TABLEAU!$C75,TABLEAU!$D75=""),"",SUBSTITUTE(SUBSTITUTE(SUBSTITUTE(SUBSTITUTE(SUBSTITUTE(SUBSTITUTE(SUBSTITUTE(SUBSTITUTE(SUBSTITUTE(SUBSTITUTE(SUBSTITUTE(SUBSTITUTE(SUBSTITUTE(SUBSTITUTE(SUBSTITUTE(SUBSTITUTE(SUBSTITUTE(SUBSTITUTE(SUBSTITUTE(SUBSTITUTE(SUBSTITUTE(SUBSTITUTE(SUBSTITUTE(SUBSTITUTE(IF(TABLEAU!$C75="","",SUBSTITUTE(IF(TABLEAU!$AE75="",TABLEAU!$U75,TABLEAU!$AE75),CONCATENATE(CVB,YEAR(A)," "),""))," #"," "),"] &amp; D","]# &amp; #D")," &amp; (A",CONCATENATE("# &amp; #",TABLEAU!$H75,"A")),"&amp; DEPASSE","&amp; #DEPASSE"),"## &amp; #A","# &amp; #(A"),"DANS MAINTENANT","MAINTENANT"),CONCATENATE(" H",TABLEAU!$N75),CONCATENATE(" ",TABLEAU!$N75," MIN"))," 0"," "),"] &amp;D","]# &amp; #D"),"}  MIN","} H"),"# &amp; D","# &amp; #D"),CONCATENATE("#MAINTENANT (A ",TABLEAU!$Z75,"): MAINTENANT"),"#MAINTENANT"),TABLEAU!$AB$2,""),TABLEAU!$AM$5,"")," MINAMILTON","HAMILTON"),CONCATENATE(TABLEAU!$Z75," ",TABLEAU!$Z75),TABLEAU!$Z75),"DEPUIS  MINIER","DEPUIS HIER"),"MINONGRIE","HONGRIE"),"#DANS (#DEPASSE","#DEPASSE"),CONCATENATE(" ",YEAR(A)),""),"]= [","= ["),")])",")]"),"#DEPASSE DEPUISDANS","#DANS"),"(A 1A ):",CONCATENATE("(A ",HOUR(TABLEAU!$D75),"H",TABLEAU!$F75,"):"))),"SUR "," SUR "),"  SUR "," SUR "),CONCATENATE("DEPASSE DEPUIS ",TABLEAU!$M75," (A DANS"),"DANS")</f>
        <v>#DANS 7H45 (A 20H45): [CHAMPIONNAT]#</v>
      </c>
      <c r="C75" s="629" t="str">
        <f ca="1">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IF(4-COUNTBLANK(PROG.SAMEDI)=0,"",CONCATENATE(SAMEDI.PROG.1,SAMEDI.PROG.2,SAMEDI.PROG.3,SAMEDI.PROG.4)),CONCATENATE("(A ",TABLEAU!$E$76,"H",TABLEAU!$X$76,"): "),""),JOUR.PLUS,""),SAMEDI.VERIFIER,"")," &amp; #DANS"," &amp; DANS"),"](A","] &amp; (A"),CONCATENATE("#DEPASSE",TABLEAU!$M$76," "),"#DEPASSE "),"] &amp; D","]# &amp; #D"),CONCATENATE("DEMAIN= ",DIF.L1," ~ "),""),CONCATENATE("DEMAIN= ",DIF.LDC," ~ "),""),CONCATENATE("DEMAIN= ",DIF.UEFA," ~ "),""),CONCATENATE("DEMAIN= ",DIF.FRANCE," ~ "),""),CONCATENATE("DEMAIN= ",DIF.LIGUE," ~ "),""),CONCATENATE("DEMAIN= ",DIF.GP," ~ "),""),CONCATENATE("DEMAIN= ",DIF.MONDIAL," ~ "),""),CONCATENATE("DEMAIN= ",DIF.EURO," ~ "),""),CONCATENATE("DEMAIN= ",DIF.CONFEDERATIONS," ~ "),""),"'' (",CONCATENATE("'' ~ (SAMEDI ",DAY(SAMEDI.DATE)," ",LOOKUP(MONTH(SAMEDI.DATE),MOIS)," ")),"= ''","DANS ''"),"UEF A 2019-20= &amp; ","UEFA 2019-20]# &amp; #"),"~ ",""),"''(","'' ("),"DEMAINDANS","DEMAIN DANS"),"JOURSDANS","JOURS"),DIF.L1,""),DIF.LDC,""),DIF.UEFA,""),DIF.FRANCE,""),DIF.LIGUE,""),DIF.GP,""),DIF.MONDIAL,""),DIF.EURO,""),DIF.CONFEDERATIONS,""),SAMEDI.DANS,""),"#  (","#("),"[ ",""),"[MAINTENANT","MAINTENANT"))</f>
        <v>(A 20H45): [CHAMPIONNAT]</v>
      </c>
      <c r="D75" s="630">
        <f ca="1">IF(4-COUNTBLANK(PROG.SAMEDI)=0,"",IF(SAMEDI.HEURE.1&lt;&gt;"",SAMEDI.HEURE.1,IF(SAMEDI.HEURE.2&lt;&gt;"",SAMEDI.HEURE.2,IF(SAMEDI.HEURE.3&lt;&gt;"",SAMEDI.HEURE.3,IF(SAMEDI.HEURE.4&lt;&gt;"",SAMEDI.HEURE.4,"")))))</f>
        <v>0.86458333333333337</v>
      </c>
      <c r="E75" s="2661" t="str">
        <f>IF(TABLEAU!$D76="","",IF(TABLEAU!$D76="23:59","",HOUR(TABLEAU!$D76)))</f>
        <v/>
      </c>
      <c r="F75" s="2662" t="str">
        <f>IF(OR(TABLEAU!$D$76="",TABLEAU!$D$76="23:59"),"59",IF(MINUTE(TABLEAU!$D$76)&lt;10,CONCATENATE("0",MINUTE(TABLEAU!$D$76)),CONCATENATE(MINUTE(TABLEAU!$D$76))))</f>
        <v>59</v>
      </c>
      <c r="G75" s="593" t="str">
        <f ca="1">UPPER(SUBSTITUTE(SUBSTITUTE(SUBSTITUTE(IF(TABLEAU!$D$75="","",SUBSTITUTE(SUBSTITUTE(SUBSTITUTE(SUBSTITUTE(SUBSTITUTE(SUBSTITUTE(SUBSTITUTE(SUBSTITUTE(SUBSTITUTE(SUBSTITUTE(SUBSTITUTE(SUBSTITUTE(SUBSTITUTE(SUBSTITUTE(SUBSTITUTE(IF(OR(TABLEAU!$D$75="",TABLEAU!$C$75=""),"",IF(AND(TODAY="SAMEDI",HOUR((H.M))&gt;HOUR(TABLEAU!$D$75),MINUTE((H.M))&gt;MINUTE(TABLEAU!$D$75)),CONCATENATE("#DEPASSE DEPUIS",TABLEAU!$M$75," ",TABLEAU!$C$75,"#"),IF(TABLEAU!$P$75&lt;&gt;"",CONCATENATE("#DEPASSE DEPUIS",TABLEAU!$M$75," ",TABLEAU!$C$75,"#"),IF(TODAY&lt;&gt;"SAMEDI",CONCATENATE("#",SAMEDI.DANS," (SAMEDI ",DAY(SAMEDI.DATE)," ",LOOKUP(MONTH(SAMEDI.DATE),MOIS)," A ",HOUR(TABLEAU!$D$75),"H",TABLEAU!$F$75,"): ",TABLEAU!$C$75,"#"),CONCATENATE("#",TABLEAU!$L$75," (A ",TABLEAU!$Z$75,"): ",SUBSTITUTE(TABLEAU!$C$75,"#",""),"#"))))),CONCATENATE(LOOKUP(MONTH(SAMEDI.DATE),MOIS)," (A"),CONCATENATE(LOOKUP(MONTH(SAMEDI.DATE),MOIS)," A")),"##","#"),CONCATENATE("#DEPASSE DEPUIS  (A ): ",TABLEAU!$C$75,"#"),""),CONCATENATE("(A ",TABLEAU!$E$75,"H",TABLEAU!$X$75,"): "),""),CONCATENATE(TABLEAU!$L$75," DEPUIS"),"DEPASSE DEPUIS"),CONCATENATE("A ",HOUR(TABLEAU!$D$75),"H",TABLEAU!$F$75,"): (A ",HOUR(TABLEAU!$D$75),"H",TABLEAU!$F$75),CONCATENATE("A ",HOUR(TABLEAU!$D$75),"H",TABLEAU!$F$75)),"#DEPASSEDEPASSE","#DEPASSE"),"# (",CONCATENATE("#",TABLEAU!$H$75)),CONCATENATE("A ",SUBSTITUTE(TABLEAU!$M$33,":","H"),"): ~ (A ",SUBSTITUTE(TABLEAU!$M$33,":","H")),CONCATENATE("A ",SUBSTITUTE(TABLEAU!$M$33,":","H"))),CONCATENATE("#DEPASSE ",TABLEAU!$M$75,"#D"),"#D")," D"," #D"),"#DEPUIS","DEPUIS"),"COURS ","COURS# "),"#DE ","DE "),"GP #D","GP D")),"# &amp; #",CONCATENATE("# &amp; #DEPASSE DEPUIS",TABLEAU!$M$75," ")),"] &amp; (",CONCATENATE("]# &amp; DANS ",TABLEAU!$AH$75," ("))," 0"," "))</f>
        <v>#DANS 7H45 (A  ): (A 20H45): [CHAMPIONNAT]#</v>
      </c>
      <c r="H75" s="567" t="str">
        <f ca="1">SUBSTITUTE(IF(OR(DATE.RDV.TV&lt;&gt;"SAMEDI",TABLEAU!$C$75=""),"",IF(HOUR(TABLEAU!$I$75)=0,CONCATENATE("DANS ",TABLEAU!$N$75," MIN ("),CONCATENATE("DANS ",HOUR(TABLEAU!$I$75),"H",TABLEAU!$N$75," ("))),"DANS  MIN (","")</f>
        <v>DANS 7H45 (</v>
      </c>
      <c r="I75" s="1166">
        <f ca="1">IF(OR(TODAY&lt;&gt;"SAMEDI",TABLEAU!$C$75=""),"",IF(OR(TABLEAU!$D$75="",TABLEAU!$P$75="#DEPASSE#",TODAY&lt;&gt;"SAMEDI"),0,IF(HOUR((H.M))&gt;HOUR(TABLEAU!$D$75),0,TABLEAU!$D$75-H.M)))</f>
        <v>0.32291666666666674</v>
      </c>
      <c r="J75" s="1167" t="str">
        <f ca="1">SUBSTITUTE(SUBSTITUTE(SUBSTITUTE(IF(TABLEAU!$I$75="","",SUBSTITUTE(SUBSTITUTE(SUBSTITUTE(SUBSTITUTE(SUBSTITUTE(SUBSTITUTE(SUBSTITUTE(SUBSTITUTE(SUBSTITUTE(SUBSTITUTE(SUBSTITUTE(SUBSTITUTE(SUBSTITUTE(SUBSTITUTE(SUBSTITUTE(SUBSTITUTE(SUBSTITUTE(SUBSTITUTE(SUBSTITUTE(SUBSTITUTE(IF(DATE.DEPASSE&lt;0,TABLEAU!$U$75,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G75,"  "," "),CONCATENATE("(A ",TABLEAU!$Z$75,"): (A ",TABLEAU!$Z$75),CONCATENATE("(A ",TABLEAU!$Z$75)),CONCATENATE("#DEPASSE",TABLEAU!$M$75,"#DEPASSE",TABLEAU!$M$75),CONCATENATE("#DEPASSE",TABLEAU!$M$75)),CONCATENATE("#DEPASSE",TABLEAU!$L$75,"DEPASSE"),"#DEPASSE"),CONCATENATE(TABLEAU!$L$75," (A ",TABLEAU!$Z$75,"): DEPUIS"),"DEPASSE DEPUIS")," 1 "," 1ER "),"DEPASSE DEPUIS DEPASSE DEPUIS","DEPASSE DEPUIS"),CONCATENATE("DEPASSE ",TRIM(TABLEAU!$L$75)," DEPASSE ",TRIM(TABLEAU!$L$75)),CONCATENATE("DEPASSE ",TRIM(TABLEAU!$L$75))),"1ER MIN","1 MIN"),"1ER ERREUR","1 ERREUR"),CONCATENATE("(A ",TABLEAU!$Z$75,"): (A ",TABLEAU!$E$75,":",TABLEAU!$F$75),CONCATENATE("(A ",TABLEAU!$Z$75))," (A ):",""),"DEPASSE DEPUIS (",TABLEAU!$H$75),"] &amp; D","]# &amp; #D"),CONCATENATE("#DEPASSE",TABLEAU!$M$75,"DEPASSE"),"#DEPASSE")," [","): ["),"):):","):"),"DEPUIS ",TABLEAU!$L$75),CONCATENATE(SUBSTITUTE(TABLEAU!$M$75,"DEPUIS ",""))," "),"DEPUIS",CONCATENATE(TABLEAU!$M$75," (",SAMEDI.VERIFIER," A ")),SUBSTITUTE(TABLEAU!$M$75,"DEPUIS","A"),""),"DEPASSE  ","DEPASSE"),"  A "," A"),"  "," "),TRIM(SUBSTITUTE(TABLEAU!$M$75," DEPUIS ","A ")),"EEE"),"EEE",CONCATENATE("A ",TABLEAU!$Z$75)),CONCATENATE("DEPASSE ",TABLEAU!$L$75,"HIER"),"DEPASSE DEPUIS HIER"),"DEPASSEDEPASSE","DEPASSE DEPUIS "),CONCATENATE(" A ",TABLEAU!$Z$59," (A ",TABLEAU!$Z$59),CONCATENATE(" A ",TABLEAU!$Z$59)),CONCATENATE("A ",TABLEAU!$Z$75," ",TABLEAU!$C$75),TABLEAU!$C$75),CONCATENATE(MOIS.MAINTENANT.2," (A"),CONCATENATE(MOIS.MAINTENANT.2," A")),"#DEPASSE #DEPASSEDEPUIS","#DEPASSE DEPUIS"),"A (A","A"),CONCATENATE(TABLEAU!$L$75," DEPASSE"),"DEPASSE"),"DEPASSE (",CONCATENATE("DEPASSE DEPUIS ",TABLEAU!$Q$75," (")),"''MIN","MIN"),"=):","]="),CONCATENATE("#DEPASSE ",TABLEAU!$Q$75),CONCATENATE("#DEPASSE DEPUIS ",TABLEAU!$Q$75)),"DEPASSE","DEPASSE DEPUIS"),"DEPUIS DEPUIS","DEPUIS")),"US A","USA"),CONCATENATE("DEPASSE DEPUIS ",TABLEAU!$Q$75,"DEPASSE DEPUIS ",TABLEAU!$Q$75),CONCATENATE("DEPASSE DEPUIS ",TABLEAU!$Q$75)),CONCATENATE("#DEPASSE DEPUIS ",TABLEAU!$Q$75," #DEPASSE DEPUIS ",TABLEAU!$Q$75),CONCATENATE("#DEPASSE DEPUIS ",TABLEAU!$Q$75)),"#DEPASSE DEPUIS #DEPASSE DEPUIS","#DEPASSE DEPUIS"),CONCATENATE("): ",SAMEDI.DANS," (A ",TABLEAU!$E$75,"H",TABLEAU!$F$75),"")," &amp; D"," &amp; #D"),CONCATENATE(SAMEDI.DANS," (SAMEDI ",DAY(SAMEDI.DATE)," ",LOOKUP(MONTH(SAMEDI.DATE),MOIS)," A ",TABLEAU!$E$75,"H",TABLEAU!$F$75,"): DANS"),"DANS"),CONCATENATE(SAMEDI.DANS," (SAMEDI ",DAY(SAMEDI.DATE)," ",LOOKUP(MONTH(SAMEDI.DATE),MOIS)," A ",TABLEAU!$E$75,"H",TABLEAU!$F$75,"): ",SAMEDI.DANS,"= ",TABLEAU!$AN$23,"(A ",TABLEAU!$E$75,"H",TABLEAU!$F$75),CONCATENATE(SAMEDI.DANS,"= ",TABLEAU!$AN$23," (SAMEDI ",DAY(SAMEDI.DATE)," ",LOOKUP(MONTH(SAMEDI.DATE),MOIS)," A ",TABLEAU!$E$75,"H",TABLEAU!$F$75)),CONCATENATE(SAMEDI.DANS," (SAMEDI ",DAY(SAMEDI.DATE)," ",LOOKUP(MONTH(SAMEDI.DATE),MOIS)," A ",TABLEAU!$E$75,"H",TABLEAU!$F$75,"): DANS"),"DANS"),"# (",CONCATENATE("#",TABLEAU!$H$75)),"DANS 0","DANS "),"# ~ ",CONCATENATE("#",FICHIER.A.MODIFIER," ~ ")),CONCATENATE("A ",SUBSTITUTE(TABLEAU!$M$33,":","H"),"): ~ (A ",SUBSTITUTE(TABLEAU!$M$33,":","H")),CONCATENATE("A ",SUBSTITUTE(TABLEAU!$M$33,":","H"))),CONCATENATE("(A ",TABLEAU!$Z$75,"): ~ (A"),"(A"),"DANS 0 MIN","MAINTENANT"),"DEPUIS(",CONCATENATE("DEPUIS ",TABLEAU!$M$75," (")),"DEPUIS DEPUIS  (A",CONCATENATE("DEPUIS ",TABLEAU!$M$75," (A")),"(A 1 ",CONCATENATE("(A ",TABLEAU!$E$75,":00")),"#A",CONCATENATE("#DANS ",HOUR(TABLEAU!$I$75),"H",TABLEAU!$N$75," (A")),"DEPUIS DEPUIS",CONCATENATE("DEPUIS ",TABLEAU!$M$75))),"]#D","]# &amp; #D"),"DEPUIS =",CONCATENATE("DEPUIS ",TABLEAU!$M$75)),"DANS  MAINTENANT","MAINTENANT")</f>
        <v>#DANS 7H45 (A 20H45): [CHAMPIONNAT]#</v>
      </c>
      <c r="K75" s="1168" t="str">
        <f ca="1">TRIM(SUBSTITUTE(SUBSTITUTE(SUBSTITUTE(SUBSTITUTE(SUBSTITUTE(SUBSTITUTE(SUBSTITUTE(SUBSTITUTE(SUBSTITUTE(TABLEAU!$O$75,CONCATENATE("): (",TABLEAU!$W$75),""),CONCATENATE("A ",TABLEAU!$E$75,"H",TABLEAU!$X$75,"): ("),""),"(SUR",CONCATENATE("(A ",TABLEAU!$E$75,"H",TABLEAU!$X$75," SUR"))," &amp; (",CONCATENATE(" &amp; ",TABLEAU!$L$75," (")),"AUJOURD'HUI",""),"##","#"),"1ER MIN","1 MIN"),CONCATENATE("DEPASSE ",TRIM(TABLEAU!$L$75)," DEPASSE"),"DEPASSE")," (A ):",""))</f>
        <v>#DANS 7H45 (A 20H45): [CHAMPIONNAT]#</v>
      </c>
      <c r="L75" s="1169" t="str">
        <f ca="1">UPPER(IF(TABLEAU!$P$75&lt;&gt;"","",IF(TABLEAU!$P$75="","",IF(TABLEAU!$AM$75&lt;&gt;"","#DEPASSE DEPUIS ",IF(TODAY&lt;&gt;"SAMEDI","",IF(COUNTIF(ENCOURS,"#EN COURS#")&lt;&gt;0,"MAINTENANT",SUBSTITUTE(SUBSTITUTE(SUBSTITUTE(IF(OR(TABLEAU!$C$75="",TABLEAU!$D$75=""),"",IF(HOUR(TABLEAU!$I$75)=0,CONCATENATE("DANS ",TABLEAU!$N$75," MIN"),CONCATENATE("DANS ",HOUR(TABLEAU!$I$75),"H",TABLEAU!$N$75))),"DANS 0","DANS "),"DANS  MIN",TABLEAU!$M$75),"DANS 0 MIN","MAINTENANT")))))))</f>
        <v/>
      </c>
      <c r="M75" s="1169" t="str">
        <f ca="1">IF(TODAY&lt;&gt;"SAMEDI","",SUBSTITUTE(IF(TABLEAU!$D$75="","",IF(TABLEAU!$AF$75=" ","",IF(TABLEAU!$D$75-H.M&gt;0,"",IF(AND(HOUR(TABLEAU!$AF$75)&gt;0,MINUTE(TABLEAU!$AF$75)&lt;10),CONCATENATE(" ",HOUR(TABLEAU!$AF$75),"H0",MINUTE(TABLEAU!$AF$75)),IF(AND(HOUR(TABLEAU!$AF$75)&gt;0,MINUTE(TABLEAU!$AF$75)&gt;9),CONCATENATE(" ",HOUR(TABLEAU!$AF$75),"H",MINUTE(TABLEAU!$AF$75)),CONCATENATE(" 0",MINUTE(TABLEAU!$AF$75)," MIN"))))))," 0",""))</f>
        <v/>
      </c>
      <c r="N75" s="1170">
        <f ca="1">IF(TABLEAU!$D$75="","",IF(OR(TABLEAU!$C$75="",TODAY&lt;&gt;"SAMEDI"),"",IF(TABLEAU!$P$75="#DEPASSE#","",IF(HOUR((H.M))&gt;HOUR(TABLEAU!$D$75),"",IF(MINUTE(TABLEAU!$I$75)&lt;10,CONCATENATE("0",MINUTE(TABLEAU!$I$75)),MINUTE(TABLEAU!$I$75))))))</f>
        <v>45</v>
      </c>
      <c r="O75" s="1171" t="str">
        <f ca="1">UPPER(SUBSTITUTE(SUBSTITUTE(SUBSTITUTE(SUBSTITUTE(SUBSTITUTE(SUBSTITUTE(SUBSTITUTE(SUBSTITUTE(SUBSTITUTE(TABLEAU!$J$75,"DANS 0H","DANS "),"DANS 0","DANS "),CONCATENATE("(A ",TABLEAU!$E$75,"H",TABLEAU!$X$75,"): (",LOOKUP(WEEKDAY(SAMEDI.DATE),SEMAINE)," ",DAY(SAMEDI.DATE)," ",LOOKUP(MONTH(SAMEDI.DATE),MOIS)," A 20H00): "),CONCATENATE(TABLEAU!$L$75," (A ",TABLEAU!$E$75,"H",TABLEAU!$X$75,")")),"DEPUIS 0","DEPUIS "),"&amp; A","&amp; (A"),CONCATENATE("(",NBA),""),"#DEPASSE DEPUIS (A","(A"),"DANS  MAINTENANT","MAINTENANT"),"] &amp; #","]# &amp; #"))</f>
        <v>#DANS 7H45 (A 20H45): [CHAMPIONNAT]#</v>
      </c>
      <c r="P75" s="1187" t="str">
        <f ca="1">IF(OR(TABLEAU!$D$75="",TODAY&lt;&gt;"SAMEDI"),"",IF(AND(HOUR((H.M))=HOUR(TABLEAU!$D$75),MINUTE((H.M))&gt;MINUTE(TABLEAU!$D$75)),"#DEPASSE#",IF(HOUR((H.M))&gt;HOUR(TABLEAU!$D$75),"#DEPASSE#","")))</f>
        <v/>
      </c>
      <c r="Q75" s="1188" t="str">
        <f ca="1">IF(OR(TABLEAU!$P$75="",TABLEAU!$S$75=""),"",IF(AND(HOUR(TABLEAU!$S$75)&gt;0,MINUTE(TABLEAU!$S$75)&lt;10),CONCATENATE(HOUR(TABLEAU!$S$75),"H0",MINUTE(TABLEAU!$S$75)),IF(AND(HOUR(TABLEAU!$S$75)=0,MINUTE(TABLEAU!$S$75)&lt;10),CONCATENATE(MINUTE(TABLEAU!$S$75)," MIN"),IF(AND(HOUR(TABLEAU!$S$75)&gt;0,MINUTE(TABLEAU!$S$75)&gt;9),CONCATENATE(HOUR(TABLEAU!$S$75),"H",MINUTE(TABLEAU!$S$75)),CONCATENATE(MINUTE(TABLEAU!$S$75)," MIN")))))</f>
        <v/>
      </c>
      <c r="R75" s="1188" t="str">
        <f ca="1">UPPER(IF(OR(TABLEAU!$C$75="",TODAY&lt;&gt;"SAMEDI"),"",IF(OR(TABLEAU!$D$75="",TABLEAU!$D$75="23:59",TABLEAU!$C$75=""),"",IF(AND(TODAY="SAMEDI",HOUR(TABLEAU!$I$75)&lt;1,MINUTE(TABLEAU!$I$75)&lt;5,TABLEAU!$I$75&lt;&gt;"",TABLEAU!$I$75&lt;&gt;0),"BIENTOT",""))))</f>
        <v/>
      </c>
      <c r="S75" s="1189" t="str">
        <f ca="1">IF(TABLEAU!$D$75="","",IF(TODAY&lt;&gt;"SAMEDI","",IF((H.M)&gt;TABLEAU!$D$75,"",(H.M)-TABLEAU!$D$75)))</f>
        <v/>
      </c>
      <c r="T75" s="2392">
        <f ca="1">IF(TODAY="JEUDI",A+2,IF(TODAY="VENDREDI",A+1,IF(TODAY="SAMEDI",A,IF(TODAY="DIMANCHE",A+6,IF(TODAY=TABLEAU!$K$3,A+5,IF(TODAY="MARDI",A+4,IF(TODAY="MERCREDI",A+3)))))))</f>
        <v>43771</v>
      </c>
      <c r="U75" s="1168" t="str">
        <f ca="1">UPPER(TRIM(SUBSTITUTE(SUBSTITUTE(SUBSTITUTE(SUBSTITUTE(SUBSTITUTE(SUBSTITUTE(SUBSTITUTE(SUBSTITUTE(SUBSTITUTE(SUBSTITUTE(SUBSTITUTE(SUBSTITUTE(SUBSTITUTE(SUBSTITUTE(SUBSTITUTE(SUBSTITUTE(SUBSTITUTE(SUBSTITUTE(IF(TABLEAU!$D$75="","",SUBSTITUTE(SUBSTITUTE(SUBSTITUTE(SUBSTITUTE(SUBSTITUTE(SUBSTITUTE(SUBSTITUTE(SUBSTITUTE(SUBSTITUTE(SUBSTITUTE(SUBSTITUTE(SUBSTITUTE(SUBSTITUTE(SUBSTITUTE(SUBSTITUTE(IF(OR(TABLEAU!$C$75="",TABLEAU!$D$75=""),"",IF(AND(TODAY="SAMEDI",TABLEAU!$P$75&lt;&gt;""),CONCATENATE("#DEPASSE DEPUIS ",TABLEAU!$M$75," ",TABLEAU!$W$75,"#"),CONCATENATE("#",SAMEDI.DANS," ",TABLEAU!$H$75,TABLEAU!$C$75,"#"))),": =",":"),CONCATENATE(NBA,"("),""),CONCATENATE(LOOKUP(MONTH(SAMEDI.DATE),MOIS)," (A"),CONCATENATE(LOOKUP(MONTH(SAMEDI.DATE),MOIS)," A")),"1ER MIN","1 MIN"),"((","("),"##","#"),"# ","#"),CONCATENATE("#",TABLEAU!$H$75,"DEPUIS"),"#DEPASSE DEPUIS"),"DEMAIN (",CONCATENATE("DEMAIN (SAMEDI ",DAY(SAMEDI.DATE)," ",LOOKUP(MONTH(SAMEDI.DATE),MOIS)," ")),"JOURS (A ",CONCATENATE("JOURS (SAMEDI ",DAY(SAMEDI.DATE)," ",LOOKUP(MONTH(SAMEDI.DATE),MOIS)," A ")),"(A","(SAMEDI A"),"DANS 00 MIN","DANS "),"DANS 0","DANS "),"#&amp;","# &amp; "),"JOURS [",CONCATENATE("JOURS (",LOOKUP(WEEKDAY(SAMEDI.DATE),SEMAINE)," ",DAY(SAMEDI.DATE)," ",LOOKUP(MONTH(SAMEDI.DATE),MOIS)," A ",HOUR(TABLEAU!$D$75),"H",TABLEAU!$F$75,"): ["))),CONCATENATE(SAMEDI.DANS," ",SAMEDI.DANS),CONCATENATE(" ",SAMEDI.DANS)),"# ","#"),"#&amp; #","# &amp; #"),"US A","USA"),"(~ ("," ~ ("),"SAMEDI A ","A "),CONCATENATE("#",TABLEAU!$H$75,TABLEAU!$W$75),TABLEAU!$W$75),"DEMAINDANS","DEMAIN DANS"),"''(","'' ("),CONCATENATE("#DANS ",TRIM(TABLEAU!$AH$75)," (#DEPASSE "),"#DEPASSE "),"]#D","]# &amp; #D"),"(MATCH","MATCH"),"COURS &amp; D","COURS# &amp; #D"),"#&amp; ","# &amp; #"),"# &amp; # ","# &amp; #"),CONCATENATE("#DEPASSE DEPUIS ",TABLEAU!$M$75," #"),"#"),"# &amp; ##","# &amp; #"),"DANS  (MAINTENANT","MAINTENANT")))</f>
        <v>#DANS 7H45 (A 20H45): [CHAMPIONNAT]#</v>
      </c>
      <c r="V75" s="1168" t="str">
        <f ca="1">UPPER(TRIM(SUBSTITUTE(SUBSTITUTE(IF(OR(TABLEAU!$C$75="",TABLEAU!$D$75="",SAMEDI.DANS&lt;&gt;""),"",TABLEAU!$J$75),JOUR.PLUS,""),"DANS  MAINTENANT","MAINTENANT")))</f>
        <v>#DANS 7H45 (A 20H45): [CHAMPIONNAT]#</v>
      </c>
      <c r="W75" s="1197" t="str">
        <f ca="1">UPPER(IF(TABLEAU!$C$75=0,"",TABLEAU!$C$75))</f>
        <v>(A 20H45): [CHAMPIONNAT]</v>
      </c>
      <c r="X75" s="1198"/>
      <c r="Y75" s="1169">
        <f ca="1">IF(OR(TODAY&lt;&gt;"SAMEDI",TABLEAU!$C$75=""),"",IF(OR(TABLEAU!$C$75="",TABLEAU!$D$75=""),"",HOUR(TABLEAU!$D$75)))</f>
        <v>20</v>
      </c>
      <c r="Z75" s="1169" t="str">
        <f ca="1">IF(TABLEAU!$AM$75&lt;&gt;""," ",IF(OR(TODAY&lt;&gt;"SAMEDI",TABLEAU!$C$75="",TABLEAU!$D$75="")," ",IF(MINUTE(TABLEAU!$D$75)&lt;10,CONCATENATE(HOUR(TABLEAU!$D$75),"H0",MINUTE(TABLEAU!$D$75)),IF(MINUTE(TABLEAU!$D$75)&gt;9,CONCATENATE(HOUR(TABLEAU!$D$75),"H",MINUTE(TABLEAU!$D$75))))))</f>
        <v xml:space="preserve"> </v>
      </c>
      <c r="AA75" s="1202" t="str">
        <f ca="1">TRIM(SUBSTITUTE(SUBSTITUTE(SUBSTITUTE(SUBSTITUTE(IF(TABLEAU!$P$75="#DEPASSE#",TABLEAU!$AB$75,TABLEAU!$U$75),"# ","#"),"#&amp; #","# &amp; #"),"DANS (MAINTENANT","MAINTENANT"),SUBSTITUTE(SUBSTITUTE(CONCATENATE("#",TABLEAU!$H$75,"",TABLEAU!$H$75)," 0"," ")," 0"," "),SUBSTITUTE(TABLEAU!$H$75," 0"," ")))</f>
        <v>#DANS 7H45 (A 20H45): [CHAMPIONNAT]#</v>
      </c>
      <c r="AB75" s="1169" t="str">
        <f ca="1">UPPER(TRIM(SUBSTITUTE(SUBSTITUTE(SUBSTITUTE(SUBSTITUTE(SUBSTITUTE(SUBSTITUTE(TABLEAU!$K75,CONCATENATE(LOOKUP(MONTH(A),MOIS)," (A"),CONCATENATE(LOOKUP(MONTH(A),MOIS)," A ")),CONCATENATE(LOOKUP(MONTH(A)+1,MOIS)," (A"),CONCATENATE(LOOKUP(MONTH(A)+1,MOIS)," A ")),CONCATENATE("(",YEAR(SAMEDI.DATE)),""),"] &amp; DANS","]# &amp; #DANS"),"DANS MAINTENANT","MAINTENANT"),SUBSTITUTE(CONCATENATE("#",SUBSTITUTE(TABLEAU!$H$75,"(",""),"#",TABLEAU!$H$75)," 0"," "),SUBSTITUTE(TABLEAU!$H$75," 0"," "))))</f>
        <v>#DANS 7H45 (A 20H45): [CHAMPIONNAT]#</v>
      </c>
      <c r="AC75" s="1203" t="str">
        <f ca="1">SUBSTITUTE(IF(AND(TABLEAU!$P$75="#DEPASSE#",TABLEAU!$U$75=TABLEAU!$AM$1),TABLEAU!$B$33,IF(TABLEAU!$P$75="#DEPASSE#",TABLEAU!$U$75,"")),CONCATENATE(DATE.RDV.TV," A "),"A ")</f>
        <v/>
      </c>
      <c r="AD75" s="1590" t="str">
        <f ca="1">CONCATENATE(LOOKUP(WEEKDAY(SAMEDI.DATE),SEMAINE)," ",DAY(SAMEDI.DATE)," ",LOOKUP(MONTH(SAMEDI.DATE),MOIS)," ")</f>
        <v xml:space="preserve">SAMEDI 2 NOVEMBRE </v>
      </c>
      <c r="AE75" s="1171" t="str">
        <f ca="1">UPPER(TRIM(SUBSTITUTE(SUBSTITUTE(SUBSTITUTE(SUBSTITUTE(SUBSTITUTE(SUBSTITUTE(SUBSTITUTE(SUBSTITUTE(SUBSTITUTE(SUBSTITUTE(SUBSTITUTE(SUBSTITUTE(SUBSTITUTE(SUBSTITUTE(SUBSTITUTE(SUBSTITUTE(SUBSTITUTE(SUBSTITUTE(SUBSTITUTE(SUBSTITUTE(SUBSTITUTE(SUBSTITUTE(SUBSTITUTE(SUBSTITUTE(IF(TABLEAU!$P$75="#DEPASSE#",TABLEAU!$J$75,IF(TABLEAU!$C$75="","",TRIM(SUBSTITUTE(SUBSTITUTE(SUBSTITUTE(SUBSTITUTE(SUBSTITUTE(SUBSTITUTE(SUBSTITUTE(IF(TABLEAU!$L$75="#DEPASSE DEPUIS ",MODIF,IF(TABLEAU!$I$75=SUBSTITUTE(DEPP,"#",""),DEPP,SUBSTITUTE(SUBSTITUTE(SUBSTITUTE(SUBSTITUTE(SUBSTITUTE(SUBSTITUTE(SUBSTITUTE(SUBSTITUTE(SUBSTITUTE(SUBSTITUTE(SUBSTITUTE(SUBSTITUTE(SUBSTITUTE(SUBSTITUTE(SUBSTITUTE(SUBSTITUTE(SUBSTITUTE(SUBSTITUTE(TABLEAU!$AB$75,CONCATENATE(TABLEAU!$K75," A "),CONCATENATE(TABLEAU!$K75," (A ")),"JANVIER (","JANVIER "),"FEVRIER (","FEVRIER "),"MARS (","MARS "),"AVRIL (","AVRIL "),"MAI (","MAI "),"JUIN (","JUIN "),"JUILLET (","JUILLET "),"AOUT (","AOUT "),"SEPTEMBRE (","SEPTEMBRE "),"OCTOBRE (","OCTOBRE "),"NOVEMBRE (","NOVEMBRE "),"DECEMBRE (","DECEMBRE "),CONCATENATE(" &amp; ",TABLEAU!$K75," (")," &amp; "),CONCATENATE(" &amp;",TABLEAU!$L$75,"(")," &amp; ")," &amp; ("," &amp; "),CONCATENATE(TABLEAU!$K75," (A ",TABLEAU!$AC$75,"): HIER"),"DEPASSE DEPUIS HIER")," &amp; A"," &amp; (A"))),"(A ",CONCATENATE("(",DATE.RDV.TV," A ")),"((","("),CONCATENATE(DATE.RDV.TV," ("),""),CONCATENATE(DATE.RDV.TV," A "),"A "),CONCATENATE(YEAR(A)," (A"),"A"),CONCATENATE(TABLEAU!$L$75," (DEPASSE"),"DEPASSE"),CONCATENATE("DEPASSE",TABLEAU!$L$75,"(",LOOKUP(WEEKDAY(SAMEDI.DATE),SEMAINE)," ",DAY(SAMEDI.DATE)," ",LOOKUP(MONTH(SAMEDI.DATE),MOIS)," A"),"DEPASSE DEPUIS")))),"#&amp; ","# &amp; #"),"DANS (A","MAINTENANT (A"),"DANS (MATCH","DANS MATCH"),CONCATENATE("(DEMAIN= ",DIF.L1," ~ "),""),CONCATENATE("(DEMAIN= ",DIF.LDC," ~ "),""),CONCATENATE("(DEMAIN= ",DIF.UEFA," ~ "),""),CONCATENATE("(DEMAIN= ",DIF.FRANCE," ~ "),""),CONCATENATE("(DEMAIN= ",DIF.LIGUE," ~ "),""),CONCATENATE("(DEMAIN= ",DIF.GP," ~ "),""),CONCATENATE("(DEMAIN= ",DIF.MONDIAL," ~ "),""),CONCATENATE("(DEMAIN= ",DIF.EURO," ~ "),""),CONCATENATE("(DEMAIN= ",DIF.CONFEDERATIONS," ~ "),""),CONCATENATE(TABLEAU!$K$3," A"),"A"),"MARDI A","A"),"MERCREDI A","A"),"JEUDI A","A"),"VENDREDI A","A"),"SAMEDI A","A"),"DIMANCHE A","A"),"00H","0H"),"DEPUIS DEPUIS",CONCATENATE("DEPUIS ",TABLEAU!$M$75)),"] &amp;D","]# &amp; #D"),"A 2A",CONCATENATE("A ",TABLEAU!$Y75,"H",TABLEAU!$F$75))," )",")")))</f>
        <v>#DANS 7H45 (A 20H45): [CHAMPIONNAT]#</v>
      </c>
      <c r="AF75" s="985">
        <f ca="1">IF(TODAY&lt;&gt;"SAMEDI"," ",IF(TABLEAU!$D$75="","",H.M-TABLEAU!$D$75))</f>
        <v>-0.32291666666666674</v>
      </c>
      <c r="AG75" s="985" t="str">
        <f ca="1">IF(TABLEAU!$B$75="","",IF(TABLEAU!$I$75&lt;&gt;0,"",IF(TODAY&lt;&gt;"SAMEDI","",IF(TABLEAU!$AF$75=" ","",IF(TABLEAU!$AF$75="","",IF(AND(HOUR(TABLEAU!$AF$75)&gt;0,MINUTE(TABLEAU!$AF$75)&lt;10),CONCATENATE(HOUR(TABLEAU!$AF$75),"H0",MINUTE(TABLEAU!$AF$75)),IF(AND(HOUR(TABLEAU!$AF$75)&gt;0,MINUTE(TABLEAU!$AF$75)&gt;9),CONCATENATE(HOUR(TABLEAU!$AF$75),"H",MINUTE(TABLEAU!$AF$75)),CONCATENATE(MINUTE(TABLEAU!$AF$75)," MIN"))))))))</f>
        <v/>
      </c>
      <c r="AH75" s="985" t="str">
        <f ca="1">IF(TABLEAU!$I$75="","",IF(MINUTE(TABLEAU!$I$75)&gt;9,CONCATENATE(HOUR(TABLEAU!$I$75),"H",MINUTE(TABLEAU!$I$75)),CONCATENATE(HOUR(TABLEAU!$I$75),"H0",MINUTE(TABLEAU!$I$75))))</f>
        <v>7H45</v>
      </c>
      <c r="AI75" s="1661" t="str">
        <f ca="1">SUBSTITUTE(SUBSTITUTE(CONCATENATE(SAMEDI.TV.1,SAMEDI.TV.2,SAMEDI.TV.3,SAMEDI.TV.4),"##","# &amp; #"),CONCATENATE(" &amp; #",SAMEDI.DANS," (",SAMEDI.VERIFIER)," &amp; #(")</f>
        <v>#DANS 7H45 (A 20H45): [CHAMPIONNAT]# &amp; #DANS 7H40 (A 20H40 SUR AB1): [SMACKDOWN]#</v>
      </c>
      <c r="AJ75" s="90" t="str">
        <f ca="1">IF(TABLEAU!$B$75="","",TABLEAU!$P$75)</f>
        <v/>
      </c>
      <c r="AK75" s="90" t="str">
        <f ca="1">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O$75,"DEPASSE","&amp;&amp;&amp;"),"A",""),"B",""),"C",""),"D",""),"E",""),"F",""),"G",""),"H",""),"I",""),"J",""),"K",""),"L",""),"M",""),"N",""),"O",""),"P",""),"Q",""),"R",""),"S",""),"T",""),"U",""),"V",""),"W",""),"X",""),"Y",""),"Z",""),"0",""),"1",""),"2",""),"3",""),"4",""),"5",""),"6",""),"7",""),"8",""),"9",""),":",""),"(",""),")",""),"[",""),"]","")," ",""))</f>
        <v>##</v>
      </c>
      <c r="AL75" s="633" t="str">
        <f ca="1">UPPER(IF(DATE.RDV.TV&lt;&gt;"SAMEDI","",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B$75,"DEPASSE ","¤¤"),"A",""),"B",""),"C",""),"D",""),"E",""),"F",""),"G",""),"H",""),"I",""),"J",""),"K",""),"L",""),"M",""),"N",""),"O",""),"P",""),"Q",""),"R",""),"S",""),"T",""),"U",""),"V",""),"W",""),"X",""),"Y",""),"Z",""),"1",""),"2",""),"3",""),"4",""),"5",""),"6",""),"7",""),"8",""),"9",""),"0",""),"-",""),"(",""),")",""),"{",""),"}",""),"=",""),"[",""),"]",""),"#",""),"+",""),":",""),"/",""),"'",""),".","")," &amp; ","")," ° ",""))))</f>
        <v/>
      </c>
      <c r="AM75" s="834" t="str">
        <f ca="1">UPPER(IF(DATE.RDV.TV&lt;&gt;"SAMEDI","",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C$75,"CHAMPIONNAT","¤"),"LDC","¤¤"),"UEFA","¤¤¤"),"FRANCE","¤¤¤¤"),"LIGUE","¤¤¤¤¤"),"GP","¤¤¤¤¤¤"),"MONDIAL","¤¤¤¤¤¤¤"),"EURO","¤¤¤¤¤¤¤¤"),"CONFEDERATIONS","¤¤¤¤¤¤¤¤¤"),"A",""),"B",""),"C",""),"D",""),"E",""),"F",""),"G",""),"H",""),"I",""),"J",""),"K",""),"L",""),"M",""),"N",""),"O",""),"P",""),"Q",""),"R",""),"S",""),"T",""),"U",""),"V",""),"W",""),"X",""),"Y",""),"Z",""),"1",""),"2",""),"3",""),"4",""),"5",""),"6",""),"7",""),"8",""),"9",""),"0",""),"-",""),"(",""),")",""),"{",""),"}",""),"=",""),"[",""),"]",""),"#",""),"+",""),":",""),"/",""),"'",""),".","")," &amp; ","")," ° ",""),"~",""))))</f>
        <v>¤</v>
      </c>
      <c r="AN75" s="1616" t="str">
        <f ca="1">IF(OR(TABLEAU!$A$75="#DEPASSE#",TABLEAU!$P$75="#DEPASSE#"),TABLEAU!$B$75,"")</f>
        <v/>
      </c>
      <c r="AO75" s="1617"/>
      <c r="AP75" s="1617"/>
      <c r="AQ75" s="1617"/>
      <c r="AR75" s="1617"/>
      <c r="AS75" s="1617"/>
      <c r="AT75" s="1617"/>
      <c r="AU75" s="1617"/>
      <c r="AV75" s="1617"/>
      <c r="AW75" s="1617"/>
      <c r="AX75" s="1618"/>
      <c r="AY75" s="1243">
        <f ca="1">IF(AND(TABLEAU!$C$75&lt;&gt;"",TABLEAU!$B$75=""),1,0)</f>
        <v>0</v>
      </c>
      <c r="AZ75" s="2576"/>
      <c r="BA75" s="2577"/>
    </row>
    <row r="76" spans="1:53" ht="12" customHeight="1">
      <c r="A76" s="1508" t="str">
        <f ca="1">IF(TABLEAU!$B$76="","",IF(OR(TABLEAU!$AL$76="¤¤",TABLEAU!$P$76&lt;&gt;""),"#DEPASSE#",SUBSTITUTE(IF(OR(SAMEDI.2="",TABLEAU!$C$76=""),"",IF(AND(TODAY="SAMEDI",HOUR((H.M))&gt;HOUR(SAMEDI.2),MINUTE((H.M))&gt;MINUTE(SAMEDI.2)),"",IF(TODAY&lt;&gt;"SAMEDI","",IF(HOUR(TABLEAU!$I$76)&gt;0,CONCATENATE("DANS ",HOUR(TABLEAU!$I$76),"H",TABLEAU!$N$76),CONCATENATE("DANS ",HOUR(TABLEAU!$I$76),"H",TABLEAU!$N$76," MIN")))))," 0H"," ")))</f>
        <v/>
      </c>
      <c r="B76" s="1512" t="str">
        <f ca="1">SUBSTITUTE(SUBSTITUTE(SUBSTITUTE(IF(OR(TABLEAU!$C76,TABLEAU!$D76=""),"",SUBSTITUTE(SUBSTITUTE(SUBSTITUTE(SUBSTITUTE(SUBSTITUTE(SUBSTITUTE(SUBSTITUTE(SUBSTITUTE(SUBSTITUTE(SUBSTITUTE(SUBSTITUTE(SUBSTITUTE(SUBSTITUTE(SUBSTITUTE(SUBSTITUTE(SUBSTITUTE(SUBSTITUTE(SUBSTITUTE(SUBSTITUTE(SUBSTITUTE(SUBSTITUTE(SUBSTITUTE(SUBSTITUTE(SUBSTITUTE(IF(TABLEAU!$C76="","",SUBSTITUTE(IF(TABLEAU!$AE76="",TABLEAU!$U76,TABLEAU!$AE76),CONCATENATE(CVB,YEAR(A)," "),""))," #"," "),"] &amp; D","]# &amp; #D")," &amp; (A",CONCATENATE("# &amp; #",TABLEAU!$H76,"A")),"&amp; DEPASSE","&amp; #DEPASSE"),"## &amp; #A","# &amp; #(A"),"DANS MAINTENANT","MAINTENANT"),CONCATENATE(" H",TABLEAU!$N76),CONCATENATE(" ",TABLEAU!$N76," MIN"))," 0"," "),"] &amp;D","]# &amp; #D"),"}  MIN","} H"),"# &amp; D","# &amp; #D"),CONCATENATE("#MAINTENANT (A ",TABLEAU!$Z76,"): MAINTENANT"),"#MAINTENANT"),TABLEAU!$AB$2,""),TABLEAU!$AM$5,"")," MINAMILTON","HAMILTON"),CONCATENATE(TABLEAU!$Z76," ",TABLEAU!$Z76),TABLEAU!$Z76),"DEPUIS  MINIER","DEPUIS HIER"),"MINONGRIE","HONGRIE"),"#DANS (#DEPASSE","#DEPASSE"),CONCATENATE(" ",YEAR(A)),""),"]= [","= ["),")])",")]"),"#DEPASSE DEPUISDANS","#DANS"),"(A 1A ):",CONCATENATE("(A ",HOUR(TABLEAU!$D76),"H",TABLEAU!$F76,"):"))),"SUR "," SUR "),"  SUR "," SUR "),CONCATENATE("DEPASSE DEPUIS ",TABLEAU!$M76," (A DANS"),"DANS")</f>
        <v/>
      </c>
      <c r="C76" s="631"/>
      <c r="D76" s="632"/>
      <c r="E76" s="2664" t="str">
        <f>IF(TABLEAU!$D77="","",IF(TABLEAU!$D77="23:59","",HOUR(TABLEAU!$D77)))</f>
        <v/>
      </c>
      <c r="F76" s="2663" t="str">
        <f>IF(OR(TABLEAU!$D$77="",TABLEAU!$D$77="23:59"),"59",IF(MINUTE(TABLEAU!$D$77)&lt;10,CONCATENATE("0",MINUTE(TABLEAU!$D$77)),CONCATENATE(MINUTE(TABLEAU!$D$77))))</f>
        <v>59</v>
      </c>
      <c r="G76" s="594" t="str">
        <f ca="1">UPPER(SUBSTITUTE(SUBSTITUTE(SUBSTITUTE(IF(TABLEAU!$D$76="","",SUBSTITUTE(SUBSTITUTE(SUBSTITUTE(SUBSTITUTE(SUBSTITUTE(SUBSTITUTE(SUBSTITUTE(SUBSTITUTE(SUBSTITUTE(SUBSTITUTE(SUBSTITUTE(SUBSTITUTE(SUBSTITUTE(SUBSTITUTE(SUBSTITUTE(IF(OR(TABLEAU!$D$76="",TABLEAU!$C$76=""),"",IF(AND(TODAY="SAMEDI",HOUR((H.M))&gt;HOUR(TABLEAU!$D$76),MINUTE((H.M))&gt;MINUTE(TABLEAU!$D$76)),CONCATENATE("#DEPASSE DEPUIS",TABLEAU!$M$76," ",TABLEAU!$C$76,"#"),IF(TABLEAU!$P$76&lt;&gt;"",CONCATENATE("#DEPASSE DEPUIS",TABLEAU!$M$76," ",TABLEAU!$C$76,"#"),IF(TODAY&lt;&gt;"SAMEDI",CONCATENATE("#",SAMEDI.DANS," (SAMEDI ",DAY(SAMEDI.DATE)," ",LOOKUP(MONTH(SAMEDI.DATE),MOIS)," A ",HOUR(TABLEAU!$D$76),"H",TABLEAU!$F$76,"): ",TABLEAU!$C$76,"#"),CONCATENATE("#",TABLEAU!$L$76," (A ",TABLEAU!$Z$76,"): ",SUBSTITUTE(TABLEAU!$C$76,"#",""),"#"))))),CONCATENATE(LOOKUP(MONTH(SAMEDI.DATE),MOIS)," (A"),CONCATENATE(LOOKUP(MONTH(SAMEDI.DATE),MOIS)," A")),"##","#"),CONCATENATE("#DEPASSE DEPUIS  (A ): ",TABLEAU!$C$76,"#"),""),CONCATENATE("(A ",TABLEAU!$E$76,"H",TABLEAU!$X$76,"): "),""),CONCATENATE(TABLEAU!$L$76," DEPUIS"),"DEPASSE DEPUIS"),CONCATENATE("A ",HOUR(TABLEAU!$D$76),"H",TABLEAU!$F$76,"): (A ",HOUR(TABLEAU!$D$76),"H",TABLEAU!$F$76),CONCATENATE("A ",HOUR(TABLEAU!$D$76),"H",TABLEAU!$F$76)),"#DEPASSEDEPASSE","#DEPASSE"),"# (",CONCATENATE("#",TABLEAU!$H$76)),CONCATENATE("A ",SUBSTITUTE(TABLEAU!$M$33,":","H"),"): ~ (A ",SUBSTITUTE(TABLEAU!$M$33,":","H")),CONCATENATE("A ",SUBSTITUTE(TABLEAU!$M$33,":","H"))),CONCATENATE("#DEPASSE ",TABLEAU!$M$76,"#D"),"#D")," D"," #D"),"#DEPUIS","DEPUIS"),"COURS ","COURS# "),"#DE ","DE "),"GP #D","GP D")),"# &amp; #",CONCATENATE("# &amp; #DEPASSE DEPUIS",TABLEAU!$M$76," ")),"] &amp; (",CONCATENATE("]# &amp; DANS ",TABLEAU!$AH$76," ("))," 0"," "))</f>
        <v/>
      </c>
      <c r="H76" s="568" t="str">
        <f ca="1">SUBSTITUTE(IF(OR(DATE.RDV.TV&lt;&gt;"SAMEDI",TABLEAU!$C$76=""),"",IF(HOUR(TABLEAU!$I$76)=0,CONCATENATE("DANS ",TABLEAU!$N$76," MIN ("),CONCATENATE("DANS ",HOUR(TABLEAU!$I$76),"H",TABLEAU!$N$76," ("))),"DANS  MIN (","")</f>
        <v/>
      </c>
      <c r="I76" s="1172" t="str">
        <f ca="1">IF(OR(TODAY&lt;&gt;"SAMEDI",TABLEAU!$C$76=""),"",IF(OR(TABLEAU!$D$76="",TABLEAU!$P$76="#DEPASSE#",TODAY&lt;&gt;"SAMEDI"),0,IF(HOUR((H.M))&gt;HOUR(TABLEAU!$D$76),0,TABLEAU!$D$76-H.M)))</f>
        <v/>
      </c>
      <c r="J76" s="1173" t="str">
        <f ca="1">SUBSTITUTE(SUBSTITUTE(SUBSTITUTE(IF(TABLEAU!$I$76="","",SUBSTITUTE(SUBSTITUTE(SUBSTITUTE(SUBSTITUTE(SUBSTITUTE(SUBSTITUTE(SUBSTITUTE(SUBSTITUTE(SUBSTITUTE(SUBSTITUTE(SUBSTITUTE(SUBSTITUTE(SUBSTITUTE(SUBSTITUTE(SUBSTITUTE(SUBSTITUTE(SUBSTITUTE(SUBSTITUTE(SUBSTITUTE(SUBSTITUTE(IF(DATE.DEPASSE&lt;0,TABLEAU!$U$76,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G76,"  "," "),CONCATENATE("(A ",TABLEAU!$Z$76,"): (A ",TABLEAU!$Z$76),CONCATENATE("(A ",TABLEAU!$Z$76)),CONCATENATE("#DEPASSE",TABLEAU!$M$76,"#DEPASSE",TABLEAU!$M$76),CONCATENATE("#DEPASSE",TABLEAU!$M$76)),CONCATENATE("#DEPASSE",TABLEAU!$L$76,"DEPASSE"),"#DEPASSE"),CONCATENATE(TABLEAU!$L$76," (A ",TABLEAU!$Z$76,"): DEPUIS"),"DEPASSE DEPUIS")," 1 "," 1ER "),"DEPASSE DEPUIS DEPASSE DEPUIS","DEPASSE DEPUIS"),CONCATENATE("DEPASSE ",TRIM(TABLEAU!$L$76)," DEPASSE ",TRIM(TABLEAU!$L$76)),CONCATENATE("DEPASSE ",TRIM(TABLEAU!$L$76))),"1ER MIN","1 MIN"),"1ER ERREUR","1 ERREUR"),CONCATENATE("(A ",TABLEAU!$Z$76,"): (A ",TABLEAU!$E$76,":",TABLEAU!$F$76),CONCATENATE("(A ",TABLEAU!$Z$76))," (A ):",""),"DEPASSE DEPUIS (",TABLEAU!$H$76),"] &amp; D","]# &amp; #D"),CONCATENATE("#DEPASSE",TABLEAU!$M$76,"DEPASSE"),"#DEPASSE")," [","): ["),"):):","):"),"DEPUIS ",TABLEAU!$L$76),CONCATENATE(SUBSTITUTE(TABLEAU!$M$76,"DEPUIS ",""))," "),"DEPUIS",CONCATENATE(TABLEAU!$M$76," (",SAMEDI.VERIFIER," A ")),SUBSTITUTE(TABLEAU!$M$76,"DEPUIS","A"),""),"DEPASSE  ","DEPASSE"),"  A "," A"),"  "," "),TRIM(SUBSTITUTE(TABLEAU!$M$76," DEPUIS ","A ")),"EEE"),"EEE",CONCATENATE("A ",TABLEAU!$Z$76)),CONCATENATE("DEPASSE ",TABLEAU!$L$76,"HIER"),"DEPASSE DEPUIS HIER"),"DEPASSEDEPASSE","DEPASSE DEPUIS "),CONCATENATE(" A ",TABLEAU!$Z$59," (A ",TABLEAU!$Z$59),CONCATENATE(" A ",TABLEAU!$Z$59)),CONCATENATE("A ",TABLEAU!$Z$76," ",TABLEAU!$C$76),TABLEAU!$C$76),CONCATENATE(MOIS.MAINTENANT.2," (A"),CONCATENATE(MOIS.MAINTENANT.2," A")),"#DEPASSE #DEPASSEDEPUIS","#DEPASSE DEPUIS"),"A (A","A"),CONCATENATE(TABLEAU!$L$76," DEPASSE"),"DEPASSE"),"DEPASSE (",CONCATENATE("DEPASSE DEPUIS ",TABLEAU!$Q$76," (")),"''MIN","MIN"),"=):","]="),CONCATENATE("#DEPASSE ",TABLEAU!$Q$76),CONCATENATE("#DEPASSE DEPUIS ",TABLEAU!$Q$76)),"DEPASSE","DEPASSE DEPUIS"),"DEPUIS DEPUIS","DEPUIS")),"US A","USA"),CONCATENATE("DEPASSE DEPUIS ",TABLEAU!$Q$76,"DEPASSE DEPUIS ",TABLEAU!$Q$76),CONCATENATE("DEPASSE DEPUIS ",TABLEAU!$Q$76)),CONCATENATE("#DEPASSE DEPUIS ",TABLEAU!$Q$76," #DEPASSE DEPUIS ",TABLEAU!$Q$76),CONCATENATE("#DEPASSE DEPUIS ",TABLEAU!$Q$76)),"#DEPASSE DEPUIS #DEPASSE DEPUIS","#DEPASSE DEPUIS"),CONCATENATE("): ",SAMEDI.DANS," (A ",TABLEAU!$E$76,"H",TABLEAU!$F$76),"")," &amp; D"," &amp; #D"),CONCATENATE(SAMEDI.DANS," (SAMEDI ",DAY(SAMEDI.DATE)," ",LOOKUP(MONTH(SAMEDI.DATE),MOIS)," A ",TABLEAU!$E$76,"H",TABLEAU!$F$76,"): DANS"),"DANS"),CONCATENATE(SAMEDI.DANS," (SAMEDI ",DAY(SAMEDI.DATE)," ",LOOKUP(MONTH(SAMEDI.DATE),MOIS)," A ",TABLEAU!$E$76,"H",TABLEAU!$F$76,"): ",SAMEDI.DANS,"= ",TABLEAU!$AN$23,"(A ",TABLEAU!$E$76,"H",TABLEAU!$F$76),CONCATENATE(SAMEDI.DANS,"= ",TABLEAU!$AN$23," (SAMEDI ",DAY(SAMEDI.DATE)," ",LOOKUP(MONTH(SAMEDI.DATE),MOIS)," A ",TABLEAU!$E$76,"H",TABLEAU!$F$76)),CONCATENATE(SAMEDI.DANS," (SAMEDI ",DAY(SAMEDI.DATE)," ",LOOKUP(MONTH(SAMEDI.DATE),MOIS)," A ",TABLEAU!$E$76,"H",TABLEAU!$F$76,"): DANS"),"DANS"),"# (",CONCATENATE("#",TABLEAU!$H$76)),"DANS 0","DANS "),"# ~ ",CONCATENATE("#",FICHIER.A.MODIFIER," ~ ")),CONCATENATE("A ",SUBSTITUTE(TABLEAU!$M$33,":","H"),"): ~ (A ",SUBSTITUTE(TABLEAU!$M$33,":","H")),CONCATENATE("A ",SUBSTITUTE(TABLEAU!$M$33,":","H"))),CONCATENATE("(A ",TABLEAU!$Z$76,"): ~ (A"),"(A"),"DANS 0 MIN","MAINTENANT"),"DEPUIS(",CONCATENATE("DEPUIS ",TABLEAU!$M$76," (")),"DEPUIS DEPUIS  (A",CONCATENATE("DEPUIS ",TABLEAU!$M$76," (A")),"(A 1 ",CONCATENATE("(A ",TABLEAU!$E$76,":00")),"#A",CONCATENATE("#DANS ",HOUR(TABLEAU!$I$76),"H",TABLEAU!$N$76," (A")),"DEPUIS DEPUIS",CONCATENATE("DEPUIS ",TABLEAU!$M$76))),"]#D","]# &amp; #D"),"DEPUIS =",CONCATENATE("DEPUIS ",TABLEAU!$M$76)),"DANS  MAINTENANT","MAINTENANT")</f>
        <v/>
      </c>
      <c r="K76" s="1174" t="str">
        <f ca="1">TRIM(SUBSTITUTE(SUBSTITUTE(SUBSTITUTE(SUBSTITUTE(SUBSTITUTE(SUBSTITUTE(SUBSTITUTE(SUBSTITUTE(SUBSTITUTE(TABLEAU!$O$76,CONCATENATE("): (",TABLEAU!$W$76),""),CONCATENATE("A ",TABLEAU!$E$76,"H",TABLEAU!$X$76,"): ("),""),"(SUR",CONCATENATE("(A ",TABLEAU!$E$76,"H",TABLEAU!$X$76," SUR"))," &amp; (",CONCATENATE(" &amp; ",TABLEAU!$L$76," (")),"AUJOURD'HUI",""),"##","#"),"1ER MIN","1 MIN"),CONCATENATE("DEPASSE ",TRIM(TABLEAU!$L$76)," DEPASSE"),"DEPASSE")," (A ):",""))</f>
        <v/>
      </c>
      <c r="L76" s="1175" t="str">
        <f ca="1">UPPER(IF(TABLEAU!$P$76&lt;&gt;"","",IF(TABLEAU!$P$76="","",IF(TABLEAU!$AM$76&lt;&gt;"","#DEPASSE DEPUIS ",IF(TODAY&lt;&gt;"SAMEDI","",IF(COUNTIF(ENCOURS,"#EN COURS#")&lt;&gt;0,"MAINTENANT",SUBSTITUTE(SUBSTITUTE(SUBSTITUTE(IF(OR(TABLEAU!$C$76="",TABLEAU!$D$76=""),"",IF(HOUR(TABLEAU!$I$76)=0,CONCATENATE("DANS ",TABLEAU!$N$76," MIN"),CONCATENATE("DANS ",HOUR(TABLEAU!$I$76),"H",TABLEAU!$N$76))),"DANS 0","DANS "),"DANS  MIN",TABLEAU!$M$76),"DANS 0 MIN","MAINTENANT")))))))</f>
        <v/>
      </c>
      <c r="M76" s="1175" t="str">
        <f ca="1">IF(TODAY&lt;&gt;"SAMEDI","",SUBSTITUTE(IF(TABLEAU!$D$76="","",IF(TABLEAU!$AF$76=" ","",IF(TABLEAU!$D$76-H.M&gt;0,"",IF(AND(HOUR(TABLEAU!$AF$76)&gt;0,MINUTE(TABLEAU!$AF$76)&lt;10),CONCATENATE(" ",HOUR(TABLEAU!$AF$76),"H0",MINUTE(TABLEAU!$AF$76)),IF(AND(HOUR(TABLEAU!$AF$76)&gt;0,MINUTE(TABLEAU!$AF$76)&gt;9),CONCATENATE(" ",HOUR(TABLEAU!$AF$76),"H",MINUTE(TABLEAU!$AF$76)),CONCATENATE(" 0",MINUTE(TABLEAU!$AF$76)," MIN"))))))," 0",""))</f>
        <v/>
      </c>
      <c r="N76" s="1175" t="str">
        <f>IF(TABLEAU!$D$76="","",IF(OR(TABLEAU!$C$76="",TODAY&lt;&gt;"SAMEDI"),"",IF(TABLEAU!$P$76="#DEPASSE#","",IF(HOUR((H.M))&gt;HOUR(TABLEAU!$D$76),"",IF(MINUTE(TABLEAU!$I$76)&lt;10,CONCATENATE("0",MINUTE(TABLEAU!$I$76)),MINUTE(TABLEAU!$I$76))))))</f>
        <v/>
      </c>
      <c r="O76" s="1176" t="str">
        <f ca="1">UPPER(SUBSTITUTE(SUBSTITUTE(SUBSTITUTE(SUBSTITUTE(SUBSTITUTE(SUBSTITUTE(SUBSTITUTE(SUBSTITUTE(SUBSTITUTE(TABLEAU!$J$76,"DANS 0H","DANS "),"DANS 0","DANS "),CONCATENATE("(A ",TABLEAU!$E$76,"H",TABLEAU!$X$76,"): (",LOOKUP(WEEKDAY(SAMEDI.DATE),SEMAINE)," ",DAY(SAMEDI.DATE)," ",LOOKUP(MONTH(SAMEDI.DATE),MOIS)," A 20H00): "),CONCATENATE(TABLEAU!$L$76," (A ",TABLEAU!$E$76,"H",TABLEAU!$X$76,")")),"DEPUIS 0","DEPUIS "),"&amp; A","&amp; (A"),CONCATENATE("(",NBA),""),"#DEPASSE DEPUIS (A","(A"),"DANS  MAINTENANT","MAINTENANT"),"] &amp; #","]# &amp; #"))</f>
        <v/>
      </c>
      <c r="P76" s="1190" t="str">
        <f ca="1">IF(OR(TABLEAU!$D$76="",TODAY&lt;&gt;"SAMEDI"),"",IF(AND(HOUR((H.M))=HOUR(TABLEAU!$D$76),MINUTE((H.M))&gt;MINUTE(TABLEAU!$D$76)),"#DEPASSE#",IF(HOUR((H.M))&gt;HOUR(TABLEAU!$D$76),"#DEPASSE#","")))</f>
        <v/>
      </c>
      <c r="Q76" s="1175" t="str">
        <f ca="1">IF(OR(TABLEAU!$P$76="",TABLEAU!$S$76=""),"",IF(AND(HOUR(TABLEAU!$S$76)&gt;0,MINUTE(TABLEAU!$S$76)&lt;10),CONCATENATE(HOUR(TABLEAU!$S$76),"H0",MINUTE(TABLEAU!$S$76)),IF(AND(HOUR(TABLEAU!$S$76)=0,MINUTE(TABLEAU!$S$76)&lt;10),CONCATENATE(MINUTE(TABLEAU!$S$76)," MIN"),IF(AND(HOUR(TABLEAU!$S$76)&gt;0,MINUTE(TABLEAU!$S$76)&gt;9),CONCATENATE(HOUR(TABLEAU!$S$76),"H",MINUTE(TABLEAU!$S$76)),CONCATENATE(MINUTE(TABLEAU!$S$76)," MIN")))))</f>
        <v/>
      </c>
      <c r="R76" s="1175" t="str">
        <f ca="1">UPPER(IF(OR(TABLEAU!$C$76="",TODAY&lt;&gt;"SAMEDI"),"",IF(OR(TABLEAU!$D$76="",TABLEAU!$D$76="23:59",TABLEAU!$C$76=""),"",IF(AND(TODAY="SAMEDI",HOUR(TABLEAU!$I$76)&lt;1,MINUTE(TABLEAU!$I$76)&lt;5,TABLEAU!$I$76&lt;&gt;"",TABLEAU!$I$76&lt;&gt;0),"BIENTOT",""))))</f>
        <v/>
      </c>
      <c r="S76" s="1191" t="str">
        <f>IF(TABLEAU!$D$76="","",IF(TODAY&lt;&gt;"SAMEDI","",IF((H.M)&gt;TABLEAU!$D$76,"",(H.M)-TABLEAU!$D$76)))</f>
        <v/>
      </c>
      <c r="T76" s="2393"/>
      <c r="U76" s="1174" t="str">
        <f ca="1">UPPER(TRIM(SUBSTITUTE(SUBSTITUTE(SUBSTITUTE(SUBSTITUTE(SUBSTITUTE(SUBSTITUTE(SUBSTITUTE(SUBSTITUTE(SUBSTITUTE(SUBSTITUTE(SUBSTITUTE(SUBSTITUTE(SUBSTITUTE(SUBSTITUTE(SUBSTITUTE(SUBSTITUTE(SUBSTITUTE(SUBSTITUTE(IF(TABLEAU!$D$76="","",SUBSTITUTE(SUBSTITUTE(SUBSTITUTE(SUBSTITUTE(SUBSTITUTE(SUBSTITUTE(SUBSTITUTE(SUBSTITUTE(SUBSTITUTE(SUBSTITUTE(SUBSTITUTE(SUBSTITUTE(SUBSTITUTE(SUBSTITUTE(SUBSTITUTE(IF(OR(TABLEAU!$C$76="",TABLEAU!$D$76=""),"",IF(AND(TODAY="SAMEDI",TABLEAU!$P$76&lt;&gt;""),CONCATENATE("#DEPASSE DEPUIS ",TABLEAU!$M$76," ",TABLEAU!$W$76,"#"),CONCATENATE("#",SAMEDI.DANS," ",TABLEAU!$H$76,TABLEAU!$C$76,"#"))),": =",":"),CONCATENATE(NBA,"("),""),CONCATENATE(LOOKUP(MONTH(SAMEDI.DATE),MOIS)," (A"),CONCATENATE(LOOKUP(MONTH(SAMEDI.DATE),MOIS)," A")),"1ER MIN","1 MIN"),"((","("),"##","#"),"# ","#"),CONCATENATE("#",TABLEAU!$H$76,"DEPUIS"),"#DEPASSE DEPUIS"),"DEMAIN (",CONCATENATE("DEMAIN (SAMEDI ",DAY(SAMEDI.DATE)," ",LOOKUP(MONTH(SAMEDI.DATE),MOIS)," ")),"JOURS (A ",CONCATENATE("JOURS (SAMEDI ",DAY(SAMEDI.DATE)," ",LOOKUP(MONTH(SAMEDI.DATE),MOIS)," A ")),"(A","(SAMEDI A"),"DANS 00 MIN","DANS "),"DANS 0","DANS "),"#&amp;","# &amp; "),"JOURS [",CONCATENATE("JOURS (",LOOKUP(WEEKDAY(SAMEDI.DATE),SEMAINE)," ",DAY(SAMEDI.DATE)," ",LOOKUP(MONTH(SAMEDI.DATE),MOIS)," A ",HOUR(TABLEAU!$D$76),"H",TABLEAU!$F$76,"): ["))),CONCATENATE(SAMEDI.DANS," ",SAMEDI.DANS),CONCATENATE(" ",SAMEDI.DANS)),"# ","#"),"#&amp; #","# &amp; #"),"US A","USA"),"(~ ("," ~ ("),"SAMEDI A ","A "),CONCATENATE("#",TABLEAU!$H$76,TABLEAU!$W$76),TABLEAU!$W$76),"DEMAINDANS","DEMAIN DANS"),"''(","'' ("),CONCATENATE("#DANS ",TRIM(TABLEAU!$AH$76)," (#DEPASSE "),"#DEPASSE "),"]#D","]# &amp; #D"),"(MATCH","MATCH"),"COURS &amp; D","COURS# &amp; #D"),"#&amp; ","# &amp; #"),"# &amp; # ","# &amp; #"),CONCATENATE("#DEPASSE DEPUIS ",TABLEAU!$M$76," #"),"#"),"# &amp; ##","# &amp; #"),"DANS  (MAINTENANT","MAINTENANT")))</f>
        <v/>
      </c>
      <c r="V76" s="1174" t="str">
        <f ca="1">UPPER(TRIM(SUBSTITUTE(SUBSTITUTE(IF(OR(TABLEAU!$C$76="",TABLEAU!$D$76="",SAMEDI.DANS&lt;&gt;""),"",TABLEAU!$J$76),JOUR.PLUS,""),"DANS  MAINTENANT","MAINTENANT")))</f>
        <v/>
      </c>
      <c r="W76" s="1199" t="str">
        <f>UPPER(IF(TABLEAU!$C$76=0,"",TABLEAU!$C$76))</f>
        <v/>
      </c>
      <c r="X76" s="1198"/>
      <c r="Y76" s="1175" t="str">
        <f ca="1">IF(OR(TODAY&lt;&gt;"SAMEDI",TABLEAU!$C$76=""),"",IF(OR(TABLEAU!$C$76="",TABLEAU!$D$76=""),"",HOUR(TABLEAU!$D$76)))</f>
        <v/>
      </c>
      <c r="Z76" s="1175" t="str">
        <f ca="1">IF(TABLEAU!$AM$76&lt;&gt;""," ",IF(OR(TODAY&lt;&gt;"SAMEDI",TABLEAU!$C$76="",TABLEAU!$D$76="")," ",IF(MINUTE(TABLEAU!$D$76)&lt;10,CONCATENATE(HOUR(TABLEAU!$D$76),"H0",MINUTE(TABLEAU!$D$76)),IF(MINUTE(TABLEAU!$D$76)&gt;9,CONCATENATE(HOUR(TABLEAU!$D$76),"H",MINUTE(TABLEAU!$D$76))))))</f>
        <v xml:space="preserve"> </v>
      </c>
      <c r="AA76" s="1204" t="str">
        <f ca="1">TRIM(SUBSTITUTE(SUBSTITUTE(SUBSTITUTE(SUBSTITUTE(IF(TABLEAU!$P$76="#DEPASSE#",TABLEAU!$AB$76,TABLEAU!$U$76),"# ","#"),"#&amp; #","# &amp; #"),"DANS (MAINTENANT","MAINTENANT"),SUBSTITUTE(SUBSTITUTE(CONCATENATE("#",TABLEAU!$H$76,"",TABLEAU!$H$76)," 0"," ")," 0"," "),SUBSTITUTE(TABLEAU!$H$76," 0"," ")))</f>
        <v/>
      </c>
      <c r="AB76" s="1175" t="str">
        <f ca="1">UPPER(TRIM(SUBSTITUTE(SUBSTITUTE(SUBSTITUTE(SUBSTITUTE(SUBSTITUTE(SUBSTITUTE(TABLEAU!$K76,CONCATENATE(LOOKUP(MONTH(A),MOIS)," (A"),CONCATENATE(LOOKUP(MONTH(A),MOIS)," A ")),CONCATENATE(LOOKUP(MONTH(A)+1,MOIS)," (A"),CONCATENATE(LOOKUP(MONTH(A)+1,MOIS)," A ")),CONCATENATE("(",YEAR(SAMEDI.DATE)),""),"] &amp; DANS","]# &amp; #DANS"),"DANS MAINTENANT","MAINTENANT"),SUBSTITUTE(CONCATENATE("#",SUBSTITUTE(TABLEAU!$H$76,"(",""),"#",TABLEAU!$H$76)," 0"," "),SUBSTITUTE(TABLEAU!$H$76," 0"," "))))</f>
        <v/>
      </c>
      <c r="AC76" s="1205" t="str">
        <f ca="1">IF(TABLEAU!$P$76="#DEPASSE#",CONCATENATE(TABLEAU!$AC$75," &amp; ",TABLEAU!$B$76),TABLEAU!$AC$75)</f>
        <v/>
      </c>
      <c r="AD76" s="1591"/>
      <c r="AE76" s="1176" t="str">
        <f ca="1">UPPER(TRIM(SUBSTITUTE(SUBSTITUTE(SUBSTITUTE(SUBSTITUTE(SUBSTITUTE(SUBSTITUTE(SUBSTITUTE(SUBSTITUTE(SUBSTITUTE(SUBSTITUTE(SUBSTITUTE(SUBSTITUTE(SUBSTITUTE(SUBSTITUTE(SUBSTITUTE(SUBSTITUTE(SUBSTITUTE(SUBSTITUTE(SUBSTITUTE(SUBSTITUTE(SUBSTITUTE(SUBSTITUTE(SUBSTITUTE(SUBSTITUTE(IF(TABLEAU!$P$76="#DEPASSE#",TABLEAU!$J$76,IF(TABLEAU!$C$76="","",TRIM(SUBSTITUTE(SUBSTITUTE(SUBSTITUTE(SUBSTITUTE(SUBSTITUTE(SUBSTITUTE(SUBSTITUTE(IF(TABLEAU!$L$76="#DEPASSE DEPUIS ",MODIF,IF(TABLEAU!$I$76=SUBSTITUTE(DEPP,"#",""),DEPP,SUBSTITUTE(SUBSTITUTE(SUBSTITUTE(SUBSTITUTE(SUBSTITUTE(SUBSTITUTE(SUBSTITUTE(SUBSTITUTE(SUBSTITUTE(SUBSTITUTE(SUBSTITUTE(SUBSTITUTE(SUBSTITUTE(SUBSTITUTE(SUBSTITUTE(SUBSTITUTE(SUBSTITUTE(SUBSTITUTE(TABLEAU!$AB$76,CONCATENATE(TABLEAU!$K76," A "),CONCATENATE(TABLEAU!$K76," (A ")),"JANVIER (","JANVIER "),"FEVRIER (","FEVRIER "),"MARS (","MARS "),"AVRIL (","AVRIL "),"MAI (","MAI "),"JUIN (","JUIN "),"JUILLET (","JUILLET "),"AOUT (","AOUT "),"SEPTEMBRE (","SEPTEMBRE "),"OCTOBRE (","OCTOBRE "),"NOVEMBRE (","NOVEMBRE "),"DECEMBRE (","DECEMBRE "),CONCATENATE(" &amp; ",TABLEAU!$K76," (")," &amp; "),CONCATENATE(" &amp;",TABLEAU!$L$76,"(")," &amp; ")," &amp; ("," &amp; "),CONCATENATE(TABLEAU!$K76," (A ",TABLEAU!$AC$76,"): HIER"),"DEPASSE DEPUIS HIER")," &amp; A"," &amp; (A"))),"(A ",CONCATENATE("(",DATE.RDV.TV," A ")),"((","("),CONCATENATE(DATE.RDV.TV," ("),""),CONCATENATE(DATE.RDV.TV," A "),"A "),CONCATENATE(YEAR(A)," (A"),"A"),CONCATENATE(TABLEAU!$L$76," (DEPASSE"),"DEPASSE"),CONCATENATE("DEPASSE",TABLEAU!$L$76,"(",LOOKUP(WEEKDAY(SAMEDI.DATE),SEMAINE)," ",DAY(SAMEDI.DATE)," ",LOOKUP(MONTH(SAMEDI.DATE),MOIS)," A"),"DEPASSE DEPUIS")))),"#&amp; ","# &amp; #"),"DANS (A","MAINTENANT (A"),"DANS (MATCH","DANS MATCH"),CONCATENATE("(DEMAIN= ",DIF.L1," ~ "),""),CONCATENATE("(DEMAIN= ",DIF.LDC," ~ "),""),CONCATENATE("(DEMAIN= ",DIF.UEFA," ~ "),""),CONCATENATE("(DEMAIN= ",DIF.FRANCE," ~ "),""),CONCATENATE("(DEMAIN= ",DIF.LIGUE," ~ "),""),CONCATENATE("(DEMAIN= ",DIF.GP," ~ "),""),CONCATENATE("(DEMAIN= ",DIF.MONDIAL," ~ "),""),CONCATENATE("(DEMAIN= ",DIF.EURO," ~ "),""),CONCATENATE("(DEMAIN= ",DIF.CONFEDERATIONS," ~ "),""),CONCATENATE(TABLEAU!$K$3," A"),"A"),"MARDI A","A"),"MERCREDI A","A"),"JEUDI A","A"),"VENDREDI A","A"),"SAMEDI A","A"),"DIMANCHE A","A"),"00H","0H"),"DEPUIS DEPUIS",CONCATENATE("DEPUIS ",TABLEAU!$M$76)),"] &amp;D","]# &amp; #D"),"A 2A",CONCATENATE("A ",TABLEAU!$Y76,"H",TABLEAU!$F$76))," )",")")))</f>
        <v/>
      </c>
      <c r="AF76" s="982" t="str">
        <f ca="1">IF(TODAY&lt;&gt;"SAMEDI"," ",IF(TABLEAU!$D$76="","",H.M-TABLEAU!$D$76))</f>
        <v/>
      </c>
      <c r="AG76" s="982" t="str">
        <f ca="1">IF(TABLEAU!$B$76="","",IF(TABLEAU!$I$76&lt;&gt;0,"",IF(TODAY&lt;&gt;"SAMEDI","",IF(TABLEAU!$AF$76=" ","",IF(TABLEAU!$AF$76="","",IF(AND(HOUR(TABLEAU!$AF$76)&gt;0,MINUTE(TABLEAU!$AF$76)&lt;10),CONCATENATE(HOUR(TABLEAU!$AF$76),"H0",MINUTE(TABLEAU!$AF$76)),IF(AND(HOUR(TABLEAU!$AF$76)&gt;0,MINUTE(TABLEAU!$AF$76)&gt;9),CONCATENATE(HOUR(TABLEAU!$AF$76),"H",MINUTE(TABLEAU!$AF$76)),CONCATENATE(MINUTE(TABLEAU!$AF$76)," MIN"))))))))</f>
        <v/>
      </c>
      <c r="AH76" s="982" t="str">
        <f ca="1">IF(TABLEAU!$I$76="","",IF(MINUTE(TABLEAU!$I$76)&gt;9,CONCATENATE(HOUR(TABLEAU!$I$76),"H",MINUTE(TABLEAU!$I$76)),CONCATENATE(HOUR(TABLEAU!$I$76),"H0",MINUTE(TABLEAU!$I$76))))</f>
        <v/>
      </c>
      <c r="AI76" s="1662"/>
      <c r="AJ76" s="91" t="str">
        <f ca="1">IF(TABLEAU!$B$76="","",TABLEAU!$P$76)</f>
        <v/>
      </c>
      <c r="AK76" s="91" t="str">
        <f ca="1">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O$76,"DEPASSE","&amp;&amp;&amp;"),"A",""),"B",""),"C",""),"D",""),"E",""),"F",""),"G",""),"H",""),"I",""),"J",""),"K",""),"L",""),"M",""),"N",""),"O",""),"P",""),"Q",""),"R",""),"S",""),"T",""),"U",""),"V",""),"W",""),"X",""),"Y",""),"Z",""),"0",""),"1",""),"2",""),"3",""),"4",""),"5",""),"6",""),"7",""),"8",""),"9",""),":",""),"(",""),")",""),"[",""),"]","")," ",""))</f>
        <v/>
      </c>
      <c r="AL76" s="61" t="str">
        <f ca="1">UPPER(IF(DATE.RDV.TV&lt;&gt;"SAMEDI","",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B$76,"DEPASSE ","¤¤"),"A",""),"B",""),"C",""),"D",""),"E",""),"F",""),"G",""),"H",""),"I",""),"J",""),"K",""),"L",""),"M",""),"N",""),"O",""),"P",""),"Q",""),"R",""),"S",""),"T",""),"U",""),"V",""),"W",""),"X",""),"Y",""),"Z",""),"1",""),"2",""),"3",""),"4",""),"5",""),"6",""),"7",""),"8",""),"9",""),"0",""),"-",""),"(",""),")",""),"{",""),"}",""),"=",""),"[",""),"]",""),"#",""),"+",""),":",""),"/",""),"'",""),".","")," &amp; ","")," ° ",""))))</f>
        <v/>
      </c>
      <c r="AM76" s="835" t="str">
        <f ca="1">UPPER(IF(DATE.RDV.TV&lt;&gt;"SAMEDI","",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C$76,"CHAMPIONNAT","¤"),"LDC","¤¤"),"UEFA","¤¤¤"),"FRANCE","¤¤¤¤"),"LIGUE","¤¤¤¤¤"),"GP","¤¤¤¤¤¤"),"MONDIAL","¤¤¤¤¤¤¤"),"EURO","¤¤¤¤¤¤¤¤"),"CONFEDERATIONS","¤¤¤¤¤¤¤¤¤"),"A",""),"B",""),"C",""),"D",""),"E",""),"F",""),"G",""),"H",""),"I",""),"J",""),"K",""),"L",""),"M",""),"N",""),"O",""),"P",""),"Q",""),"R",""),"S",""),"T",""),"U",""),"V",""),"W",""),"X",""),"Y",""),"Z",""),"1",""),"2",""),"3",""),"4",""),"5",""),"6",""),"7",""),"8",""),"9",""),"0",""),"-",""),"(",""),")",""),"{",""),"}",""),"=",""),"[",""),"]",""),"#",""),"+",""),":",""),"/",""),"'",""),".","")," &amp; ","")," ° ",""),"~",""))))</f>
        <v/>
      </c>
      <c r="AN76" s="1579" t="str">
        <f ca="1">IF(TABLEAU!$B$76=TABLEAU!$B$75,"",IF(OR(TABLEAU!$A$76="#DEPASSE#",TABLEAU!$P$76="#DEPASSE#"),TABLEAU!$B$76,""))</f>
        <v/>
      </c>
      <c r="AO76" s="1580"/>
      <c r="AP76" s="1580"/>
      <c r="AQ76" s="1580"/>
      <c r="AR76" s="1580"/>
      <c r="AS76" s="1580"/>
      <c r="AT76" s="1580"/>
      <c r="AU76" s="1580"/>
      <c r="AV76" s="1580"/>
      <c r="AW76" s="1580"/>
      <c r="AX76" s="1581"/>
      <c r="AY76" s="1243">
        <f ca="1">IF(AND(TABLEAU!$C$76&lt;&gt;"",TABLEAU!$B$76=""),1,0)</f>
        <v>0</v>
      </c>
      <c r="AZ76" s="2576"/>
      <c r="BA76" s="2577"/>
    </row>
    <row r="77" spans="1:53" ht="12" customHeight="1">
      <c r="A77" s="1508" t="str">
        <f ca="1">IF(TABLEAU!$B$77="","",IF(OR(TABLEAU!$AL$77="¤¤",TABLEAU!$P$77&lt;&gt;""),"#DEPASSE#",SUBSTITUTE(IF(OR(SAMEDI.3="",TABLEAU!$C$77=""),"",IF(AND(TODAY="SAMEDI",HOUR((H.M))&gt;HOUR(SAMEDI.3),MINUTE((H.M))&gt;MINUTE(SAMEDI.3)),"",IF(TODAY&lt;&gt;"SAMEDI","",IF(HOUR(TABLEAU!$I$77)&gt;0,CONCATENATE("DANS ",HOUR(TABLEAU!$I$77),"H",TABLEAU!$N$77),CONCATENATE("DANS ",HOUR(TABLEAU!$I$77),"H",TABLEAU!$N$77," MIN")))))," 0H"," ")))</f>
        <v/>
      </c>
      <c r="B77" s="1513" t="str">
        <f ca="1">SUBSTITUTE(SUBSTITUTE(SUBSTITUTE(IF(OR(TABLEAU!$C77,TABLEAU!$D77=""),"",SUBSTITUTE(SUBSTITUTE(SUBSTITUTE(SUBSTITUTE(SUBSTITUTE(SUBSTITUTE(SUBSTITUTE(SUBSTITUTE(SUBSTITUTE(SUBSTITUTE(SUBSTITUTE(SUBSTITUTE(SUBSTITUTE(SUBSTITUTE(SUBSTITUTE(SUBSTITUTE(SUBSTITUTE(SUBSTITUTE(SUBSTITUTE(SUBSTITUTE(SUBSTITUTE(SUBSTITUTE(SUBSTITUTE(SUBSTITUTE(IF(TABLEAU!$C77="","",SUBSTITUTE(IF(TABLEAU!$AE77="",TABLEAU!$U77,TABLEAU!$AE77),CONCATENATE(CVB,YEAR(A)," "),""))," #"," "),"] &amp; D","]# &amp; #D")," &amp; (A",CONCATENATE("# &amp; #",TABLEAU!$H77,"A")),"&amp; DEPASSE","&amp; #DEPASSE"),"## &amp; #A","# &amp; #(A"),"DANS MAINTENANT","MAINTENANT"),CONCATENATE(" H",TABLEAU!$N77),CONCATENATE(" ",TABLEAU!$N77," MIN"))," 0"," "),"] &amp;D","]# &amp; #D"),"}  MIN","} H"),"# &amp; D","# &amp; #D"),CONCATENATE("#MAINTENANT (A ",TABLEAU!$Z77,"): MAINTENANT"),"#MAINTENANT"),TABLEAU!$AB$2,""),TABLEAU!$AM$5,"")," MINAMILTON","HAMILTON"),CONCATENATE(TABLEAU!$Z77," ",TABLEAU!$Z77),TABLEAU!$Z77),"DEPUIS  MINIER","DEPUIS HIER"),"MINONGRIE","HONGRIE"),"#DANS (#DEPASSE","#DEPASSE"),CONCATENATE(" ",YEAR(A)),""),"]= [","= ["),")])",")]"),"#DEPASSE DEPUISDANS","#DANS"),"(A 1A ):",CONCATENATE("(A ",HOUR(TABLEAU!$D77),"H",TABLEAU!$F77,"):"))),"SUR "," SUR "),"  SUR "," SUR "),CONCATENATE("DEPASSE DEPUIS ",TABLEAU!$M77," (A DANS"),"DANS")</f>
        <v/>
      </c>
      <c r="C77" s="832"/>
      <c r="D77" s="833"/>
      <c r="E77" s="2664">
        <f>IF(TABLEAU!$D78="","",IF(TABLEAU!$D78="23:59","",HOUR(TABLEAU!$D78)))</f>
        <v>20</v>
      </c>
      <c r="F77" s="2663" t="str">
        <f>IF(OR(TABLEAU!$D$78="",TABLEAU!$D$78="23:59"),"59",IF(MINUTE(TABLEAU!$D$78)&lt;10,CONCATENATE("0",MINUTE(TABLEAU!$D$78)),CONCATENATE(MINUTE(TABLEAU!$D$78))))</f>
        <v>40</v>
      </c>
      <c r="G77" s="595" t="str">
        <f ca="1">UPPER(SUBSTITUTE(SUBSTITUTE(SUBSTITUTE(IF(TABLEAU!$D$77="","",SUBSTITUTE(SUBSTITUTE(SUBSTITUTE(SUBSTITUTE(SUBSTITUTE(SUBSTITUTE(SUBSTITUTE(SUBSTITUTE(SUBSTITUTE(SUBSTITUTE(SUBSTITUTE(SUBSTITUTE(SUBSTITUTE(SUBSTITUTE(SUBSTITUTE(IF(OR(TABLEAU!$D$77="",TABLEAU!$C$77=""),"",IF(AND(TODAY="SAMEDI",HOUR((H.M))&gt;HOUR(TABLEAU!$D$77),MINUTE((H.M))&gt;MINUTE(TABLEAU!$D$77)),CONCATENATE("#DEPASSE DEPUIS",TABLEAU!$M$77," ",TABLEAU!$C$77,"#"),IF(TABLEAU!$P$77&lt;&gt;"",CONCATENATE("#DEPASSE DEPUIS",TABLEAU!$M$77," ",TABLEAU!$C$77,"#"),IF(TODAY&lt;&gt;"SAMEDI",CONCATENATE("#",SAMEDI.DANS," (SAMEDI ",DAY(SAMEDI.DATE)," ",LOOKUP(MONTH(SAMEDI.DATE),MOIS)," A ",HOUR(TABLEAU!$D$77),"H",TABLEAU!$F$77,"): ",TABLEAU!$C$77,"#"),CONCATENATE("#",TABLEAU!$L$77," (A ",TABLEAU!$Z$77,"): ",SUBSTITUTE(TABLEAU!$C$77,"#",""),"#"))))),CONCATENATE(LOOKUP(MONTH(SAMEDI.DATE),MOIS)," (A"),CONCATENATE(LOOKUP(MONTH(SAMEDI.DATE),MOIS)," A")),"##","#"),CONCATENATE("#DEPASSE DEPUIS  (A ): ",TABLEAU!$C$77,"#"),""),CONCATENATE("(A ",TABLEAU!$E$77,"H",TABLEAU!$X$77,"): "),""),CONCATENATE(TABLEAU!$L$77," DEPUIS"),"DEPASSE DEPUIS"),CONCATENATE("A ",HOUR(TABLEAU!$D$77),"H",TABLEAU!$F$77,"): (A ",HOUR(TABLEAU!$D$77),"H",TABLEAU!$F$77),CONCATENATE("A ",HOUR(TABLEAU!$D$77),"H",TABLEAU!$F$77)),"#DEPASSEDEPASSE","#DEPASSE"),"# (",CONCATENATE("#",TABLEAU!$H$77)),CONCATENATE("A ",SUBSTITUTE(TABLEAU!$M$33,":","H"),"): ~ (A ",SUBSTITUTE(TABLEAU!$M$33,":","H")),CONCATENATE("A ",SUBSTITUTE(TABLEAU!$M$33,":","H"))),CONCATENATE("#DEPASSE ",TABLEAU!$M$77,"#D"),"#D")," D"," #D"),"#DEPUIS","DEPUIS"),"COURS ","COURS# "),"#DE ","DE "),"GP #D","GP D")),"# &amp; #",CONCATENATE("# &amp; #DEPASSE DEPUIS",TABLEAU!$M$77," ")),"] &amp; (",CONCATENATE("]# &amp; DANS ",TABLEAU!$AH$77," ("))," 0"," "))</f>
        <v/>
      </c>
      <c r="H77" s="569" t="str">
        <f ca="1">SUBSTITUTE(IF(OR(DATE.RDV.TV&lt;&gt;"SAMEDI",TABLEAU!$C$77=""),"",IF(HOUR(TABLEAU!$I$77)=0,CONCATENATE("DANS ",TABLEAU!$N$77," MIN ("),CONCATENATE("DANS ",HOUR(TABLEAU!$I$77),"H",TABLEAU!$N$77," ("))),"DANS  MIN (","")</f>
        <v/>
      </c>
      <c r="I77" s="1177" t="str">
        <f ca="1">IF(OR(TODAY&lt;&gt;"SAMEDI",TABLEAU!$C$77=""),"",IF(OR(TABLEAU!$D$77="",TABLEAU!$P$77="#DEPASSE#",TODAY&lt;&gt;"SAMEDI"),0,IF(HOUR((H.M))&gt;HOUR(TABLEAU!$D$77),0,TABLEAU!$D$77-H.M)))</f>
        <v/>
      </c>
      <c r="J77" s="1178" t="str">
        <f ca="1">SUBSTITUTE(SUBSTITUTE(SUBSTITUTE(IF(TABLEAU!$I$77="","",SUBSTITUTE(SUBSTITUTE(SUBSTITUTE(SUBSTITUTE(SUBSTITUTE(SUBSTITUTE(SUBSTITUTE(SUBSTITUTE(SUBSTITUTE(SUBSTITUTE(SUBSTITUTE(SUBSTITUTE(SUBSTITUTE(SUBSTITUTE(SUBSTITUTE(SUBSTITUTE(SUBSTITUTE(SUBSTITUTE(SUBSTITUTE(SUBSTITUTE(IF(DATE.DEPASSE&lt;0,TABLEAU!$U$77,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G77,"  "," "),CONCATENATE("(A ",TABLEAU!$Z$77,"): (A ",TABLEAU!$Z$77),CONCATENATE("(A ",TABLEAU!$Z$77)),CONCATENATE("#DEPASSE",TABLEAU!$M$77,"#DEPASSE",TABLEAU!$M$77),CONCATENATE("#DEPASSE",TABLEAU!$M$77)),CONCATENATE("#DEPASSE",TABLEAU!$L$77,"DEPASSE"),"#DEPASSE"),CONCATENATE(TABLEAU!$L$77," (A ",TABLEAU!$Z$77,"): DEPUIS"),"DEPASSE DEPUIS")," 1 "," 1ER "),"DEPASSE DEPUIS DEPASSE DEPUIS","DEPASSE DEPUIS"),CONCATENATE("DEPASSE ",TRIM(TABLEAU!$L$77)," DEPASSE ",TRIM(TABLEAU!$L$77)),CONCATENATE("DEPASSE ",TRIM(TABLEAU!$L$77))),"1ER MIN","1 MIN"),"1ER ERREUR","1 ERREUR"),CONCATENATE("(A ",TABLEAU!$Z$77,"): (A ",TABLEAU!$E$77,":",TABLEAU!$F$77),CONCATENATE("(A ",TABLEAU!$Z$77))," (A ):",""),"DEPASSE DEPUIS (",TABLEAU!$H$77),"] &amp; D","]# &amp; #D"),CONCATENATE("#DEPASSE",TABLEAU!$M$77,"DEPASSE"),"#DEPASSE")," [","): ["),"):):","):"),"DEPUIS ",TABLEAU!$L$77),CONCATENATE(SUBSTITUTE(TABLEAU!$M$77,"DEPUIS ",""))," "),"DEPUIS",CONCATENATE(TABLEAU!$M$77," (",SAMEDI.VERIFIER," A ")),SUBSTITUTE(TABLEAU!$M$77,"DEPUIS","A"),""),"DEPASSE  ","DEPASSE"),"  A "," A"),"  "," "),TRIM(SUBSTITUTE(TABLEAU!$M$77," DEPUIS ","A ")),"EEE"),"EEE",CONCATENATE("A ",TABLEAU!$Z$77)),CONCATENATE("DEPASSE ",TABLEAU!$L$77,"HIER"),"DEPASSE DEPUIS HIER"),"DEPASSEDEPASSE","DEPASSE DEPUIS "),CONCATENATE(" A ",TABLEAU!$Z$59," (A ",TABLEAU!$Z$59),CONCATENATE(" A ",TABLEAU!$Z$59)),CONCATENATE("A ",TABLEAU!$Z$77," ",TABLEAU!$C$77),TABLEAU!$C$77),CONCATENATE(MOIS.MAINTENANT.2," (A"),CONCATENATE(MOIS.MAINTENANT.2," A")),"#DEPASSE #DEPASSEDEPUIS","#DEPASSE DEPUIS"),"A (A","A"),CONCATENATE(TABLEAU!$L$77," DEPASSE"),"DEPASSE"),"DEPASSE (",CONCATENATE("DEPASSE DEPUIS ",TABLEAU!$Q$77," (")),"''MIN","MIN"),"=):","]="),CONCATENATE("#DEPASSE ",TABLEAU!$Q$77),CONCATENATE("#DEPASSE DEPUIS ",TABLEAU!$Q$77)),"DEPASSE","DEPASSE DEPUIS"),"DEPUIS DEPUIS","DEPUIS")),"US A","USA"),CONCATENATE("DEPASSE DEPUIS ",TABLEAU!$Q$77,"DEPASSE DEPUIS ",TABLEAU!$Q$77),CONCATENATE("DEPASSE DEPUIS ",TABLEAU!$Q$77)),CONCATENATE("#DEPASSE DEPUIS ",TABLEAU!$Q$77," #DEPASSE DEPUIS ",TABLEAU!$Q$77),CONCATENATE("#DEPASSE DEPUIS ",TABLEAU!$Q$77)),"#DEPASSE DEPUIS #DEPASSE DEPUIS","#DEPASSE DEPUIS"),CONCATENATE("): ",SAMEDI.DANS," (A ",TABLEAU!$E$77,"H",TABLEAU!$F$77),"")," &amp; D"," &amp; #D"),CONCATENATE(SAMEDI.DANS," (SAMEDI ",DAY(SAMEDI.DATE)," ",LOOKUP(MONTH(SAMEDI.DATE),MOIS)," A ",TABLEAU!$E$77,"H",TABLEAU!$F$77,"): DANS"),"DANS"),CONCATENATE(SAMEDI.DANS," (SAMEDI ",DAY(SAMEDI.DATE)," ",LOOKUP(MONTH(SAMEDI.DATE),MOIS)," A ",TABLEAU!$E$77,"H",TABLEAU!$F$77,"): ",SAMEDI.DANS,"= ",TABLEAU!$AN$23,"(A ",TABLEAU!$E$77,"H",TABLEAU!$F$77),CONCATENATE(SAMEDI.DANS,"= ",TABLEAU!$AN$23," (SAMEDI ",DAY(SAMEDI.DATE)," ",LOOKUP(MONTH(SAMEDI.DATE),MOIS)," A ",TABLEAU!$E$77,"H",TABLEAU!$F$77)),CONCATENATE(SAMEDI.DANS," (SAMEDI ",DAY(SAMEDI.DATE)," ",LOOKUP(MONTH(SAMEDI.DATE),MOIS)," A ",TABLEAU!$E$77,"H",TABLEAU!$F$77,"): DANS"),"DANS"),"# (",CONCATENATE("#",TABLEAU!$H$77)),"DANS 0","DANS "),"# ~ ",CONCATENATE("#",FICHIER.A.MODIFIER," ~ ")),CONCATENATE("A ",SUBSTITUTE(TABLEAU!$M$33,":","H"),"): ~ (A ",SUBSTITUTE(TABLEAU!$M$33,":","H")),CONCATENATE("A ",SUBSTITUTE(TABLEAU!$M$33,":","H"))),CONCATENATE("(A ",TABLEAU!$Z$77,"): ~ (A"),"(A"),"DANS 0 MIN","MAINTENANT"),"DEPUIS(",CONCATENATE("DEPUIS ",TABLEAU!$M$77," (")),"DEPUIS DEPUIS  (A",CONCATENATE("DEPUIS ",TABLEAU!$M$77," (A")),"(A 1 ",CONCATENATE("(A ",TABLEAU!$E$77,":00")),"#A",CONCATENATE("#DANS ",HOUR(TABLEAU!$I$77),"H",TABLEAU!$N$77," (A")),"DEPUIS DEPUIS",CONCATENATE("DEPUIS ",TABLEAU!$M$77))),"]#D","]# &amp; #D"),"DEPUIS =",CONCATENATE("DEPUIS ",TABLEAU!$M$77)),"DANS  MAINTENANT","MAINTENANT")</f>
        <v/>
      </c>
      <c r="K77" s="1179" t="str">
        <f ca="1">TRIM(SUBSTITUTE(SUBSTITUTE(SUBSTITUTE(SUBSTITUTE(SUBSTITUTE(SUBSTITUTE(SUBSTITUTE(SUBSTITUTE(SUBSTITUTE(TABLEAU!$O$77,CONCATENATE("): (",TABLEAU!$W$77),""),CONCATENATE("A ",TABLEAU!$E$77,"H",TABLEAU!$X$77,"): ("),""),"(SUR",CONCATENATE("(A ",TABLEAU!$E$77,"H",TABLEAU!$X$77," SUR"))," &amp; (",CONCATENATE(" &amp; ",TABLEAU!$L$77," (")),"AUJOURD'HUI",""),"##","#"),"1ER MIN","1 MIN"),CONCATENATE("DEPASSE ",TRIM(TABLEAU!$L$77)," DEPASSE"),"DEPASSE")," (A ):",""))</f>
        <v/>
      </c>
      <c r="L77" s="1180" t="str">
        <f ca="1">UPPER(IF(TABLEAU!$P$77&lt;&gt;"","",IF(TABLEAU!$P$77="","",IF(TABLEAU!$AM$77&lt;&gt;"","#DEPASSE DEPUIS ",IF(TODAY&lt;&gt;"SAMEDI","",IF(COUNTIF(ENCOURS,"#EN COURS#")&lt;&gt;0,"MAINTENANT",SUBSTITUTE(SUBSTITUTE(SUBSTITUTE(IF(OR(TABLEAU!$C$77="",TABLEAU!$D$77=""),"",IF(HOUR(TABLEAU!$I$77)=0,CONCATENATE("DANS ",TABLEAU!$N$77," MIN"),CONCATENATE("DANS ",HOUR(TABLEAU!$I$77),"H",TABLEAU!$N$77))),"DANS 0","DANS "),"DANS  MIN",TABLEAU!$M$77),"DANS 0 MIN","MAINTENANT")))))))</f>
        <v/>
      </c>
      <c r="M77" s="1180" t="str">
        <f ca="1">IF(TODAY&lt;&gt;"SAMEDI","",SUBSTITUTE(IF(TABLEAU!$D$77="","",IF(TABLEAU!$AF$77=" ","",IF(TABLEAU!$D$77-H.M&gt;0,"",IF(AND(HOUR(TABLEAU!$AF$77)&gt;0,MINUTE(TABLEAU!$AF$77)&lt;10),CONCATENATE(" ",HOUR(TABLEAU!$AF$77),"H0",MINUTE(TABLEAU!$AF$77)),IF(AND(HOUR(TABLEAU!$AF$77)&gt;0,MINUTE(TABLEAU!$AF$77)&gt;9),CONCATENATE(" ",HOUR(TABLEAU!$AF$77),"H",MINUTE(TABLEAU!$AF$77)),CONCATENATE(" 0",MINUTE(TABLEAU!$AF$77)," MIN"))))))," 0",""))</f>
        <v/>
      </c>
      <c r="N77" s="1180" t="str">
        <f>IF(TABLEAU!$D$77="","",IF(OR(TABLEAU!$C$77="",TODAY&lt;&gt;"SAMEDI"),"",IF(TABLEAU!$P$77="#DEPASSE#","",IF(HOUR((H.M))&gt;HOUR(TABLEAU!$D$77),"",IF(MINUTE(TABLEAU!$I$77)&lt;10,CONCATENATE("0",MINUTE(TABLEAU!$I$77)),MINUTE(TABLEAU!$I$77))))))</f>
        <v/>
      </c>
      <c r="O77" s="1181" t="str">
        <f ca="1">UPPER(SUBSTITUTE(SUBSTITUTE(SUBSTITUTE(SUBSTITUTE(SUBSTITUTE(SUBSTITUTE(SUBSTITUTE(SUBSTITUTE(SUBSTITUTE(TABLEAU!$J$77,"DANS 0H","DANS "),"DANS 0","DANS "),CONCATENATE("(A ",TABLEAU!$E$77,"H",TABLEAU!$X$77,"): (",LOOKUP(WEEKDAY(SAMEDI.DATE),SEMAINE)," ",DAY(SAMEDI.DATE)," ",LOOKUP(MONTH(SAMEDI.DATE),MOIS)," A 20H00): "),CONCATENATE(TABLEAU!$L$77," (A ",TABLEAU!$E$77,"H",TABLEAU!$X$77,")")),"DEPUIS 0","DEPUIS "),"&amp; A","&amp; (A"),CONCATENATE("(",NBA),""),"#DEPASSE DEPUIS (A","(A"),"DANS  MAINTENANT","MAINTENANT"),"] &amp; #","]# &amp; #"))</f>
        <v/>
      </c>
      <c r="P77" s="1192" t="str">
        <f ca="1">IF(OR(TABLEAU!$D$77="",TODAY&lt;&gt;"SAMEDI"),"",IF(AND(HOUR((H.M))=HOUR(TABLEAU!$D$77),MINUTE((H.M))&gt;MINUTE(TABLEAU!$D$77)),"#DEPASSE#",IF(HOUR((H.M))&gt;HOUR(TABLEAU!$D$77),"#DEPASSE#","")))</f>
        <v/>
      </c>
      <c r="Q77" s="1180" t="str">
        <f ca="1">IF(OR(TABLEAU!$P$77="",TABLEAU!$S$77=""),"",IF(AND(HOUR(TABLEAU!$S$77)&gt;0,MINUTE(TABLEAU!$S$77)&lt;10),CONCATENATE(HOUR(TABLEAU!$S$77),"H0",MINUTE(TABLEAU!$S$77)),IF(AND(HOUR(TABLEAU!$S$77)=0,MINUTE(TABLEAU!$S$77)&lt;10),CONCATENATE(MINUTE(TABLEAU!$S$77)," MIN"),IF(AND(HOUR(TABLEAU!$S$77)&gt;0,MINUTE(TABLEAU!$S$77)&gt;9),CONCATENATE(HOUR(TABLEAU!$S$77),"H",MINUTE(TABLEAU!$S$77)),CONCATENATE(MINUTE(TABLEAU!$S$77)," MIN")))))</f>
        <v/>
      </c>
      <c r="R77" s="1180" t="str">
        <f ca="1">UPPER(IF(OR(TABLEAU!$C$77="",TODAY&lt;&gt;"SAMEDI"),"",IF(OR(TABLEAU!$D$77="",TABLEAU!$D$77="23:59",TABLEAU!$C$77=""),"",IF(AND(TODAY="SAMEDI",HOUR(TABLEAU!$I$77)&lt;1,MINUTE(TABLEAU!$I$77)&lt;5,TABLEAU!$I$77&lt;&gt;"",TABLEAU!$I$77&lt;&gt;0),"BIENTOT",""))))</f>
        <v/>
      </c>
      <c r="S77" s="1193" t="str">
        <f>IF(TABLEAU!$D$77="","",IF(TODAY&lt;&gt;"SAMEDI","",IF((H.M)&gt;TABLEAU!$D$77,"",(H.M)-TABLEAU!$D$77)))</f>
        <v/>
      </c>
      <c r="T77" s="2273" t="str">
        <f ca="1">UPPER(IF(TODAY="JEUDI","DANS 2 JOURS",IF(TODAY="VENDREDI","DEMAIN",IF(TODAY="SAMEDI","",IF(TODAY="DIMANCHE","DANS 6 JOURS",IF(TODAY=TABLEAU!$K$3,"DANS 5 JOURS",IF(TODAY="MARDI","DANS 4 JOURS",IF(TODAY="MERCREDI","DANS 3 JOURS"))))))))</f>
        <v/>
      </c>
      <c r="U77" s="1179" t="str">
        <f ca="1">UPPER(TRIM(SUBSTITUTE(SUBSTITUTE(SUBSTITUTE(SUBSTITUTE(SUBSTITUTE(SUBSTITUTE(SUBSTITUTE(SUBSTITUTE(SUBSTITUTE(SUBSTITUTE(SUBSTITUTE(SUBSTITUTE(SUBSTITUTE(SUBSTITUTE(SUBSTITUTE(SUBSTITUTE(SUBSTITUTE(SUBSTITUTE(IF(TABLEAU!$D$77="","",SUBSTITUTE(SUBSTITUTE(SUBSTITUTE(SUBSTITUTE(SUBSTITUTE(SUBSTITUTE(SUBSTITUTE(SUBSTITUTE(SUBSTITUTE(SUBSTITUTE(SUBSTITUTE(SUBSTITUTE(SUBSTITUTE(SUBSTITUTE(SUBSTITUTE(IF(OR(TABLEAU!$C$77="",TABLEAU!$D$77=""),"",IF(AND(TODAY="SAMEDI",TABLEAU!$P$77&lt;&gt;""),CONCATENATE("#DEPASSE DEPUIS ",TABLEAU!$M$77," ",TABLEAU!$W$77,"#"),CONCATENATE("#",SAMEDI.DANS," ",TABLEAU!$H$77,TABLEAU!$C$77,"#"))),": =",":"),CONCATENATE(NBA,"("),""),CONCATENATE(LOOKUP(MONTH(SAMEDI.DATE),MOIS)," (A"),CONCATENATE(LOOKUP(MONTH(SAMEDI.DATE),MOIS)," A")),"1ER MIN","1 MIN"),"((","("),"##","#"),"# ","#"),CONCATENATE("#",TABLEAU!$H$77,"DEPUIS"),"#DEPASSE DEPUIS"),"DEMAIN (",CONCATENATE("DEMAIN (SAMEDI ",DAY(SAMEDI.DATE)," ",LOOKUP(MONTH(SAMEDI.DATE),MOIS)," ")),"JOURS (A ",CONCATENATE("JOURS (SAMEDI ",DAY(SAMEDI.DATE)," ",LOOKUP(MONTH(SAMEDI.DATE),MOIS)," A ")),"(A","(SAMEDI A"),"DANS 00 MIN","DANS "),"DANS 0","DANS "),"#&amp;","# &amp; "),"JOURS [",CONCATENATE("JOURS (",LOOKUP(WEEKDAY(SAMEDI.DATE),SEMAINE)," ",DAY(SAMEDI.DATE)," ",LOOKUP(MONTH(SAMEDI.DATE),MOIS)," A ",HOUR(TABLEAU!$D$77),"H",TABLEAU!$F$77,"): ["))),CONCATENATE(SAMEDI.DANS," ",SAMEDI.DANS),CONCATENATE(" ",SAMEDI.DANS)),"# ","#"),"#&amp; #","# &amp; #"),"US A","USA"),"(~ ("," ~ ("),"SAMEDI A ","A "),CONCATENATE("#",TABLEAU!$H$77,TABLEAU!$W$77),TABLEAU!$W$77),"DEMAINDANS","DEMAIN DANS"),"''(","'' ("),CONCATENATE("#DANS ",TRIM(TABLEAU!$AH$77)," (#DEPASSE "),"#DEPASSE "),"]#D","]# &amp; #D"),"(MATCH","MATCH"),"COURS &amp; D","COURS# &amp; #D"),"#&amp; ","# &amp; #"),"# &amp; # ","# &amp; #"),CONCATENATE("#DEPASSE DEPUIS ",TABLEAU!$M$77," #"),"#"),"# &amp; ##","# &amp; #"),"DANS  (MAINTENANT","MAINTENANT")))</f>
        <v/>
      </c>
      <c r="V77" s="1179" t="str">
        <f ca="1">UPPER(TRIM(SUBSTITUTE(SUBSTITUTE(IF(OR(TABLEAU!$C$77="",TABLEAU!$D$77="",SAMEDI.DANS&lt;&gt;""),"",TABLEAU!$J$77),JOUR.PLUS,""),"DANS  MAINTENANT","MAINTENANT")))</f>
        <v/>
      </c>
      <c r="W77" s="1200" t="str">
        <f>UPPER(IF(TABLEAU!$C$77=0,"",TABLEAU!$C$77))</f>
        <v/>
      </c>
      <c r="X77" s="1198"/>
      <c r="Y77" s="1180" t="str">
        <f ca="1">IF(OR(TODAY&lt;&gt;"SAMEDI",TABLEAU!$C$77=""),"",IF(OR(TABLEAU!$C$77="",TABLEAU!$D$77=""),"",HOUR(TABLEAU!$D$77)))</f>
        <v/>
      </c>
      <c r="Z77" s="1180" t="str">
        <f ca="1">IF(TABLEAU!$AM$77&lt;&gt;""," ",IF(OR(TODAY&lt;&gt;"SAMEDI",TABLEAU!$C$77="",TABLEAU!$D$77="")," ",IF(MINUTE(TABLEAU!$D$77)&lt;10,CONCATENATE(HOUR(TABLEAU!$D$77),"H0",MINUTE(TABLEAU!$D$77)),IF(MINUTE(TABLEAU!$D$77)&gt;9,CONCATENATE(HOUR(TABLEAU!$D$77),"H",MINUTE(TABLEAU!$D$77))))))</f>
        <v xml:space="preserve"> </v>
      </c>
      <c r="AA77" s="1206" t="str">
        <f ca="1">TRIM(SUBSTITUTE(SUBSTITUTE(SUBSTITUTE(SUBSTITUTE(IF(TABLEAU!$P$77="#DEPASSE#",TABLEAU!$AB$77,TABLEAU!$U$77),"# ","#"),"#&amp; #","# &amp; #"),"DANS (MAINTENANT","MAINTENANT"),SUBSTITUTE(SUBSTITUTE(CONCATENATE("#",TABLEAU!$H$77,"",TABLEAU!$H$77)," 0"," ")," 0"," "),SUBSTITUTE(TABLEAU!$H$77," 0"," ")))</f>
        <v/>
      </c>
      <c r="AB77" s="1180" t="str">
        <f ca="1">UPPER(TRIM(SUBSTITUTE(SUBSTITUTE(SUBSTITUTE(SUBSTITUTE(SUBSTITUTE(SUBSTITUTE(TABLEAU!$K77,CONCATENATE(LOOKUP(MONTH(A),MOIS)," (A"),CONCATENATE(LOOKUP(MONTH(A),MOIS)," A ")),CONCATENATE(LOOKUP(MONTH(A)+1,MOIS)," (A"),CONCATENATE(LOOKUP(MONTH(A)+1,MOIS)," A ")),CONCATENATE("(",YEAR(SAMEDI.DATE)),""),"] &amp; DANS","]# &amp; #DANS"),"DANS MAINTENANT","MAINTENANT"),SUBSTITUTE(CONCATENATE("#",SUBSTITUTE(TABLEAU!$H$77,"(",""),"#",TABLEAU!$H$77)," 0"," "),SUBSTITUTE(TABLEAU!$H$77," 0"," "))))</f>
        <v/>
      </c>
      <c r="AC77" s="1207" t="str">
        <f ca="1">IF(TABLEAU!$P$77="#DEPASSE#",CONCATENATE(TABLEAU!$AC$76," &amp; ",TABLEAU!$B$77),TABLEAU!$AC$76)</f>
        <v/>
      </c>
      <c r="AD77" s="1591"/>
      <c r="AE77" s="1181" t="str">
        <f ca="1">UPPER(TRIM(SUBSTITUTE(SUBSTITUTE(SUBSTITUTE(SUBSTITUTE(SUBSTITUTE(SUBSTITUTE(SUBSTITUTE(SUBSTITUTE(SUBSTITUTE(SUBSTITUTE(SUBSTITUTE(SUBSTITUTE(SUBSTITUTE(SUBSTITUTE(SUBSTITUTE(SUBSTITUTE(SUBSTITUTE(SUBSTITUTE(SUBSTITUTE(SUBSTITUTE(SUBSTITUTE(SUBSTITUTE(SUBSTITUTE(SUBSTITUTE(IF(TABLEAU!$P$77="#DEPASSE#",TABLEAU!$J$77,IF(TABLEAU!$C$77="","",TRIM(SUBSTITUTE(SUBSTITUTE(SUBSTITUTE(SUBSTITUTE(SUBSTITUTE(SUBSTITUTE(SUBSTITUTE(IF(TABLEAU!$L$77="#DEPASSE DEPUIS ",MODIF,IF(TABLEAU!$I$77=SUBSTITUTE(DEPP,"#",""),DEPP,SUBSTITUTE(SUBSTITUTE(SUBSTITUTE(SUBSTITUTE(SUBSTITUTE(SUBSTITUTE(SUBSTITUTE(SUBSTITUTE(SUBSTITUTE(SUBSTITUTE(SUBSTITUTE(SUBSTITUTE(SUBSTITUTE(SUBSTITUTE(SUBSTITUTE(SUBSTITUTE(SUBSTITUTE(SUBSTITUTE(TABLEAU!$AB$77,CONCATENATE(TABLEAU!$K77," A "),CONCATENATE(TABLEAU!$K77," (A ")),"JANVIER (","JANVIER "),"FEVRIER (","FEVRIER "),"MARS (","MARS "),"AVRIL (","AVRIL "),"MAI (","MAI "),"JUIN (","JUIN "),"JUILLET (","JUILLET "),"AOUT (","AOUT "),"SEPTEMBRE (","SEPTEMBRE "),"OCTOBRE (","OCTOBRE "),"NOVEMBRE (","NOVEMBRE "),"DECEMBRE (","DECEMBRE "),CONCATENATE(" &amp; ",TABLEAU!$K77," (")," &amp; "),CONCATENATE(" &amp;",TABLEAU!$L$77,"(")," &amp; ")," &amp; ("," &amp; "),CONCATENATE(TABLEAU!$K77," (A ",TABLEAU!$AC$77,"): HIER"),"DEPASSE DEPUIS HIER")," &amp; A"," &amp; (A"))),"(A ",CONCATENATE("(",DATE.RDV.TV," A ")),"((","("),CONCATENATE(DATE.RDV.TV," ("),""),CONCATENATE(DATE.RDV.TV," A "),"A "),CONCATENATE(YEAR(A)," (A"),"A"),CONCATENATE(TABLEAU!$L$77," (DEPASSE"),"DEPASSE"),CONCATENATE("DEPASSE",TABLEAU!$L$77,"(",LOOKUP(WEEKDAY(SAMEDI.DATE),SEMAINE)," ",DAY(SAMEDI.DATE)," ",LOOKUP(MONTH(SAMEDI.DATE),MOIS)," A"),"DEPASSE DEPUIS")))),"#&amp; ","# &amp; #"),"DANS (A","MAINTENANT (A"),"DANS (MATCH","DANS MATCH"),CONCATENATE("(DEMAIN= ",DIF.L1," ~ "),""),CONCATENATE("(DEMAIN= ",DIF.LDC," ~ "),""),CONCATENATE("(DEMAIN= ",DIF.UEFA," ~ "),""),CONCATENATE("(DEMAIN= ",DIF.FRANCE," ~ "),""),CONCATENATE("(DEMAIN= ",DIF.LIGUE," ~ "),""),CONCATENATE("(DEMAIN= ",DIF.GP," ~ "),""),CONCATENATE("(DEMAIN= ",DIF.MONDIAL," ~ "),""),CONCATENATE("(DEMAIN= ",DIF.EURO," ~ "),""),CONCATENATE("(DEMAIN= ",DIF.CONFEDERATIONS," ~ "),""),CONCATENATE(TABLEAU!$K$3," A"),"A"),"MARDI A","A"),"MERCREDI A","A"),"JEUDI A","A"),"VENDREDI A","A"),"SAMEDI A","A"),"DIMANCHE A","A"),"00H","0H"),"DEPUIS DEPUIS",CONCATENATE("DEPUIS ",TABLEAU!$M$77)),"] &amp;D","]# &amp; #D"),"A 2A",CONCATENATE("A ",TABLEAU!$Y77,"H",TABLEAU!$F$77))," )",")")))</f>
        <v/>
      </c>
      <c r="AF77" s="983" t="str">
        <f ca="1">IF(TODAY&lt;&gt;"SAMEDI"," ",IF(TABLEAU!$D$77="","",H.M-TABLEAU!$D$77))</f>
        <v/>
      </c>
      <c r="AG77" s="983" t="str">
        <f ca="1">IF(TABLEAU!$B$77="","",IF(TABLEAU!$I$77&lt;&gt;0,"",IF(TODAY&lt;&gt;"SAMEDI","",IF(TABLEAU!$AF$77=" ","",IF(TABLEAU!$AF$77="","",IF(AND(HOUR(TABLEAU!$AF$77)&gt;0,MINUTE(TABLEAU!$AF$77)&lt;10),CONCATENATE(HOUR(TABLEAU!$AF$77),"H0",MINUTE(TABLEAU!$AF$77)),IF(AND(HOUR(TABLEAU!$AF$77)&gt;0,MINUTE(TABLEAU!$AF$77)&gt;9),CONCATENATE(HOUR(TABLEAU!$AF$77),"H",MINUTE(TABLEAU!$AF$77)),CONCATENATE(MINUTE(TABLEAU!$AF$77)," MIN"))))))))</f>
        <v/>
      </c>
      <c r="AH77" s="983" t="str">
        <f ca="1">IF(TABLEAU!$I$77="","",IF(MINUTE(TABLEAU!$I$77)&gt;9,CONCATENATE(HOUR(TABLEAU!$I$77),"H",MINUTE(TABLEAU!$I$77)),CONCATENATE(HOUR(TABLEAU!$I$77),"H0",MINUTE(TABLEAU!$I$77))))</f>
        <v/>
      </c>
      <c r="AI77" s="1662"/>
      <c r="AJ77" s="91" t="str">
        <f ca="1">IF(TABLEAU!$B$77="","",TABLEAU!$P$77)</f>
        <v/>
      </c>
      <c r="AK77" s="91" t="str">
        <f ca="1">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O$77,"DEPASSE","&amp;&amp;&amp;"),"A",""),"B",""),"C",""),"D",""),"E",""),"F",""),"G",""),"H",""),"I",""),"J",""),"K",""),"L",""),"M",""),"N",""),"O",""),"P",""),"Q",""),"R",""),"S",""),"T",""),"U",""),"V",""),"W",""),"X",""),"Y",""),"Z",""),"0",""),"1",""),"2",""),"3",""),"4",""),"5",""),"6",""),"7",""),"8",""),"9",""),":",""),"(",""),")",""),"[",""),"]","")," ",""))</f>
        <v/>
      </c>
      <c r="AL77" s="634" t="str">
        <f ca="1">UPPER(IF(DATE.RDV.TV&lt;&gt;"SAMEDI","",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B$77,"DEPASSE ","¤¤"),"A",""),"B",""),"C",""),"D",""),"E",""),"F",""),"G",""),"H",""),"I",""),"J",""),"K",""),"L",""),"M",""),"N",""),"O",""),"P",""),"Q",""),"R",""),"S",""),"T",""),"U",""),"V",""),"W",""),"X",""),"Y",""),"Z",""),"1",""),"2",""),"3",""),"4",""),"5",""),"6",""),"7",""),"8",""),"9",""),"0",""),"-",""),"(",""),")",""),"{",""),"}",""),"=",""),"[",""),"]",""),"#",""),"+",""),":",""),"/",""),"'",""),".","")," &amp; ","")," ° ",""))))</f>
        <v/>
      </c>
      <c r="AM77" s="836" t="str">
        <f ca="1">UPPER(IF(DATE.RDV.TV&lt;&gt;"SAMEDI","",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C$77,"CHAMPIONNAT","¤"),"LDC","¤¤"),"UEFA","¤¤¤"),"FRANCE","¤¤¤¤"),"LIGUE","¤¤¤¤¤"),"GP","¤¤¤¤¤¤"),"MONDIAL","¤¤¤¤¤¤¤"),"EURO","¤¤¤¤¤¤¤¤"),"CONFEDERATIONS","¤¤¤¤¤¤¤¤¤"),"A",""),"B",""),"C",""),"D",""),"E",""),"F",""),"G",""),"H",""),"I",""),"J",""),"K",""),"L",""),"M",""),"N",""),"O",""),"P",""),"Q",""),"R",""),"S",""),"T",""),"U",""),"V",""),"W",""),"X",""),"Y",""),"Z",""),"1",""),"2",""),"3",""),"4",""),"5",""),"6",""),"7",""),"8",""),"9",""),"0",""),"-",""),"(",""),")",""),"{",""),"}",""),"=",""),"[",""),"]",""),"#",""),"+",""),":",""),"/",""),"'",""),".","")," &amp; ","")," ° ",""),"~",""))))</f>
        <v/>
      </c>
      <c r="AN77" s="1576" t="str">
        <f ca="1">IF(TABLEAU!$B$77=TABLEAU!$B$76,"",IF(OR(TABLEAU!$A$77="#DEPASSE#",TABLEAU!$P$77="#DEPASSE#"),TABLEAU!$B$77,""))</f>
        <v/>
      </c>
      <c r="AO77" s="1577"/>
      <c r="AP77" s="1577"/>
      <c r="AQ77" s="1577"/>
      <c r="AR77" s="1577"/>
      <c r="AS77" s="1577"/>
      <c r="AT77" s="1577"/>
      <c r="AU77" s="1577"/>
      <c r="AV77" s="1577"/>
      <c r="AW77" s="1577"/>
      <c r="AX77" s="1578"/>
      <c r="AY77" s="1243">
        <f ca="1">IF(AND(TABLEAU!$C$77&lt;&gt;"",TABLEAU!$B$77=""),1,0)</f>
        <v>0</v>
      </c>
      <c r="AZ77" s="2576"/>
      <c r="BA77" s="2577"/>
    </row>
    <row r="78" spans="1:53" ht="12" customHeight="1" thickBot="1">
      <c r="A78" s="1508" t="str">
        <f ca="1">IF(TABLEAU!$B$78="","",IF(OR(TABLEAU!$AL$78="¤¤",TABLEAU!$P$78&lt;&gt;""),"#DEPASSE#",SUBSTITUTE(IF(OR(SAMEDI.4="",TABLEAU!$C$78=""),"",IF(AND(TODAY="SAMEDI",HOUR((H.M))&gt;HOUR(SAMEDI.4),MINUTE((H.M))&gt;MINUTE(SAMEDI.4)),"",IF(TODAY&lt;&gt;"SAMEDI","",IF(HOUR(TABLEAU!$I$78)&gt;0,CONCATENATE("DANS ",HOUR(TABLEAU!$I$78),"H",TABLEAU!$N$78),CONCATENATE("DANS ",HOUR(TABLEAU!$I$78),"H",TABLEAU!$N$78," MIN")))))," 0H"," ")))</f>
        <v>DANS 7H40</v>
      </c>
      <c r="B78" s="1512" t="str">
        <f ca="1">SUBSTITUTE(SUBSTITUTE(SUBSTITUTE(IF(OR(TABLEAU!$C78,TABLEAU!$D78=""),"",SUBSTITUTE(SUBSTITUTE(SUBSTITUTE(SUBSTITUTE(SUBSTITUTE(SUBSTITUTE(SUBSTITUTE(SUBSTITUTE(SUBSTITUTE(SUBSTITUTE(SUBSTITUTE(SUBSTITUTE(SUBSTITUTE(SUBSTITUTE(SUBSTITUTE(SUBSTITUTE(SUBSTITUTE(SUBSTITUTE(SUBSTITUTE(SUBSTITUTE(SUBSTITUTE(SUBSTITUTE(SUBSTITUTE(SUBSTITUTE(IF(TABLEAU!$C78="","",SUBSTITUTE(IF(TABLEAU!$AE78="",TABLEAU!$U78,TABLEAU!$AE78),CONCATENATE(CVB,YEAR(A)," "),""))," #"," "),"] &amp; D","]# &amp; #D")," &amp; (A",CONCATENATE("# &amp; #",TABLEAU!$H78,"A")),"&amp; DEPASSE","&amp; #DEPASSE"),"## &amp; #A","# &amp; #(A"),"DANS MAINTENANT","MAINTENANT"),CONCATENATE(" H",TABLEAU!$N78),CONCATENATE(" ",TABLEAU!$N78," MIN"))," 0"," "),"] &amp;D","]# &amp; #D"),"}  MIN","} H"),"# &amp; D","# &amp; #D"),CONCATENATE("#MAINTENANT (A ",TABLEAU!$Z78,"): MAINTENANT"),"#MAINTENANT"),TABLEAU!$AB$2,""),TABLEAU!$AM$5,"")," MINAMILTON","HAMILTON"),CONCATENATE(TABLEAU!$Z78," ",TABLEAU!$Z78),TABLEAU!$Z78),"DEPUIS  MINIER","DEPUIS HIER"),"MINONGRIE","HONGRIE"),"#DANS (#DEPASSE","#DEPASSE"),CONCATENATE(" ",YEAR(A)),""),"]= [","= ["),")])",")]"),"#DEPASSE DEPUISDANS","#DANS"),"(A 1A ):",CONCATENATE("(A ",HOUR(TABLEAU!$D78),"H",TABLEAU!$F78,"):"))),"SUR "," SUR "),"  SUR "," SUR "),CONCATENATE("DEPASSE DEPUIS ",TABLEAU!$M78," (A DANS"),"DANS")</f>
        <v>#DANS 7H40 (A 20H40 SUR AB1): [SMACKDOWN]#</v>
      </c>
      <c r="C78" s="631" t="s">
        <v>153</v>
      </c>
      <c r="D78" s="632">
        <v>0.86111111111111116</v>
      </c>
      <c r="E78" s="2673">
        <f ca="1">IF(TABLEAU!$D75="","",IF(TABLEAU!$D75="23:59","",HOUR(TABLEAU!$D75)))</f>
        <v>20</v>
      </c>
      <c r="F78" s="2663" t="str">
        <f ca="1">IF(OR(TABLEAU!$D$75="",TABLEAU!$D$75="23:59"),"59",IF(MINUTE(TABLEAU!$D$75)&lt;10,CONCATENATE("0",MINUTE(TABLEAU!$D$75)),CONCATENATE(MINUTE(TABLEAU!$D$75))))</f>
        <v>45</v>
      </c>
      <c r="G78" s="596" t="str">
        <f ca="1">UPPER(SUBSTITUTE(SUBSTITUTE(SUBSTITUTE(IF(TABLEAU!$D$78="","",SUBSTITUTE(SUBSTITUTE(SUBSTITUTE(SUBSTITUTE(SUBSTITUTE(SUBSTITUTE(SUBSTITUTE(SUBSTITUTE(SUBSTITUTE(SUBSTITUTE(SUBSTITUTE(SUBSTITUTE(SUBSTITUTE(SUBSTITUTE(SUBSTITUTE(IF(OR(TABLEAU!$D$78="",TABLEAU!$C$78=""),"",IF(AND(TODAY="SAMEDI",HOUR((H.M))&gt;HOUR(TABLEAU!$D$78),MINUTE((H.M))&gt;MINUTE(TABLEAU!$D$78)),CONCATENATE("#DEPASSE DEPUIS",TABLEAU!$M$78," ",TABLEAU!$C$78,"#"),IF(TABLEAU!$P$78&lt;&gt;"",CONCATENATE("#DEPASSE DEPUIS",TABLEAU!$M$78," ",TABLEAU!$C$78,"#"),IF(TODAY&lt;&gt;"SAMEDI",CONCATENATE("#",SAMEDI.DANS," (SAMEDI ",DAY(SAMEDI.DATE)," ",LOOKUP(MONTH(SAMEDI.DATE),MOIS)," A ",HOUR(TABLEAU!$D$78),"H",TABLEAU!$F$78,"): ",TABLEAU!$C$78,"#"),CONCATENATE("#",TABLEAU!$L$78," (A ",TABLEAU!$Z$78,"): ",SUBSTITUTE(TABLEAU!$C$78,"#",""),"#"))))),CONCATENATE(LOOKUP(MONTH(SAMEDI.DATE),MOIS)," (A"),CONCATENATE(LOOKUP(MONTH(SAMEDI.DATE),MOIS)," A")),"##","#"),CONCATENATE("#DEPASSE DEPUIS  (A ): ",TABLEAU!$C$78,"#"),""),CONCATENATE("(A ",TABLEAU!$E$78,"H",TABLEAU!$X$78,"): "),""),CONCATENATE(TABLEAU!$L$78," DEPUIS"),"DEPASSE DEPUIS"),CONCATENATE("A ",HOUR(TABLEAU!$D$78),"H",TABLEAU!$F$78,"): (A ",HOUR(TABLEAU!$D$78),"H",TABLEAU!$F$78),CONCATENATE("A ",HOUR(TABLEAU!$D$78),"H",TABLEAU!$F$78)),"#DEPASSEDEPASSE","#DEPASSE"),"# (",CONCATENATE("#",TABLEAU!$H$78)),CONCATENATE("A ",SUBSTITUTE(TABLEAU!$M$33,":","H"),"): ~ (A ",SUBSTITUTE(TABLEAU!$M$33,":","H")),CONCATENATE("A ",SUBSTITUTE(TABLEAU!$M$33,":","H"))),CONCATENATE("#DEPASSE ",TABLEAU!$M$78,"#D"),"#D")," D"," #D"),"#DEPUIS","DEPUIS"),"COURS ","COURS# "),"#DE ","DE "),"GP #D","GP D")),"# &amp; #",CONCATENATE("# &amp; #DEPASSE DEPUIS",TABLEAU!$M$78," ")),"] &amp; (",CONCATENATE("]# &amp; DANS ",TABLEAU!$AH$78," ("))," 0"," "))</f>
        <v>#DANS 7H40 (A 20H40): (A 20H40 SUR AB1): [SMACKDOWN]#</v>
      </c>
      <c r="H78" s="570" t="str">
        <f ca="1">SUBSTITUTE(IF(OR(DATE.RDV.TV&lt;&gt;"SAMEDI",TABLEAU!$C$78=""),"",IF(HOUR(TABLEAU!$I$78)=0,CONCATENATE("DANS ",TABLEAU!$N$78," MIN ("),CONCATENATE("DANS ",HOUR(TABLEAU!$I$78),"H",TABLEAU!$N$78," ("))),"DANS  MIN (","")</f>
        <v>DANS 7H40 (</v>
      </c>
      <c r="I78" s="1182">
        <f ca="1">IF(OR(TODAY&lt;&gt;"SAMEDI",TABLEAU!$C$78=""),"",IF(OR(TABLEAU!$D$78="",TABLEAU!$P$78="#DEPASSE#",TODAY&lt;&gt;"SAMEDI"),0,IF(HOUR((H.M))&gt;HOUR(TABLEAU!$D$78),0,TABLEAU!$D$78-H.M)))</f>
        <v>0.31944444444444453</v>
      </c>
      <c r="J78" s="1183" t="str">
        <f ca="1">SUBSTITUTE(SUBSTITUTE(SUBSTITUTE(IF(TABLEAU!$I$78="","",SUBSTITUTE(SUBSTITUTE(SUBSTITUTE(SUBSTITUTE(SUBSTITUTE(SUBSTITUTE(SUBSTITUTE(SUBSTITUTE(SUBSTITUTE(SUBSTITUTE(SUBSTITUTE(SUBSTITUTE(SUBSTITUTE(SUBSTITUTE(SUBSTITUTE(SUBSTITUTE(SUBSTITUTE(SUBSTITUTE(SUBSTITUTE(SUBSTITUTE(IF(DATE.DEPASSE&lt;0,TABLEAU!$U$78,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G78,"  "," "),CONCATENATE("(A ",TABLEAU!$Z$78,"): (A ",TABLEAU!$Z$78),CONCATENATE("(A ",TABLEAU!$Z$78)),CONCATENATE("#DEPASSE",TABLEAU!$M$78,"#DEPASSE",TABLEAU!$M$78),CONCATENATE("#DEPASSE",TABLEAU!$M$78)),CONCATENATE("#DEPASSE",TABLEAU!$L$78,"DEPASSE"),"#DEPASSE"),CONCATENATE(TABLEAU!$L$78," (A ",TABLEAU!$Z$78,"): DEPUIS"),"DEPASSE DEPUIS")," 1 "," 1ER "),"DEPASSE DEPUIS DEPASSE DEPUIS","DEPASSE DEPUIS"),CONCATENATE("DEPASSE ",TRIM(TABLEAU!$L$78)," DEPASSE ",TRIM(TABLEAU!$L$78)),CONCATENATE("DEPASSE ",TRIM(TABLEAU!$L$78))),"1ER MIN","1 MIN"),"1ER ERREUR","1 ERREUR"),CONCATENATE("(A ",TABLEAU!$Z$78,"): (A ",TABLEAU!$E$78,":",TABLEAU!$F$78),CONCATENATE("(A ",TABLEAU!$Z$78))," (A ):",""),"DEPASSE DEPUIS (",TABLEAU!$H$78),"] &amp; D","]# &amp; #D"),CONCATENATE("#DEPASSE",TABLEAU!$M$78,"DEPASSE"),"#DEPASSE")," [","): ["),"):):","):"),"DEPUIS ",TABLEAU!$L$78),CONCATENATE(SUBSTITUTE(TABLEAU!$M$78,"DEPUIS ",""))," "),"DEPUIS",CONCATENATE(TABLEAU!$M$78," (",SAMEDI.VERIFIER," A ")),SUBSTITUTE(TABLEAU!$M$78,"DEPUIS","A"),""),"DEPASSE  ","DEPASSE"),"  A "," A"),"  "," "),TRIM(SUBSTITUTE(TABLEAU!$M$78," DEPUIS ","A ")),"EEE"),"EEE",CONCATENATE("A ",TABLEAU!$Z$78)),CONCATENATE("DEPASSE ",TABLEAU!$L$78,"HIER"),"DEPASSE DEPUIS HIER"),"DEPASSEDEPASSE","DEPASSE DEPUIS "),CONCATENATE(" A ",TABLEAU!$Z$59," (A ",TABLEAU!$Z$59),CONCATENATE(" A ",TABLEAU!$Z$59)),CONCATENATE("A ",TABLEAU!$Z$78," ",TABLEAU!$C$78),TABLEAU!$C$78),CONCATENATE(MOIS.MAINTENANT.2," (A"),CONCATENATE(MOIS.MAINTENANT.2," A")),"#DEPASSE #DEPASSEDEPUIS","#DEPASSE DEPUIS"),"A (A","A"),CONCATENATE(TABLEAU!$L$78," DEPASSE"),"DEPASSE"),"DEPASSE (",CONCATENATE("DEPASSE DEPUIS ",TABLEAU!$Q$78," (")),"''MIN","MIN"),"=):","]="),CONCATENATE("#DEPASSE ",TABLEAU!$Q$78),CONCATENATE("#DEPASSE DEPUIS ",TABLEAU!$Q$78)),"DEPASSE","DEPASSE DEPUIS"),"DEPUIS DEPUIS","DEPUIS")),"US A","USA"),CONCATENATE("DEPASSE DEPUIS ",TABLEAU!$Q$78,"DEPASSE DEPUIS ",TABLEAU!$Q$78),CONCATENATE("DEPASSE DEPUIS ",TABLEAU!$Q$78)),CONCATENATE("#DEPASSE DEPUIS ",TABLEAU!$Q$78," #DEPASSE DEPUIS ",TABLEAU!$Q$78),CONCATENATE("#DEPASSE DEPUIS ",TABLEAU!$Q$78)),"#DEPASSE DEPUIS #DEPASSE DEPUIS","#DEPASSE DEPUIS"),CONCATENATE("): ",SAMEDI.DANS," (A ",TABLEAU!$E$78,"H",TABLEAU!$F$78),"")," &amp; D"," &amp; #D"),CONCATENATE(SAMEDI.DANS," (SAMEDI ",DAY(SAMEDI.DATE)," ",LOOKUP(MONTH(SAMEDI.DATE),MOIS)," A ",TABLEAU!$E$78,"H",TABLEAU!$F$78,"): DANS"),"DANS"),CONCATENATE(SAMEDI.DANS," (SAMEDI ",DAY(SAMEDI.DATE)," ",LOOKUP(MONTH(SAMEDI.DATE),MOIS)," A ",TABLEAU!$E$78,"H",TABLEAU!$F$78,"): ",SAMEDI.DANS,"= ",TABLEAU!$AN$23,"(A ",TABLEAU!$E$78,"H",TABLEAU!$F$78),CONCATENATE(SAMEDI.DANS,"= ",TABLEAU!$AN$23," (SAMEDI ",DAY(SAMEDI.DATE)," ",LOOKUP(MONTH(SAMEDI.DATE),MOIS)," A ",TABLEAU!$E$78,"H",TABLEAU!$F$78)),CONCATENATE(SAMEDI.DANS," (SAMEDI ",DAY(SAMEDI.DATE)," ",LOOKUP(MONTH(SAMEDI.DATE),MOIS)," A ",TABLEAU!$E$78,"H",TABLEAU!$F$78,"): DANS"),"DANS"),"# (",CONCATENATE("#",TABLEAU!$H$78)),"DANS 0","DANS "),"# ~ ",CONCATENATE("#",FICHIER.A.MODIFIER," ~ ")),CONCATENATE("A ",SUBSTITUTE(TABLEAU!$M$33,":","H"),"): ~ (A ",SUBSTITUTE(TABLEAU!$M$33,":","H")),CONCATENATE("A ",SUBSTITUTE(TABLEAU!$M$33,":","H"))),CONCATENATE("(A ",TABLEAU!$Z$78,"): ~ (A"),"(A"),"DANS 0 MIN","MAINTENANT"),"DEPUIS(",CONCATENATE("DEPUIS ",TABLEAU!$M$78," (")),"DEPUIS DEPUIS  (A",CONCATENATE("DEPUIS ",TABLEAU!$M$78," (A")),"(A 1 ",CONCATENATE("(A ",TABLEAU!$E$78,":00")),"#A",CONCATENATE("#DANS ",HOUR(TABLEAU!$I$78),"H",TABLEAU!$N$78," (A")),"DEPUIS DEPUIS",CONCATENATE("DEPUIS ",TABLEAU!$M$78))),"]#D","]# &amp; #D"),"DEPUIS =",CONCATENATE("DEPUIS ",TABLEAU!$M$78)),"DANS  MAINTENANT","MAINTENANT")</f>
        <v>#DANS 7H40 (A 20H40 SUR AB1): [SMACKDOWN]#</v>
      </c>
      <c r="K78" s="1184" t="str">
        <f ca="1">TRIM(SUBSTITUTE(SUBSTITUTE(SUBSTITUTE(SUBSTITUTE(SUBSTITUTE(SUBSTITUTE(SUBSTITUTE(SUBSTITUTE(SUBSTITUTE(TABLEAU!$O$78,CONCATENATE("): (",TABLEAU!$W$78),""),CONCATENATE("A ",TABLEAU!$E$78,"H",TABLEAU!$X$78,"): ("),""),"(SUR",CONCATENATE("(A ",TABLEAU!$E$78,"H",TABLEAU!$X$78," SUR"))," &amp; (",CONCATENATE(" &amp; ",TABLEAU!$L$78," (")),"AUJOURD'HUI",""),"##","#"),"1ER MIN","1 MIN"),CONCATENATE("DEPASSE ",TRIM(TABLEAU!$L$78)," DEPASSE"),"DEPASSE")," (A ):",""))</f>
        <v>#DANS 7H40 (A 20H40 SUR AB1): [SMACKDOWN]#</v>
      </c>
      <c r="L78" s="1185" t="str">
        <f ca="1">UPPER(IF(TABLEAU!$P$78&lt;&gt;"","",IF(TABLEAU!$P$78="","",IF(TABLEAU!$AM$78&lt;&gt;"","#DEPASSE DEPUIS ",IF(TODAY&lt;&gt;"SAMEDI","",IF(COUNTIF(ENCOURS,"#EN COURS#")&lt;&gt;0,"MAINTENANT",SUBSTITUTE(SUBSTITUTE(SUBSTITUTE(IF(OR(TABLEAU!$C$78="",TABLEAU!$D$78=""),"",IF(HOUR(TABLEAU!$I$78)=0,CONCATENATE("DANS ",TABLEAU!$N$78," MIN"),CONCATENATE("DANS ",HOUR(TABLEAU!$I$78),"H",TABLEAU!$N$78))),"DANS 0","DANS "),"DANS  MIN",TABLEAU!$M$78),"DANS 0 MIN","MAINTENANT")))))))</f>
        <v/>
      </c>
      <c r="M78" s="1185" t="str">
        <f ca="1">IF(TODAY&lt;&gt;"SAMEDI","",SUBSTITUTE(IF(TABLEAU!$D$78="","",IF(TABLEAU!$AF$78=" ","",IF(TABLEAU!$D$78-H.M&gt;0,"",IF(AND(HOUR(TABLEAU!$AF$78)&gt;0,MINUTE(TABLEAU!$AF$78)&lt;10),CONCATENATE(" ",HOUR(TABLEAU!$AF$78),"H0",MINUTE(TABLEAU!$AF$78)),IF(AND(HOUR(TABLEAU!$AF$78)&gt;0,MINUTE(TABLEAU!$AF$78)&gt;9),CONCATENATE(" ",HOUR(TABLEAU!$AF$78),"H",MINUTE(TABLEAU!$AF$78)),CONCATENATE(" 0",MINUTE(TABLEAU!$AF$78)," MIN"))))))," 0",""))</f>
        <v/>
      </c>
      <c r="N78" s="1185">
        <f ca="1">IF(TABLEAU!$D$78="","",IF(OR(TABLEAU!$C$78="",TODAY&lt;&gt;"SAMEDI"),"",IF(TABLEAU!$P$78="#DEPASSE#","",IF(HOUR((H.M))&gt;HOUR(TABLEAU!$D$78),"",IF(MINUTE(TABLEAU!$I$78)&lt;10,CONCATENATE("0",MINUTE(TABLEAU!$I$78)),MINUTE(TABLEAU!$I$78))))))</f>
        <v>40</v>
      </c>
      <c r="O78" s="1186" t="str">
        <f ca="1">UPPER(SUBSTITUTE(SUBSTITUTE(SUBSTITUTE(SUBSTITUTE(SUBSTITUTE(SUBSTITUTE(SUBSTITUTE(SUBSTITUTE(SUBSTITUTE(TABLEAU!$J$78,"DANS 0H","DANS "),"DANS 0","DANS "),CONCATENATE("(A ",TABLEAU!$E$78,"H",TABLEAU!$X$78,"): (",LOOKUP(WEEKDAY(SAMEDI.DATE),SEMAINE)," ",DAY(SAMEDI.DATE)," ",LOOKUP(MONTH(SAMEDI.DATE),MOIS)," A 20H00): "),CONCATENATE(TABLEAU!$L$78," (A ",TABLEAU!$E$78,"H",TABLEAU!$X$78,")")),"DEPUIS 0","DEPUIS "),"&amp; A","&amp; (A"),CONCATENATE("(",NBA),""),"#DEPASSE DEPUIS (A","(A"),"DANS  MAINTENANT","MAINTENANT"),"] &amp; #","]# &amp; #"))</f>
        <v>#DANS 7H40 (A 20H40 SUR AB1): [SMACKDOWN]#</v>
      </c>
      <c r="P78" s="1194" t="str">
        <f ca="1">IF(OR(TABLEAU!$D$78="",TODAY&lt;&gt;"SAMEDI"),"",IF(AND(HOUR((H.M))=HOUR(TABLEAU!$D$78),MINUTE((H.M))&gt;MINUTE(TABLEAU!$D$78)),"#DEPASSE#",IF(HOUR((H.M))&gt;HOUR(TABLEAU!$D$78),"#DEPASSE#","")))</f>
        <v/>
      </c>
      <c r="Q78" s="1195" t="str">
        <f ca="1">IF(OR(TABLEAU!$P$78="",TABLEAU!$S$78=""),"",IF(AND(HOUR(TABLEAU!$S$78)&gt;0,MINUTE(TABLEAU!$S$78)&lt;10),CONCATENATE(HOUR(TABLEAU!$S$78),"H0",MINUTE(TABLEAU!$S$78)),IF(AND(HOUR(TABLEAU!$S$78)=0,MINUTE(TABLEAU!$S$78)&lt;10),CONCATENATE(MINUTE(TABLEAU!$S$78)," MIN"),IF(AND(HOUR(TABLEAU!$S$78)&gt;0,MINUTE(TABLEAU!$S$78)&gt;9),CONCATENATE(HOUR(TABLEAU!$S$78),"H",MINUTE(TABLEAU!$S$78)),CONCATENATE(MINUTE(TABLEAU!$S$78)," MIN")))))</f>
        <v/>
      </c>
      <c r="R78" s="1195" t="str">
        <f ca="1">UPPER(IF(OR(TABLEAU!$C$78="",TODAY&lt;&gt;"SAMEDI"),"",IF(OR(TABLEAU!$D$78="",TABLEAU!$D$78="23:59",TABLEAU!$C$78=""),"",IF(AND(TODAY="SAMEDI",HOUR(TABLEAU!$I$78)&lt;1,MINUTE(TABLEAU!$I$78)&lt;5,TABLEAU!$I$78&lt;&gt;"",TABLEAU!$I$78&lt;&gt;0),"BIENTOT",""))))</f>
        <v/>
      </c>
      <c r="S78" s="1196" t="str">
        <f ca="1">IF(TABLEAU!$D$78="","",IF(TODAY&lt;&gt;"SAMEDI","",IF((H.M)&gt;TABLEAU!$D$78,"",(H.M)-TABLEAU!$D$78)))</f>
        <v/>
      </c>
      <c r="T78" s="2274"/>
      <c r="U78" s="1184" t="str">
        <f ca="1">UPPER(TRIM(SUBSTITUTE(SUBSTITUTE(SUBSTITUTE(SUBSTITUTE(SUBSTITUTE(SUBSTITUTE(SUBSTITUTE(SUBSTITUTE(SUBSTITUTE(SUBSTITUTE(SUBSTITUTE(SUBSTITUTE(SUBSTITUTE(SUBSTITUTE(SUBSTITUTE(SUBSTITUTE(SUBSTITUTE(SUBSTITUTE(IF(TABLEAU!$D$78="","",SUBSTITUTE(SUBSTITUTE(SUBSTITUTE(SUBSTITUTE(SUBSTITUTE(SUBSTITUTE(SUBSTITUTE(SUBSTITUTE(SUBSTITUTE(SUBSTITUTE(SUBSTITUTE(SUBSTITUTE(SUBSTITUTE(SUBSTITUTE(SUBSTITUTE(IF(OR(TABLEAU!$C$78="",TABLEAU!$D$78=""),"",IF(AND(TODAY="SAMEDI",TABLEAU!$P$78&lt;&gt;""),CONCATENATE("#DEPASSE DEPUIS ",TABLEAU!$M$78," ",TABLEAU!$W$78,"#"),CONCATENATE("#",SAMEDI.DANS," ",TABLEAU!$H$78,TABLEAU!$C$78,"#"))),": =",":"),CONCATENATE(NBA,"("),""),CONCATENATE(LOOKUP(MONTH(SAMEDI.DATE),MOIS)," (A"),CONCATENATE(LOOKUP(MONTH(SAMEDI.DATE),MOIS)," A")),"1ER MIN","1 MIN"),"((","("),"##","#"),"# ","#"),CONCATENATE("#",TABLEAU!$H$78,"DEPUIS"),"#DEPASSE DEPUIS"),"DEMAIN (",CONCATENATE("DEMAIN (SAMEDI ",DAY(SAMEDI.DATE)," ",LOOKUP(MONTH(SAMEDI.DATE),MOIS)," ")),"JOURS (A ",CONCATENATE("JOURS (SAMEDI ",DAY(SAMEDI.DATE)," ",LOOKUP(MONTH(SAMEDI.DATE),MOIS)," A ")),"(A","(SAMEDI A"),"DANS 00 MIN","DANS "),"DANS 0","DANS "),"#&amp;","# &amp; "),"JOURS [",CONCATENATE("JOURS (",LOOKUP(WEEKDAY(SAMEDI.DATE),SEMAINE)," ",DAY(SAMEDI.DATE)," ",LOOKUP(MONTH(SAMEDI.DATE),MOIS)," A ",HOUR(TABLEAU!$D$78),"H",TABLEAU!$F$78,"): ["))),CONCATENATE(SAMEDI.DANS," ",SAMEDI.DANS),CONCATENATE(" ",SAMEDI.DANS)),"# ","#"),"#&amp; #","# &amp; #"),"US A","USA"),"(~ ("," ~ ("),"SAMEDI A ","A "),CONCATENATE("#",TABLEAU!$H$78,TABLEAU!$W$78),TABLEAU!$W$78),"DEMAINDANS","DEMAIN DANS"),"''(","'' ("),CONCATENATE("#DANS ",TRIM(TABLEAU!$AH$78)," (#DEPASSE "),"#DEPASSE "),"]#D","]# &amp; #D"),"(MATCH","MATCH"),"COURS &amp; D","COURS# &amp; #D"),"#&amp; ","# &amp; #"),"# &amp; # ","# &amp; #"),CONCATENATE("#DEPASSE DEPUIS ",TABLEAU!$M$78," #"),"#"),"# &amp; ##","# &amp; #"),"DANS  (MAINTENANT","MAINTENANT")))</f>
        <v>#DANS 7H40 (A 20H40 SUR AB1): [SMACKDOWN]#</v>
      </c>
      <c r="V78" s="1184" t="str">
        <f ca="1">UPPER(TRIM(SUBSTITUTE(SUBSTITUTE(IF(OR(TABLEAU!$C$78="",TABLEAU!$D$78="",SAMEDI.DANS&lt;&gt;""),"",TABLEAU!$J$78),JOUR.PLUS,""),"DANS  MAINTENANT","MAINTENANT")))</f>
        <v>#DANS 7H40 (A 20H40 SUR AB1): [SMACKDOWN]#</v>
      </c>
      <c r="W78" s="1201" t="str">
        <f>UPPER(IF(TABLEAU!$C$78=0,"",TABLEAU!$C$78))</f>
        <v>(A 20H40 SUR AB1): [SMACKDOWN]</v>
      </c>
      <c r="X78" s="1198"/>
      <c r="Y78" s="1185">
        <f ca="1">IF(OR(TODAY&lt;&gt;"SAMEDI",TABLEAU!$C$78=""),"",IF(OR(TABLEAU!$C$78="",TABLEAU!$D$78=""),"",HOUR(TABLEAU!$D$78)))</f>
        <v>20</v>
      </c>
      <c r="Z78" s="1185" t="str">
        <f ca="1">IF(TABLEAU!$AM$78&lt;&gt;""," ",IF(OR(TODAY&lt;&gt;"SAMEDI",TABLEAU!$C$78="",TABLEAU!$D$78="")," ",IF(MINUTE(TABLEAU!$D$78)&lt;10,CONCATENATE(HOUR(TABLEAU!$D$78),"H0",MINUTE(TABLEAU!$D$78)),IF(MINUTE(TABLEAU!$D$78)&gt;9,CONCATENATE(HOUR(TABLEAU!$D$78),"H",MINUTE(TABLEAU!$D$78))))))</f>
        <v>20H40</v>
      </c>
      <c r="AA78" s="1208" t="str">
        <f ca="1">TRIM(SUBSTITUTE(SUBSTITUTE(SUBSTITUTE(SUBSTITUTE(IF(TABLEAU!$P$78="#DEPASSE#",TABLEAU!$AB$78,TABLEAU!$U$78),"# ","#"),"#&amp; #","# &amp; #"),"DANS (MAINTENANT","MAINTENANT"),SUBSTITUTE(SUBSTITUTE(CONCATENATE("#",TABLEAU!$H$78,"",TABLEAU!$H$78)," 0"," ")," 0"," "),SUBSTITUTE(TABLEAU!$H$78," 0"," ")))</f>
        <v>#DANS 7H40 (A 20H40 SUR AB1): [SMACKDOWN]#</v>
      </c>
      <c r="AB78" s="1185" t="str">
        <f ca="1">UPPER(TRIM(SUBSTITUTE(SUBSTITUTE(SUBSTITUTE(SUBSTITUTE(SUBSTITUTE(SUBSTITUTE(TABLEAU!$K78,CONCATENATE(LOOKUP(MONTH(A),MOIS)," (A"),CONCATENATE(LOOKUP(MONTH(A),MOIS)," A ")),CONCATENATE(LOOKUP(MONTH(A)+1,MOIS)," (A"),CONCATENATE(LOOKUP(MONTH(A)+1,MOIS)," A ")),CONCATENATE("(",YEAR(SAMEDI.DATE)),""),"] &amp; DANS","]# &amp; #DANS"),"DANS MAINTENANT","MAINTENANT"),SUBSTITUTE(CONCATENATE("#",SUBSTITUTE(TABLEAU!$H$78,"(",""),"#",TABLEAU!$H$78)," 0"," "),SUBSTITUTE(TABLEAU!$H$78," 0"," "))))</f>
        <v>#DANS 7H40 (A 20H40 SUR AB1): [SMACKDOWN]#</v>
      </c>
      <c r="AC78" s="1209" t="str">
        <f ca="1">IF(TABLEAU!$P$78="#DEPASSE#",CONCATENATE(TABLEAU!$AC$77," &amp; ",TABLEAU!$B$78),TABLEAU!$AC$77)</f>
        <v/>
      </c>
      <c r="AD78" s="1592"/>
      <c r="AE78" s="1186" t="str">
        <f ca="1">UPPER(TRIM(SUBSTITUTE(SUBSTITUTE(SUBSTITUTE(SUBSTITUTE(SUBSTITUTE(SUBSTITUTE(SUBSTITUTE(SUBSTITUTE(SUBSTITUTE(SUBSTITUTE(SUBSTITUTE(SUBSTITUTE(SUBSTITUTE(SUBSTITUTE(SUBSTITUTE(SUBSTITUTE(SUBSTITUTE(SUBSTITUTE(SUBSTITUTE(SUBSTITUTE(SUBSTITUTE(SUBSTITUTE(SUBSTITUTE(SUBSTITUTE(IF(TABLEAU!$P$78="#DEPASSE#",TABLEAU!$J$78,IF(TABLEAU!$C$78="","",TRIM(SUBSTITUTE(SUBSTITUTE(SUBSTITUTE(SUBSTITUTE(SUBSTITUTE(SUBSTITUTE(SUBSTITUTE(IF(TABLEAU!$L$78="#DEPASSE DEPUIS ",MODIF,IF(TABLEAU!$I$78=SUBSTITUTE(DEPP,"#",""),DEPP,SUBSTITUTE(SUBSTITUTE(SUBSTITUTE(SUBSTITUTE(SUBSTITUTE(SUBSTITUTE(SUBSTITUTE(SUBSTITUTE(SUBSTITUTE(SUBSTITUTE(SUBSTITUTE(SUBSTITUTE(SUBSTITUTE(SUBSTITUTE(SUBSTITUTE(SUBSTITUTE(SUBSTITUTE(SUBSTITUTE(TABLEAU!$AB$78,CONCATENATE(TABLEAU!$K78," A "),CONCATENATE(TABLEAU!$K78," (A ")),"JANVIER (","JANVIER "),"FEVRIER (","FEVRIER "),"MARS (","MARS "),"AVRIL (","AVRIL "),"MAI (","MAI "),"JUIN (","JUIN "),"JUILLET (","JUILLET "),"AOUT (","AOUT "),"SEPTEMBRE (","SEPTEMBRE "),"OCTOBRE (","OCTOBRE "),"NOVEMBRE (","NOVEMBRE "),"DECEMBRE (","DECEMBRE "),CONCATENATE(" &amp; ",TABLEAU!$K78," (")," &amp; "),CONCATENATE(" &amp;",TABLEAU!$L$78,"(")," &amp; ")," &amp; ("," &amp; "),CONCATENATE(TABLEAU!$K78," (A ",TABLEAU!$AC$78,"): HIER"),"DEPASSE DEPUIS HIER")," &amp; A"," &amp; (A"))),"(A ",CONCATENATE("(",DATE.RDV.TV," A ")),"((","("),CONCATENATE(DATE.RDV.TV," ("),""),CONCATENATE(DATE.RDV.TV," A "),"A "),CONCATENATE(YEAR(A)," (A"),"A"),CONCATENATE(TABLEAU!$L$78," (DEPASSE"),"DEPASSE"),CONCATENATE("DEPASSE",TABLEAU!$L$78,"(",LOOKUP(WEEKDAY(SAMEDI.DATE),SEMAINE)," ",DAY(SAMEDI.DATE)," ",LOOKUP(MONTH(SAMEDI.DATE),MOIS)," A"),"DEPASSE DEPUIS")))),"#&amp; ","# &amp; #"),"DANS (A","MAINTENANT (A"),"DANS (MATCH","DANS MATCH"),CONCATENATE("(DEMAIN= ",DIF.L1," ~ "),""),CONCATENATE("(DEMAIN= ",DIF.LDC," ~ "),""),CONCATENATE("(DEMAIN= ",DIF.UEFA," ~ "),""),CONCATENATE("(DEMAIN= ",DIF.FRANCE," ~ "),""),CONCATENATE("(DEMAIN= ",DIF.LIGUE," ~ "),""),CONCATENATE("(DEMAIN= ",DIF.GP," ~ "),""),CONCATENATE("(DEMAIN= ",DIF.MONDIAL," ~ "),""),CONCATENATE("(DEMAIN= ",DIF.EURO," ~ "),""),CONCATENATE("(DEMAIN= ",DIF.CONFEDERATIONS," ~ "),""),CONCATENATE(TABLEAU!$K$3," A"),"A"),"MARDI A","A"),"MERCREDI A","A"),"JEUDI A","A"),"VENDREDI A","A"),"SAMEDI A","A"),"DIMANCHE A","A"),"00H","0H"),"DEPUIS DEPUIS",CONCATENATE("DEPUIS ",TABLEAU!$M$78)),"] &amp;D","]# &amp; #D"),"A 2A",CONCATENATE("A ",TABLEAU!$Y78,"H",TABLEAU!$F$78))," )",")")))</f>
        <v>#DANS 7H40 (A 20H40 SUR AB1): [SMACKDOWN]#</v>
      </c>
      <c r="AF78" s="984">
        <f ca="1">IF(TODAY&lt;&gt;"SAMEDI"," ",IF(TABLEAU!$D$78="","",H.M-TABLEAU!$D$78))</f>
        <v>-0.31944444444444453</v>
      </c>
      <c r="AG78" s="984" t="str">
        <f ca="1">IF(TABLEAU!$B$78="","",IF(TABLEAU!$I$78&lt;&gt;0,"",IF(TODAY&lt;&gt;"SAMEDI","",IF(TABLEAU!$AF$78=" ","",IF(TABLEAU!$AF$78="","",IF(AND(HOUR(TABLEAU!$AF$78)&gt;0,MINUTE(TABLEAU!$AF$78)&lt;10),CONCATENATE(HOUR(TABLEAU!$AF$78),"H0",MINUTE(TABLEAU!$AF$78)),IF(AND(HOUR(TABLEAU!$AF$78)&gt;0,MINUTE(TABLEAU!$AF$78)&gt;9),CONCATENATE(HOUR(TABLEAU!$AF$78),"H",MINUTE(TABLEAU!$AF$78)),CONCATENATE(MINUTE(TABLEAU!$AF$78)," MIN"))))))))</f>
        <v/>
      </c>
      <c r="AH78" s="984" t="str">
        <f ca="1">IF(TABLEAU!$I$78="","",IF(MINUTE(TABLEAU!$I$78)&gt;9,CONCATENATE(HOUR(TABLEAU!$I$78),"H",MINUTE(TABLEAU!$I$78)),CONCATENATE(HOUR(TABLEAU!$I$78),"H0",MINUTE(TABLEAU!$I$78))))</f>
        <v>7H40</v>
      </c>
      <c r="AI78" s="1662"/>
      <c r="AJ78" s="92" t="str">
        <f ca="1">IF(TABLEAU!$B$78="","",TABLEAU!$P$78)</f>
        <v/>
      </c>
      <c r="AK78" s="92" t="str">
        <f ca="1">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O$78,"DEPASSE","&amp;&amp;&amp;"),"A",""),"B",""),"C",""),"D",""),"E",""),"F",""),"G",""),"H",""),"I",""),"J",""),"K",""),"L",""),"M",""),"N",""),"O",""),"P",""),"Q",""),"R",""),"S",""),"T",""),"U",""),"V",""),"W",""),"X",""),"Y",""),"Z",""),"0",""),"1",""),"2",""),"3",""),"4",""),"5",""),"6",""),"7",""),"8",""),"9",""),":",""),"(",""),")",""),"[",""),"]","")," ",""))</f>
        <v>##</v>
      </c>
      <c r="AL78" s="635" t="str">
        <f ca="1">UPPER(IF(DATE.RDV.TV&lt;&gt;"SAMEDI","",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B$78,"DEPASSE ","¤¤"),"A",""),"B",""),"C",""),"D",""),"E",""),"F",""),"G",""),"H",""),"I",""),"J",""),"K",""),"L",""),"M",""),"N",""),"O",""),"P",""),"Q",""),"R",""),"S",""),"T",""),"U",""),"V",""),"W",""),"X",""),"Y",""),"Z",""),"1",""),"2",""),"3",""),"4",""),"5",""),"6",""),"7",""),"8",""),"9",""),"0",""),"-",""),"(",""),")",""),"{",""),"}",""),"=",""),"[",""),"]",""),"#",""),"+",""),":",""),"/",""),"'",""),".","")," &amp; ","")," ° ",""))))</f>
        <v/>
      </c>
      <c r="AM78" s="837" t="str">
        <f ca="1">UPPER(IF(DATE.RDV.TV&lt;&gt;"SAMEDI","",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C$78,"CHAMPIONNAT","¤"),"LDC","¤¤"),"UEFA","¤¤¤"),"FRANCE","¤¤¤¤"),"LIGUE","¤¤¤¤¤"),"GP","¤¤¤¤¤¤"),"MONDIAL","¤¤¤¤¤¤¤"),"EURO","¤¤¤¤¤¤¤¤"),"CONFEDERATIONS","¤¤¤¤¤¤¤¤¤"),"A",""),"B",""),"C",""),"D",""),"E",""),"F",""),"G",""),"H",""),"I",""),"J",""),"K",""),"L",""),"M",""),"N",""),"O",""),"P",""),"Q",""),"R",""),"S",""),"T",""),"U",""),"V",""),"W",""),"X",""),"Y",""),"Z",""),"1",""),"2",""),"3",""),"4",""),"5",""),"6",""),"7",""),"8",""),"9",""),"0",""),"-",""),"(",""),")",""),"{",""),"}",""),"=",""),"[",""),"]",""),"#",""),"+",""),":",""),"/",""),"'",""),".","")," &amp; ","")," ° ",""),"~",""))))</f>
        <v/>
      </c>
      <c r="AN78" s="1607" t="str">
        <f ca="1">IF(TABLEAU!$B$78=TABLEAU!$B$77,"",IF(OR(TABLEAU!$A$78="#DEPASSE#",TABLEAU!$P$78="#DEPASSE#"),TABLEAU!$B$78,""))</f>
        <v/>
      </c>
      <c r="AO78" s="1608"/>
      <c r="AP78" s="1608"/>
      <c r="AQ78" s="1608"/>
      <c r="AR78" s="1608"/>
      <c r="AS78" s="1608"/>
      <c r="AT78" s="1608"/>
      <c r="AU78" s="1608"/>
      <c r="AV78" s="1608"/>
      <c r="AW78" s="1608"/>
      <c r="AX78" s="1609"/>
      <c r="AY78" s="1243">
        <f ca="1">IF(AND(TABLEAU!$C$78&lt;&gt;"",TABLEAU!$B$78=""),1,0)</f>
        <v>0</v>
      </c>
      <c r="AZ78" s="2576"/>
      <c r="BA78" s="2577"/>
    </row>
    <row r="79" spans="1:53" ht="12" customHeight="1">
      <c r="A79" s="1508" t="str">
        <f ca="1">IF(TABLEAU!$B$79="","",IF(OR(TABLEAU!$AL$79="¤¤",TABLEAU!$P$79&lt;&gt;""),"#DEPASSE#",SUBSTITUTE(IF(OR(DIMANCHE.1="",TABLEAU!$C$79=""),"",IF(AND(TODAY="DIMANCHE",HOUR((H.M))&gt;HOUR(DIMANCHE.1),MINUTE((H.M))&gt;MINUTE(DIMANCHE.1)),"",IF(TODAY&lt;&gt;"DIMANCHE","",IF(HOUR(TABLEAU!$I$79)&gt;0,CONCATENATE("DANS ",HOUR(TABLEAU!$I$79),"H",TABLEAU!$N$79),CONCATENATE("DANS ",HOUR(TABLEAU!$I$79),"H",TABLEAU!$N$79," MIN")))))," 0H"," ")))</f>
        <v/>
      </c>
      <c r="B79" s="1511" t="str">
        <f ca="1">SUBSTITUTE(SUBSTITUTE(SUBSTITUTE(IF(OR(TABLEAU!$C79,TABLEAU!$D79=""),"",SUBSTITUTE(SUBSTITUTE(SUBSTITUTE(SUBSTITUTE(SUBSTITUTE(SUBSTITUTE(SUBSTITUTE(SUBSTITUTE(SUBSTITUTE(SUBSTITUTE(SUBSTITUTE(SUBSTITUTE(SUBSTITUTE(SUBSTITUTE(SUBSTITUTE(SUBSTITUTE(SUBSTITUTE(SUBSTITUTE(SUBSTITUTE(SUBSTITUTE(SUBSTITUTE(SUBSTITUTE(SUBSTITUTE(SUBSTITUTE(IF(TABLEAU!$C79="","",SUBSTITUTE(IF(TABLEAU!$AE79="",TABLEAU!$U79,TABLEAU!$AE79),CONCATENATE(CVB,YEAR(A)," "),""))," #"," "),"] &amp; D","]# &amp; #D")," &amp; (A",CONCATENATE("# &amp; #",TABLEAU!$H79,"A")),"&amp; DEPASSE","&amp; #DEPASSE"),"## &amp; #A","# &amp; #(A"),"DANS MAINTENANT","MAINTENANT"),CONCATENATE(" H",TABLEAU!$N79),CONCATENATE(" ",TABLEAU!$N79," MIN"))," 0"," "),"] &amp;D","]# &amp; #D"),"}  MIN","} H"),"# &amp; D","# &amp; #D"),CONCATENATE("#MAINTENANT (A ",TABLEAU!$Z79,"): MAINTENANT"),"#MAINTENANT"),TABLEAU!$AB$2,""),TABLEAU!$AM$5,"")," MINAMILTON","HAMILTON"),CONCATENATE(TABLEAU!$Z79," ",TABLEAU!$Z79),TABLEAU!$Z79),"DEPUIS  MINIER","DEPUIS HIER"),"MINONGRIE","HONGRIE"),"#DANS (#DEPASSE","#DEPASSE"),CONCATENATE(" ",YEAR(A)),""),"]= [","= ["),")])",")]"),"#DEPASSE DEPUISDANS","#DANS"),"(A 1A ):",CONCATENATE("(A ",HOUR(TABLEAU!$D79),"H",TABLEAU!$F79,"):"))),"SUR "," SUR "),"  SUR "," SUR "),CONCATENATE("DEPASSE DEPUIS ",TABLEAU!$M79," (A DANS"),"DANS")</f>
        <v/>
      </c>
      <c r="C79" s="629" t="str">
        <f ca="1">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IF(4-COUNTBLANK(PROG.DIMANCHE)=0,"",CONCATENATE(DIMANCHE.PROG.1,DIMANCHE.PROG.2,DIMANCHE.PROG.3,DIMANCHE.PROG.4)),CONCATENATE("(A ",TABLEAU!$E$79,"H",TABLEAU!$X$79,"): "),""),JOUR.PLUS,""),DIMANCHE.VERIFIER,"")," &amp; #DANS"," &amp; DANS"),"](A","] &amp; (A"),CONCATENATE("#DEPASSE",TABLEAU!$M$79," "),"#DEPASSE "),"] &amp; D","]# &amp; #D"),CONCATENATE("DEMAIN= ",DIF.L1," ~ "),""),CONCATENATE("DEMAIN= ",DIF.LDC," ~ "),""),CONCATENATE("DEMAIN= ",DIF.UEFA," ~ "),""),CONCATENATE("DEMAIN= ",DIF.FRANCE," ~ "),""),CONCATENATE("DEMAIN= ",DIF.LIGUE," ~ "),""),CONCATENATE("DEMAIN= ",DIF.GP," ~ "),""),CONCATENATE("DEMAIN= ",DIF.MONDIAL," ~ "),""),CONCATENATE("DEMAIN= ",DIF.EURO," ~ "),""),CONCATENATE("DEMAIN= ",DIF.CONFEDERATIONS," ~ "),""),"'' (",CONCATENATE("'' ~ (DIMANCHE ",DAY(DIMANCHE.DATE)," ",LOOKUP(MONTH(DIMANCHE.DATE),MOIS)," ")),"= ''","DANS ''"),"UEF A 2019-20= &amp; ","UEFA 2019-20]# &amp; #"),"~ ",""),"''(","'' ("),"DEMAINDANS","DEMAIN DANS"),"JOURSDANS","JOURS"),DIF.L1,""),DIF.LDC,""),DIF.UEFA,""),DIF.FRANCE,""),DIF.LIGUE,""),DIF.GP,""),DIF.MONDIAL,""),DIF.EURO,""),DIF.CONFEDERATIONS,""),DIMANCHE.DANS,""),"#  (","#("),"[ ",""),"[MAINTENANT","MAINTENANT"))</f>
        <v/>
      </c>
      <c r="D79" s="630" t="str">
        <f ca="1">IF(4-COUNTBLANK(PROG.DIMANCHE)=0,"",IF(DIMANCHE.HEURE.1&lt;&gt;"",DIMANCHE.HEURE.1,IF(DIMANCHE.HEURE.2&lt;&gt;"",DIMANCHE.HEURE.2,IF(DIMANCHE.HEURE.3&lt;&gt;"",DIMANCHE.HEURE.3,IF(DIMANCHE.HEURE.4&lt;&gt;"",DIMANCHE.HEURE.4,"")))))</f>
        <v/>
      </c>
      <c r="E79" s="2665" t="str">
        <f ca="1">IF(TABLEAU!$D79="","",IF(TABLEAU!$D79="23:59","",HOUR(TABLEAU!$D79)))</f>
        <v/>
      </c>
      <c r="F79" s="2666" t="str">
        <f ca="1">IF(OR(TABLEAU!$D$79="",TABLEAU!$D$79="23:59"),"59",IF(MINUTE(TABLEAU!$D$79)&lt;10,CONCATENATE("0",MINUTE(TABLEAU!$D$79)),CONCATENATE(MINUTE(TABLEAU!$D$79))))</f>
        <v>59</v>
      </c>
      <c r="G79" s="1165" t="str">
        <f ca="1">UPPER(SUBSTITUTE(SUBSTITUTE(SUBSTITUTE(IF(TABLEAU!$D$79="","",SUBSTITUTE(SUBSTITUTE(SUBSTITUTE(SUBSTITUTE(SUBSTITUTE(SUBSTITUTE(SUBSTITUTE(SUBSTITUTE(SUBSTITUTE(SUBSTITUTE(SUBSTITUTE(SUBSTITUTE(SUBSTITUTE(SUBSTITUTE(SUBSTITUTE(IF(OR(TABLEAU!$D$79="",TABLEAU!$C$79=""),"",IF(AND(TODAY="DIMANCHE",HOUR((H.M))&gt;HOUR(TABLEAU!$D$79),MINUTE((H.M))&gt;MINUTE(TABLEAU!$D$79)),CONCATENATE("#DEPASSE DEPUIS",TABLEAU!$M$79," ",TABLEAU!$C$79,"#"),IF(TABLEAU!$P$79&lt;&gt;"",CONCATENATE("#DEPASSE DEPUIS",TABLEAU!$M$79," ",TABLEAU!$C$79,"#"),IF(TODAY&lt;&gt;"DIMANCHE",CONCATENATE("#",DIMANCHE.DANS," (DIMANCHE ",DAY(DIMANCHE.DATE)," ",LOOKUP(MONTH(DIMANCHE.DATE),MOIS)," A ",HOUR(TABLEAU!$D$79),"H",TABLEAU!$F$79,"): ",TABLEAU!$C$79,"#"),CONCATENATE("#",TABLEAU!$L$79," (A ",TABLEAU!$Z$79,"): ",SUBSTITUTE(TABLEAU!$C$79,"#",""),"#"))))),CONCATENATE(LOOKUP(MONTH(DIMANCHE.DATE),MOIS)," (A"),CONCATENATE(LOOKUP(MONTH(DIMANCHE.DATE),MOIS)," A")),"##","#"),CONCATENATE("#DEPASSE DEPUIS  (A ): ",TABLEAU!$C$79,"#"),""),CONCATENATE("(A ",TABLEAU!$E$79,"H",TABLEAU!$X$79,"): "),""),CONCATENATE(TABLEAU!$L$79," DEPUIS"),"DEPASSE DEPUIS"),CONCATENATE("A ",HOUR(TABLEAU!$D$79),"H",TABLEAU!$F$79,"): (A ",HOUR(TABLEAU!$D$79),"H",TABLEAU!$F$79),CONCATENATE("A ",HOUR(TABLEAU!$D$79),"H",TABLEAU!$F$79)),"#DEPASSEDEPASSE","#DEPASSE"),"# (",CONCATENATE("#",TABLEAU!$H$79)),CONCATENATE("A ",SUBSTITUTE(TABLEAU!$M$33,":","H"),"): ~ (A ",SUBSTITUTE(TABLEAU!$M$33,":","H")),CONCATENATE("A ",SUBSTITUTE(TABLEAU!$M$33,":","H"))),CONCATENATE("#DEPASSE ",TABLEAU!$M$79,"#D"),"#D")," D"," #D"),"#DEPUIS","DEPUIS"),"COURS ","COURS# "),"#DE ","DE "),"GP #D","GP D")),"# &amp; #",CONCATENATE("# &amp; #DEPASSE DEPUIS",TABLEAU!$M$79," ")),"] &amp; (",CONCATENATE("]# &amp; DANS ",TABLEAU!$AH$79," ("))," 0"," "))</f>
        <v/>
      </c>
      <c r="H79" s="1216" t="str">
        <f ca="1">SUBSTITUTE(IF(OR(DATE.RDV.TV&lt;&gt;"DIMANCHE",TABLEAU!$C$79=""),"",IF(HOUR(TABLEAU!$I$79)=0,CONCATENATE("DANS ",TABLEAU!$N$79," MIN ("),CONCATENATE("DANS ",HOUR(TABLEAU!$I$79),"H",TABLEAU!$N$79," ("))),"DANS  MIN (","")</f>
        <v/>
      </c>
      <c r="I79" s="1065" t="str">
        <f ca="1">IF(OR(TODAY&lt;&gt;"DIMANCHE",TABLEAU!$C$79=""),"",IF(OR(TABLEAU!$D$79="",TABLEAU!$P$79="#DEPASSE#",TODAY&lt;&gt;"DIMANCHE"),0,IF(HOUR((H.M))&gt;HOUR(TABLEAU!$D$79),0,TABLEAU!$D$79-H.M)))</f>
        <v/>
      </c>
      <c r="J79" s="1066" t="str">
        <f ca="1">SUBSTITUTE(SUBSTITUTE(SUBSTITUTE(IF(TABLEAU!$I$79="","",SUBSTITUTE(SUBSTITUTE(SUBSTITUTE(SUBSTITUTE(SUBSTITUTE(SUBSTITUTE(SUBSTITUTE(SUBSTITUTE(SUBSTITUTE(SUBSTITUTE(SUBSTITUTE(SUBSTITUTE(SUBSTITUTE(SUBSTITUTE(SUBSTITUTE(SUBSTITUTE(SUBSTITUTE(SUBSTITUTE(SUBSTITUTE(SUBSTITUTE(IF(DATE.DEPASSE&lt;0,TABLEAU!$U$79,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G79,"  "," "),CONCATENATE("(A ",TABLEAU!$Z$79,"): (A ",TABLEAU!$Z$79),CONCATENATE("(A ",TABLEAU!$Z$79)),CONCATENATE("#DEPASSE",TABLEAU!$M$79,"#DEPASSE",TABLEAU!$M$79),CONCATENATE("#DEPASSE",TABLEAU!$M$79)),CONCATENATE("#DEPASSE",TABLEAU!$L$79,"DEPASSE"),"#DEPASSE"),CONCATENATE(TABLEAU!$L$79," (A ",TABLEAU!$Z$79,"): DEPUIS"),"DEPASSE DEPUIS")," 1 "," 1ER "),"DEPASSE DEPUIS DEPASSE DEPUIS","DEPASSE DEPUIS"),CONCATENATE("DEPASSE ",TRIM(TABLEAU!$L$79)," DEPASSE ",TRIM(TABLEAU!$L$79)),CONCATENATE("DEPASSE ",TRIM(TABLEAU!$L$79))),"1ER MIN","1 MIN"),"1ER ERREUR","1 ERREUR"),CONCATENATE("(A ",TABLEAU!$Z$79,"): (A ",TABLEAU!$E$79,":",TABLEAU!$F$79),CONCATENATE("(A ",TABLEAU!$Z$79))," (A ):",""),"DEPASSE DEPUIS (",TABLEAU!$H$79),"] &amp; D","]# &amp; #D"),CONCATENATE("#DEPASSE",TABLEAU!$M$79,"DEPASSE"),"#DEPASSE")," [","): ["),"):):","):"),"DEPUIS ",TABLEAU!$L$79),CONCATENATE(SUBSTITUTE(TABLEAU!$M$79,"DEPUIS ",""))," "),"DEPUIS",CONCATENATE(TABLEAU!$M$79," (",DIMANCHE.VERIFIER," A ")),SUBSTITUTE(TABLEAU!$M$79,"DEPUIS","A"),""),"DEPASSE  ","DEPASSE"),"  A "," A"),"  "," "),TRIM(SUBSTITUTE(TABLEAU!$M$79," DEPUIS ","A ")),"EEE"),"EEE",CONCATENATE("A ",TABLEAU!$Z$79)),CONCATENATE("DEPASSE ",TABLEAU!$L$79,"HIER"),"DEPASSE DEPUIS HIER"),"DEPASSEDEPASSE","DEPASSE DEPUIS "),CONCATENATE(" A ",TABLEAU!$Z$59," (A ",TABLEAU!$Z$59),CONCATENATE(" A ",TABLEAU!$Z$59)),CONCATENATE("A ",TABLEAU!$Z$79," ",TABLEAU!$C$79),TABLEAU!$C$79),CONCATENATE(MOIS.MAINTENANT.2," (A"),CONCATENATE(MOIS.MAINTENANT.2," A")),"#DEPASSE #DEPASSEDEPUIS","#DEPASSE DEPUIS"),"A (A","A"),CONCATENATE(TABLEAU!$L$79," DEPASSE"),"DEPASSE"),"DEPASSE (",CONCATENATE("DEPASSE DEPUIS ",TABLEAU!$Q$79," (")),"''MIN","MIN"),"=):","]="),CONCATENATE("#DEPASSE ",TABLEAU!$Q$79),CONCATENATE("#DEPASSE DEPUIS ",TABLEAU!$Q$79)),"DEPASSE","DEPASSE DEPUIS"),"DEPUIS DEPUIS","DEPUIS")),"US A","USA"),CONCATENATE("DEPASSE DEPUIS ",TABLEAU!$Q$79,"DEPASSE DEPUIS ",TABLEAU!$Q$79),CONCATENATE("DEPASSE DEPUIS ",TABLEAU!$Q$79)),CONCATENATE("#DEPASSE DEPUIS ",TABLEAU!$Q$79," #DEPASSE DEPUIS ",TABLEAU!$Q$79),CONCATENATE("#DEPASSE DEPUIS ",TABLEAU!$Q$79)),"#DEPASSE DEPUIS #DEPASSE DEPUIS","#DEPASSE DEPUIS"),CONCATENATE("): ",DIMANCHE.DANS," (A ",TABLEAU!$E$79,"H",TABLEAU!$F$79),"")," &amp; D"," &amp; #D"),CONCATENATE(DIMANCHE.DANS," (DIMANCHE ",DAY(DIMANCHE.DATE)," ",LOOKUP(MONTH(DIMANCHE.DATE),MOIS)," A ",TABLEAU!$E$79,"H",TABLEAU!$F$79,"): DANS"),"DANS"),CONCATENATE(DIMANCHE.DANS," (DIMANCHE ",DAY(DIMANCHE.DATE)," ",LOOKUP(MONTH(DIMANCHE.DATE),MOIS)," A ",TABLEAU!$E$79,"H",TABLEAU!$F$79,"): ",DIMANCHE.DANS,"= ",TABLEAU!$AN$23,"(A ",TABLEAU!$E$79,"H",TABLEAU!$F$79),CONCATENATE(DIMANCHE.DANS,"= ",TABLEAU!$AN$23," (DIMANCHE ",DAY(DIMANCHE.DATE)," ",LOOKUP(MONTH(DIMANCHE.DATE),MOIS)," A ",TABLEAU!$E$79,"H",TABLEAU!$F$79)),CONCATENATE(DIMANCHE.DANS," (DIMANCHE ",DAY(DIMANCHE.DATE)," ",LOOKUP(MONTH(DIMANCHE.DATE),MOIS)," A ",TABLEAU!$E$79,"H",TABLEAU!$F$79,"): DANS"),"DANS"),"# (",CONCATENATE("#",TABLEAU!$H$79)),"DANS 0","DANS "),"# ~ ",CONCATENATE("#",FICHIER.A.MODIFIER," ~ ")),CONCATENATE("A ",SUBSTITUTE(TABLEAU!$M$33,":","H"),"): ~ (A ",SUBSTITUTE(TABLEAU!$M$33,":","H")),CONCATENATE("A ",SUBSTITUTE(TABLEAU!$M$33,":","H"))),CONCATENATE("(A ",TABLEAU!$Z$79,"): ~ (A"),"(A"),"DANS 0 MIN","MAINTENANT"),"DEPUIS(",CONCATENATE("DEPUIS ",TABLEAU!$M$79," (")),"DEPUIS DEPUIS  (A",CONCATENATE("DEPUIS ",TABLEAU!$M$79," (A")),"(A 1 ",CONCATENATE("(A ",TABLEAU!$E$79,":00")),"#A",CONCATENATE("#DANS ",HOUR(TABLEAU!$I$79),"H",TABLEAU!$N$79," (A")),"DEPUIS DEPUIS",CONCATENATE("DEPUIS ",TABLEAU!$M$79))),"]#D","]# &amp; #D"),"DEPUIS =",CONCATENATE("DEPUIS ",TABLEAU!$M$79)),"DANS  MAINTENANT","MAINTENANT")</f>
        <v/>
      </c>
      <c r="K79" s="1067" t="str">
        <f ca="1">TRIM(SUBSTITUTE(SUBSTITUTE(SUBSTITUTE(SUBSTITUTE(SUBSTITUTE(SUBSTITUTE(SUBSTITUTE(SUBSTITUTE(SUBSTITUTE(TABLEAU!$O$79,CONCATENATE("): (",TABLEAU!$W$79),""),CONCATENATE("A ",TABLEAU!$E$79,"H",TABLEAU!$X$79,"): ("),""),"(SUR",CONCATENATE("(A ",TABLEAU!$E$79,"H",TABLEAU!$X$79," SUR"))," &amp; (",CONCATENATE(" &amp; ",TABLEAU!$L$79," (")),"AUJOURD'HUI",""),"##","#"),"1ER MIN","1 MIN"),CONCATENATE("DEPASSE ",TRIM(TABLEAU!$L$79)," DEPASSE"),"DEPASSE")," (A ):",""))</f>
        <v/>
      </c>
      <c r="L79" s="1068" t="str">
        <f ca="1">UPPER(IF(TABLEAU!$P$79&lt;&gt;"","",IF(TABLEAU!$P$79="","",IF(TABLEAU!$AM$79&lt;&gt;"","#DEPASSE DEPUIS ",IF(TODAY&lt;&gt;"DIMANCHE","",IF(COUNTIF(ENCOURS,"#EN COURS#")&lt;&gt;0,"MAINTENANT",SUBSTITUTE(SUBSTITUTE(SUBSTITUTE(IF(OR(TABLEAU!$C$79="",TABLEAU!$D$79=""),"",IF(HOUR(TABLEAU!$I$79)=0,CONCATENATE("DANS ",TABLEAU!$N$79," MIN"),CONCATENATE("DANS ",HOUR(TABLEAU!$I$79),"H",TABLEAU!$N$79))),"DANS 0","DANS "),"DANS  MIN",TABLEAU!$M$79),"DANS 0 MIN","MAINTENANT")))))))</f>
        <v/>
      </c>
      <c r="M79" s="1068" t="str">
        <f ca="1">IF(TODAY&lt;&gt;"DIMANCHE","",SUBSTITUTE(IF(TABLEAU!$D$79="","",IF(TABLEAU!$AF$79=" ","",IF(TABLEAU!$D$79-H.M&gt;0,"",IF(AND(HOUR(TABLEAU!$AF$79)&gt;0,MINUTE(TABLEAU!$AF$79)&lt;10),CONCATENATE(" ",HOUR(TABLEAU!$AF$79),"H0",MINUTE(TABLEAU!$AF$79)),IF(AND(HOUR(TABLEAU!$AF$79)&gt;0,MINUTE(TABLEAU!$AF$79)&gt;9),CONCATENATE(" ",HOUR(TABLEAU!$AF$79),"H",MINUTE(TABLEAU!$AF$79)),CONCATENATE(" 0",MINUTE(TABLEAU!$AF$79)," MIN"))))))," 0",""))</f>
        <v/>
      </c>
      <c r="N79" s="266" t="str">
        <f ca="1">IF(TABLEAU!$D$79="","",IF(OR(TABLEAU!$C$79="",TODAY&lt;&gt;"DIMANCHE"),"",IF(TABLEAU!$P$79="#DEPASSE#","",IF(HOUR((H.M))&gt;HOUR(TABLEAU!$D$79),"",IF(MINUTE(TABLEAU!$I$79)&lt;10,CONCATENATE("0",MINUTE(TABLEAU!$I$79)),MINUTE(TABLEAU!$I$79))))))</f>
        <v/>
      </c>
      <c r="O79" s="1069" t="str">
        <f ca="1">UPPER(SUBSTITUTE(SUBSTITUTE(SUBSTITUTE(SUBSTITUTE(SUBSTITUTE(SUBSTITUTE(SUBSTITUTE(SUBSTITUTE(SUBSTITUTE(TABLEAU!$J$79,"DANS 0H","DANS "),"DANS 0","DANS "),CONCATENATE("(A ",TABLEAU!$E$79,"H",TABLEAU!$X$79,"): (",LOOKUP(WEEKDAY(DIMANCHE.DATE),SEMAINE)," ",DAY(DIMANCHE.DATE)," ",LOOKUP(MONTH(DIMANCHE.DATE),MOIS)," A 20H00): "),CONCATENATE(TABLEAU!$L$79," (A ",TABLEAU!$E$79,"H",TABLEAU!$X$79,")")),"DEPUIS 0","DEPUIS "),"&amp; A","&amp; (A"),CONCATENATE("(",NBA),""),"#DEPASSE DEPUIS (A","(A"),"DANS  MAINTENANT","MAINTENANT"),"] &amp; #","]# &amp; #"))</f>
        <v/>
      </c>
      <c r="P79" s="1070" t="str">
        <f ca="1">IF(OR(TABLEAU!$D$79="",TODAY&lt;&gt;"DIMANCHE"),"",IF(AND(HOUR((H.M))=HOUR(TABLEAU!$D$79),MINUTE((H.M))&gt;MINUTE(TABLEAU!$D$79)),"#DEPASSE#",IF(HOUR((H.M))&gt;HOUR(TABLEAU!$D$79),"#DEPASSE#","")))</f>
        <v/>
      </c>
      <c r="Q79" s="1071" t="str">
        <f ca="1">IF(OR(TABLEAU!$P$79="",TABLEAU!$S$79=""),"",IF(AND(HOUR(TABLEAU!$S$79)&gt;0,MINUTE(TABLEAU!$S$79)&lt;10),CONCATENATE(HOUR(TABLEAU!$S$79),"H0",MINUTE(TABLEAU!$S$79)),IF(AND(HOUR(TABLEAU!$S$79)=0,MINUTE(TABLEAU!$S$79)&lt;10),CONCATENATE(MINUTE(TABLEAU!$S$79)," MIN"),IF(AND(HOUR(TABLEAU!$S$79)&gt;0,MINUTE(TABLEAU!$S$79)&gt;9),CONCATENATE(HOUR(TABLEAU!$S$79),"H",MINUTE(TABLEAU!$S$79)),CONCATENATE(MINUTE(TABLEAU!$S$79)," MIN")))))</f>
        <v/>
      </c>
      <c r="R79" s="1071" t="str">
        <f ca="1">UPPER(IF(OR(TABLEAU!$C$79="",TODAY&lt;&gt;"DIMANCHE"),"",IF(OR(TABLEAU!$D$79="",TABLEAU!$D$79="23:59",TABLEAU!$C$79=""),"",IF(AND(TODAY="DIMANCHE",HOUR(TABLEAU!$I$79)&lt;1,MINUTE(TABLEAU!$I$79)&lt;5,TABLEAU!$I$79&lt;&gt;"",TABLEAU!$I$79&lt;&gt;0),"BIENTOT",""))))</f>
        <v/>
      </c>
      <c r="S79" s="617" t="str">
        <f ca="1">IF(TABLEAU!$D$79="","",IF(TODAY&lt;&gt;"DIMANCHE","",IF((H.M)&gt;TABLEAU!$D$79,"",(H.M)-TABLEAU!$D$79)))</f>
        <v/>
      </c>
      <c r="T79" s="2394">
        <f ca="1">IF(TODAY="JEUDI",A+3,IF(TODAY="VENDREDI",A+2,IF(TODAY="SAMEDI",A+1,IF(TODAY="DIMANCHE",A,IF(TODAY=TABLEAU!$K$3,A+6,IF(TODAY="MARDI",A+5,IF(TODAY="MERCREDI",A+4)))))))</f>
        <v>43772</v>
      </c>
      <c r="U79" s="1072" t="str">
        <f ca="1">UPPER(TRIM(SUBSTITUTE(SUBSTITUTE(SUBSTITUTE(SUBSTITUTE(SUBSTITUTE(SUBSTITUTE(SUBSTITUTE(SUBSTITUTE(SUBSTITUTE(SUBSTITUTE(SUBSTITUTE(SUBSTITUTE(SUBSTITUTE(SUBSTITUTE(SUBSTITUTE(SUBSTITUTE(SUBSTITUTE(SUBSTITUTE(SUBSTITUTE(IF(TABLEAU!$D$79="","",SUBSTITUTE(SUBSTITUTE(SUBSTITUTE(SUBSTITUTE(SUBSTITUTE(SUBSTITUTE(SUBSTITUTE(SUBSTITUTE(SUBSTITUTE(SUBSTITUTE(SUBSTITUTE(SUBSTITUTE(SUBSTITUTE(SUBSTITUTE(SUBSTITUTE(IF(OR(TABLEAU!$C$79="",TABLEAU!$D$79=""),"",IF(AND(TODAY="DIMANCHE",TABLEAU!$P$79&lt;&gt;""),CONCATENATE("#DEPASSE DEPUIS ",TABLEAU!$M$79," ",TABLEAU!$W$79,"#"),CONCATENATE("#",DIMANCHE.DANS," ",TABLEAU!$H$79,TABLEAU!$C$79,"#"))),": =",":"),CONCATENATE(NBA,"("),""),CONCATENATE(LOOKUP(MONTH(DIMANCHE.DATE),MOIS)," (A"),CONCATENATE(LOOKUP(MONTH(DIMANCHE.DATE),MOIS)," A")),"1ER MIN","1 MIN"),"((","("),"##","#"),"# ","#"),CONCATENATE("#",TABLEAU!$H$79,"DEPUIS"),"#DEPASSE DEPUIS"),"DEMAIN (",CONCATENATE("DEMAIN (DIMANCHE ",DAY(DIMANCHE.DATE)," ",LOOKUP(MONTH(DIMANCHE.DATE),MOIS)," ")),"JOURS (A ",CONCATENATE("JOURS (DIMANCHE ",DAY(DIMANCHE.DATE)," ",LOOKUP(MONTH(DIMANCHE.DATE),MOIS)," A ")),"(A","(DIMANCHE A"),"DANS 00 MIN","DANS "),"DANS 0","DANS "),"#&amp;","# &amp; "),"JOURS [",CONCATENATE("JOURS (",LOOKUP(WEEKDAY(DIMANCHE.DATE),SEMAINE)," ",DAY(DIMANCHE.DATE)," ",LOOKUP(MONTH(DIMANCHE.DATE),MOIS)," A ",HOUR(TABLEAU!$D$79),"H",TABLEAU!$F$79,"): ["))),CONCATENATE(DIMANCHE.DANS," ",DIMANCHE.DANS),CONCATENATE(" ",DIMANCHE.DANS)),"# ","#"),"#&amp; #","# &amp; #"),"US A","USA"),"(~ ("," ~ ("),"DIMANCHE A ","A "),CONCATENATE("#",TABLEAU!$H$79,TABLEAU!$W$79),TABLEAU!$W$79),"DEMAINDANS","DEMAIN DANS"),"''(","'' ("),CONCATENATE("#DANS ",TRIM(TABLEAU!$AH$79)," (#DEPASSE "),"#DEPASSE "),"]#D","]# &amp; #D"),"(MATCH","MATCH"),"COURS &amp; D","COURS# &amp; #D"),"#&amp; ","# &amp; #"),"# &amp; # ","# &amp; #"),CONCATENATE("#DEPASSE DEPUIS ",TABLEAU!$M$79," #"),"#"),"# &amp; ##","# &amp; #"),"DANS  (MAINTENANT","MAINTENANT"),CONCATENATE("[(A",),"[")))</f>
        <v/>
      </c>
      <c r="V79" s="1072" t="str">
        <f ca="1">UPPER(TRIM(SUBSTITUTE(SUBSTITUTE(IF(OR(TABLEAU!$C$79="",TABLEAU!$D$79="",DIMANCHE.DANS&lt;&gt;""),"",TABLEAU!$J$79),JOUR.PLUS,""),"DANS  MAINTENANT","MAINTENANT")))</f>
        <v/>
      </c>
      <c r="W79" s="1073" t="str">
        <f ca="1">UPPER(IF(TABLEAU!$C$79=0,"",TABLEAU!$C$79))</f>
        <v/>
      </c>
      <c r="X79" s="1074"/>
      <c r="Y79" s="1068" t="str">
        <f ca="1">IF(OR(TODAY&lt;&gt;"DIMANCHE",TABLEAU!$C$79=""),"",IF(OR(TABLEAU!$C$79="",TABLEAU!$D$79=""),"",HOUR(TABLEAU!$D$79)))</f>
        <v/>
      </c>
      <c r="Z79" s="237" t="str">
        <f ca="1">IF(TABLEAU!$AM$79&lt;&gt;""," ",IF(OR(TODAY&lt;&gt;"DIMANCHE",TABLEAU!$C$79="",TABLEAU!$D$79="")," ",IF(MINUTE(TABLEAU!$D$79)&lt;10,CONCATENATE(HOUR(TABLEAU!$D$79),"H0",MINUTE(TABLEAU!$D$79)),IF(MINUTE(TABLEAU!$D$79)&gt;9,CONCATENATE(HOUR(TABLEAU!$D$79),"H",MINUTE(TABLEAU!$D$79))))))</f>
        <v xml:space="preserve"> </v>
      </c>
      <c r="AA79" s="248" t="str">
        <f ca="1">TRIM(SUBSTITUTE(SUBSTITUTE(SUBSTITUTE(SUBSTITUTE(IF(TABLEAU!$P$79="#DEPASSE#",TABLEAU!$AB$79,TABLEAU!$U$79),"# ","#"),"#&amp; #","# &amp; #"),"DANS (MAINTENANT","MAINTENANT"),SUBSTITUTE(SUBSTITUTE(CONCATENATE("#",TABLEAU!$H$79,"",TABLEAU!$H$79)," 0"," ")," 0"," "),SUBSTITUTE(TABLEAU!$H$79," 0"," ")))</f>
        <v/>
      </c>
      <c r="AB79" s="1068" t="str">
        <f ca="1">UPPER(TRIM(SUBSTITUTE(SUBSTITUTE(SUBSTITUTE(SUBSTITUTE(SUBSTITUTE(SUBSTITUTE(TABLEAU!$K79,CONCATENATE(LOOKUP(MONTH(A),MOIS)," (A"),CONCATENATE(LOOKUP(MONTH(A),MOIS)," A ")),CONCATENATE(LOOKUP(MONTH(A)+1,MOIS)," (A"),CONCATENATE(LOOKUP(MONTH(A)+1,MOIS)," A ")),CONCATENATE("(",YEAR(DIMANCHE.DATE)),""),"] &amp; DANS","]# &amp; #DANS"),"DANS MAINTENANT","MAINTENANT"),SUBSTITUTE(CONCATENATE("#",SUBSTITUTE(TABLEAU!$H$79,"(",""),"#",TABLEAU!$H$79)," 0"," "),SUBSTITUTE(TABLEAU!$H$79," 0"," "))))</f>
        <v/>
      </c>
      <c r="AC79" s="698" t="str">
        <f ca="1">SUBSTITUTE(IF(AND(TABLEAU!$P$79="#DEPASSE#",TABLEAU!$U$79=TABLEAU!$AM$1),TABLEAU!$B$33,IF(TABLEAU!$P$79="#DEPASSE#",TABLEAU!$U$79,"")),CONCATENATE(DATE.RDV.TV," A "),"A ")</f>
        <v/>
      </c>
      <c r="AD79" s="1588" t="str">
        <f ca="1">CONCATENATE(LOOKUP(WEEKDAY(DIMANCHE.DATE),SEMAINE)," ",DAY(DIMANCHE.DATE)," ",LOOKUP(MONTH(DIMANCHE.DATE),MOIS)," ")</f>
        <v xml:space="preserve">DIMANCHE 3 NOVEMBRE </v>
      </c>
      <c r="AE79" s="1069" t="str">
        <f ca="1">UPPER(TRIM(SUBSTITUTE(SUBSTITUTE(SUBSTITUTE(SUBSTITUTE(SUBSTITUTE(SUBSTITUTE(SUBSTITUTE(SUBSTITUTE(SUBSTITUTE(SUBSTITUTE(SUBSTITUTE(SUBSTITUTE(SUBSTITUTE(SUBSTITUTE(SUBSTITUTE(SUBSTITUTE(SUBSTITUTE(SUBSTITUTE(SUBSTITUTE(SUBSTITUTE(SUBSTITUTE(SUBSTITUTE(SUBSTITUTE(SUBSTITUTE(IF(TABLEAU!$P$79="#DEPASSE#",TABLEAU!$J$79,IF(TABLEAU!$C$79="","",TRIM(SUBSTITUTE(SUBSTITUTE(SUBSTITUTE(SUBSTITUTE(SUBSTITUTE(SUBSTITUTE(SUBSTITUTE(IF(TABLEAU!$L$79="#DEPASSE DEPUIS ",MODIF,IF(TABLEAU!$I$79=SUBSTITUTE(DEPP,"#",""),DEPP,SUBSTITUTE(SUBSTITUTE(SUBSTITUTE(SUBSTITUTE(SUBSTITUTE(SUBSTITUTE(SUBSTITUTE(SUBSTITUTE(SUBSTITUTE(SUBSTITUTE(SUBSTITUTE(SUBSTITUTE(SUBSTITUTE(SUBSTITUTE(SUBSTITUTE(SUBSTITUTE(SUBSTITUTE(SUBSTITUTE(TABLEAU!$AB$79,CONCATENATE(TABLEAU!$K79," A "),CONCATENATE(TABLEAU!$K79," (A ")),"JANVIER (","JANVIER "),"FEVRIER (","FEVRIER "),"MARS (","MARS "),"AVRIL (","AVRIL "),"MAI (","MAI "),"JUIN (","JUIN "),"JUILLET (","JUILLET "),"AOUT (","AOUT "),"SEPTEMBRE (","SEPTEMBRE "),"OCTOBRE (","OCTOBRE "),"NOVEMBRE (","NOVEMBRE "),"DECEMBRE (","DECEMBRE "),CONCATENATE(" &amp; ",TABLEAU!$K79," (")," &amp; "),CONCATENATE(" &amp;",TABLEAU!$L$79,"(")," &amp; ")," &amp; ("," &amp; "),CONCATENATE(TABLEAU!$K79," (A ",TABLEAU!$AC$79,"): HIER"),"DEPASSE DEPUIS HIER")," &amp; A"," &amp; (A"))),"(A ",CONCATENATE("(",DATE.RDV.TV," A ")),"((","("),CONCATENATE(DATE.RDV.TV," ("),""),CONCATENATE(DATE.RDV.TV," A "),"A "),CONCATENATE(YEAR(A)," (A"),"A"),CONCATENATE(TABLEAU!$L$79," (DEPASSE"),"DEPASSE"),CONCATENATE("DEPASSE",TABLEAU!$L$79,"(",LOOKUP(WEEKDAY(DIMANCHE.DATE),SEMAINE)," ",DAY(DIMANCHE.DATE)," ",LOOKUP(MONTH(DIMANCHE.DATE),MOIS)," A"),"DEPASSE DEPUIS")))),"#&amp; ","# &amp; #"),"DANS (A","MAINTENANT (A"),"DANS (MATCH","DANS MATCH"),CONCATENATE("(DEMAIN= ",DIF.L1," ~ "),""),CONCATENATE("(DEMAIN= ",DIF.LDC," ~ "),""),CONCATENATE("(DEMAIN= ",DIF.UEFA," ~ "),""),CONCATENATE("(DEMAIN= ",DIF.FRANCE," ~ "),""),CONCATENATE("(DEMAIN= ",DIF.LIGUE," ~ "),""),CONCATENATE("(DEMAIN= ",DIF.GP," ~ "),""),CONCATENATE("(DEMAIN= ",DIF.MONDIAL," ~ "),""),CONCATENATE("(DEMAIN= ",DIF.EURO," ~ "),""),CONCATENATE("(DEMAIN= ",DIF.CONFEDERATIONS," ~ "),""),CONCATENATE(TABLEAU!$K$3," A"),"A"),"MARDI A","A"),"MERCREDI A","A"),"JEUDI A","A"),"VENDREDI A","A"),"SAMEDI A","A"),"DIMANCHE A","A"),"00H","0H"),"DEPUIS DEPUIS",CONCATENATE("DEPUIS ",TABLEAU!$M$79)),"] &amp;D","]# &amp; #D"),"A 2A",CONCATENATE("A ",TABLEAU!$Y79,"H",TABLEAU!$F$79))," )",")")))</f>
        <v/>
      </c>
      <c r="AF79" s="985" t="str">
        <f ca="1">IF(TODAY&lt;&gt;"DIMANCHE"," ",IF(TABLEAU!$D$79="","",H.M-TABLEAU!$D$79))</f>
        <v xml:space="preserve"> </v>
      </c>
      <c r="AG79" s="985" t="str">
        <f ca="1">IF(TABLEAU!$B$79="","",IF(TABLEAU!$I$79&lt;&gt;0,"",IF(TODAY&lt;&gt;"DIMANCHE","",IF(TABLEAU!$AF$79=" ","",IF(TABLEAU!$AF$79="","",IF(AND(HOUR(TABLEAU!$AF$79)&gt;0,MINUTE(TABLEAU!$AF$79)&lt;10),CONCATENATE(HOUR(TABLEAU!$AF$79),"H0",MINUTE(TABLEAU!$AF$79)),IF(AND(HOUR(TABLEAU!$AF$79)&gt;0,MINUTE(TABLEAU!$AF$79)&gt;9),CONCATENATE(HOUR(TABLEAU!$AF$79),"H",MINUTE(TABLEAU!$AF$79)),CONCATENATE(MINUTE(TABLEAU!$AF$79)," MIN"))))))))</f>
        <v/>
      </c>
      <c r="AH79" s="985" t="str">
        <f ca="1">IF(TABLEAU!$I$79="","",IF(MINUTE(TABLEAU!$I$79)&gt;9,CONCATENATE(HOUR(TABLEAU!$I$79),"H",MINUTE(TABLEAU!$I$79)),CONCATENATE(HOUR(TABLEAU!$I$79),"H0",MINUTE(TABLEAU!$I$79))))</f>
        <v/>
      </c>
      <c r="AI79" s="1663" t="str">
        <f ca="1">SUBSTITUTE(SUBSTITUTE(CONCATENATE(DIMANCHE.TV.1,DIMANCHE.TV.2,DIMANCHE.TV.3,DIMANCHE.TV.4),"##","# &amp; #"),CONCATENATE(" &amp; #",DIMANCHE.DANS," (",DIMANCHE.VERIFIER)," &amp; #(")</f>
        <v/>
      </c>
      <c r="AJ79" s="93" t="str">
        <f ca="1">IF(TABLEAU!$B$79="","",TABLEAU!$P$79)</f>
        <v/>
      </c>
      <c r="AK79" s="93" t="str">
        <f ca="1">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O$79,"DEPASSE","&amp;&amp;&amp;"),"A",""),"B",""),"C",""),"D",""),"E",""),"F",""),"G",""),"H",""),"I",""),"J",""),"K",""),"L",""),"M",""),"N",""),"O",""),"P",""),"Q",""),"R",""),"S",""),"T",""),"U",""),"V",""),"W",""),"X",""),"Y",""),"Z",""),"0",""),"1",""),"2",""),"3",""),"4",""),"5",""),"6",""),"7",""),"8",""),"9",""),":",""),"(",""),")",""),"[",""),"]","")," ",""))</f>
        <v/>
      </c>
      <c r="AL79" s="636" t="str">
        <f ca="1">UPPER(IF(DATE.RDV.TV&lt;&gt;"DIMANCHE","",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B$79,"DEPASSE ","¤¤"),"A",""),"B",""),"C",""),"D",""),"E",""),"F",""),"G",""),"H",""),"I",""),"J",""),"K",""),"L",""),"M",""),"N",""),"O",""),"P",""),"Q",""),"R",""),"S",""),"T",""),"U",""),"V",""),"W",""),"X",""),"Y",""),"Z",""),"1",""),"2",""),"3",""),"4",""),"5",""),"6",""),"7",""),"8",""),"9",""),"0",""),"-",""),"(",""),")",""),"{",""),"}",""),"=",""),"[",""),"]",""),"#",""),"+",""),":",""),"/",""),"'",""),".","")," &amp; ","")," ° ",""))))</f>
        <v/>
      </c>
      <c r="AM79" s="838" t="str">
        <f ca="1">UPPER(IF(DATE.RDV.TV&lt;&gt;"DIMANCHE","",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C$79,"CHAMPIONNAT","¤"),"LDC","¤¤"),"UEFA","¤¤¤"),"FRANCE","¤¤¤¤"),"LIGUE","¤¤¤¤¤"),"GP","¤¤¤¤¤¤"),"MONDIAL","¤¤¤¤¤¤¤"),"EURO","¤¤¤¤¤¤¤¤"),"CONFEDERATIONS","¤¤¤¤¤¤¤¤¤"),"A",""),"B",""),"C",""),"D",""),"E",""),"F",""),"G",""),"H",""),"I",""),"J",""),"K",""),"L",""),"M",""),"N",""),"O",""),"P",""),"Q",""),"R",""),"S",""),"T",""),"U",""),"V",""),"W",""),"X",""),"Y",""),"Z",""),"1",""),"2",""),"3",""),"4",""),"5",""),"6",""),"7",""),"8",""),"9",""),"0",""),"-",""),"(",""),")",""),"{",""),"}",""),"=",""),"[",""),"]",""),"#",""),"+",""),":",""),"/",""),"'",""),".","")," &amp; ","")," ° ",""),"~",""))))</f>
        <v/>
      </c>
      <c r="AN79" s="1616" t="str">
        <f ca="1">IF(OR(TABLEAU!$A$79="#DEPASSE#",TABLEAU!$P$79="#DEPASSE#"),TABLEAU!$B$79,"")</f>
        <v/>
      </c>
      <c r="AO79" s="1617"/>
      <c r="AP79" s="1617"/>
      <c r="AQ79" s="1617"/>
      <c r="AR79" s="1617"/>
      <c r="AS79" s="1617"/>
      <c r="AT79" s="1617"/>
      <c r="AU79" s="1617"/>
      <c r="AV79" s="1617"/>
      <c r="AW79" s="1617"/>
      <c r="AX79" s="1618"/>
      <c r="AY79" s="1243">
        <f ca="1">IF(AND(TABLEAU!$C$79&lt;&gt;"",TABLEAU!$B$79=""),1,0)</f>
        <v>0</v>
      </c>
      <c r="AZ79" s="2576"/>
      <c r="BA79" s="2577"/>
    </row>
    <row r="80" spans="1:53" ht="12" customHeight="1">
      <c r="A80" s="1508" t="str">
        <f ca="1">IF(TABLEAU!$B$80="","",IF(OR(TABLEAU!$AL$80="¤¤",TABLEAU!$P$80&lt;&gt;""),"#DEPASSE#",SUBSTITUTE(IF(OR(DIMANCHE.2="",TABLEAU!$C$80=""),"",IF(AND(TODAY="DIMANCHE",HOUR((H.M))&gt;HOUR(DIMANCHE.2),MINUTE((H.M))&gt;MINUTE(DIMANCHE.2)),"",IF(TODAY&lt;&gt;"DIMANCHE","",IF(HOUR(TABLEAU!$I$80)&gt;0,CONCATENATE("DANS ",HOUR(TABLEAU!$I$80),"H",TABLEAU!$N$80),CONCATENATE("DANS ",HOUR(TABLEAU!$I$80),"H",TABLEAU!$N$80," MIN")))))," 0H"," ")))</f>
        <v/>
      </c>
      <c r="B80" s="1512" t="str">
        <f ca="1">SUBSTITUTE(SUBSTITUTE(SUBSTITUTE(IF(OR(TABLEAU!$C80,TABLEAU!$D80=""),"",SUBSTITUTE(SUBSTITUTE(SUBSTITUTE(SUBSTITUTE(SUBSTITUTE(SUBSTITUTE(SUBSTITUTE(SUBSTITUTE(SUBSTITUTE(SUBSTITUTE(SUBSTITUTE(SUBSTITUTE(SUBSTITUTE(SUBSTITUTE(SUBSTITUTE(SUBSTITUTE(SUBSTITUTE(SUBSTITUTE(SUBSTITUTE(SUBSTITUTE(SUBSTITUTE(SUBSTITUTE(SUBSTITUTE(SUBSTITUTE(IF(TABLEAU!$C80="","",SUBSTITUTE(IF(TABLEAU!$AE80="",TABLEAU!$U80,TABLEAU!$AE80),CONCATENATE(CVB,YEAR(A)," "),""))," #"," "),"] &amp; D","]# &amp; #D")," &amp; (A",CONCATENATE("# &amp; #",TABLEAU!$H80,"A")),"&amp; DEPASSE","&amp; #DEPASSE"),"## &amp; #A","# &amp; #(A"),"DANS MAINTENANT","MAINTENANT"),CONCATENATE(" H",TABLEAU!$N80),CONCATENATE(" ",TABLEAU!$N80," MIN"))," 0"," "),"] &amp;D","]# &amp; #D"),"}  MIN","} H"),"# &amp; D","# &amp; #D"),CONCATENATE("#MAINTENANT (A ",TABLEAU!$Z80,"): MAINTENANT"),"#MAINTENANT"),TABLEAU!$AB$2,""),TABLEAU!$AM$5,"")," MINAMILTON","HAMILTON"),CONCATENATE(TABLEAU!$Z80," ",TABLEAU!$Z80),TABLEAU!$Z80),"DEPUIS  MINIER","DEPUIS HIER"),"MINONGRIE","HONGRIE"),"#DANS (#DEPASSE","#DEPASSE"),CONCATENATE(" ",YEAR(A)),""),"]= [","= ["),")])",")]"),"#DEPASSE DEPUISDANS","#DANS"),"(A 1A ):",CONCATENATE("(A ",HOUR(TABLEAU!$D80),"H",TABLEAU!$F80,"):"))),"SUR "," SUR "),"  SUR "," SUR "),CONCATENATE("DEPASSE DEPUIS ",TABLEAU!$M80," (A DANS"),"DANS")</f>
        <v/>
      </c>
      <c r="C80" s="631"/>
      <c r="D80" s="632"/>
      <c r="E80" s="2667" t="str">
        <f>IF(TABLEAU!$D80="","",IF(TABLEAU!$D80="23:59","",HOUR(TABLEAU!$D80)))</f>
        <v/>
      </c>
      <c r="F80" s="2668" t="str">
        <f>IF(OR(TABLEAU!$D$80="",TABLEAU!$D$80="23:59"),"59",IF(MINUTE(TABLEAU!$D$80)&lt;10,CONCATENATE("0",MINUTE(TABLEAU!$D$80)),CONCATENATE(MINUTE(TABLEAU!$D$80))))</f>
        <v>59</v>
      </c>
      <c r="G80" s="597" t="str">
        <f ca="1">UPPER(SUBSTITUTE(SUBSTITUTE(SUBSTITUTE(IF(TABLEAU!$D$80="","",SUBSTITUTE(SUBSTITUTE(SUBSTITUTE(SUBSTITUTE(SUBSTITUTE(SUBSTITUTE(SUBSTITUTE(SUBSTITUTE(SUBSTITUTE(SUBSTITUTE(SUBSTITUTE(SUBSTITUTE(SUBSTITUTE(SUBSTITUTE(SUBSTITUTE(IF(OR(TABLEAU!$D$80="",TABLEAU!$C$80=""),"",IF(AND(TODAY="DIMANCHE",HOUR((H.M))&gt;HOUR(TABLEAU!$D$80),MINUTE((H.M))&gt;MINUTE(TABLEAU!$D$80)),CONCATENATE("#DEPASSE DEPUIS",TABLEAU!$M$80," ",TABLEAU!$C$80,"#"),IF(TABLEAU!$P$80&lt;&gt;"",CONCATENATE("#DEPASSE DEPUIS",TABLEAU!$M$80," ",TABLEAU!$C$80,"#"),IF(TODAY&lt;&gt;"DIMANCHE",CONCATENATE("#",DIMANCHE.DANS," (DIMANCHE ",DAY(DIMANCHE.DATE)," ",LOOKUP(MONTH(DIMANCHE.DATE),MOIS)," A ",HOUR(TABLEAU!$D$80),"H",TABLEAU!$F$80,"): ",TABLEAU!$C$80,"#"),CONCATENATE("#",TABLEAU!$L$80," (A ",TABLEAU!$Z$80,"): ",SUBSTITUTE(TABLEAU!$C$80,"#",""),"#"))))),CONCATENATE(LOOKUP(MONTH(DIMANCHE.DATE),MOIS)," (A"),CONCATENATE(LOOKUP(MONTH(DIMANCHE.DATE),MOIS)," A")),"##","#"),CONCATENATE("#DEPASSE DEPUIS  (A ): ",TABLEAU!$C$80,"#"),""),CONCATENATE("(A ",TABLEAU!$E$80,"H",TABLEAU!$X$80,"): "),""),CONCATENATE(TABLEAU!$L$80," DEPUIS"),"DEPASSE DEPUIS"),CONCATENATE("A ",HOUR(TABLEAU!$D$80),"H",TABLEAU!$F$80,"): (A ",HOUR(TABLEAU!$D$80),"H",TABLEAU!$F$80),CONCATENATE("A ",HOUR(TABLEAU!$D$80),"H",TABLEAU!$F$80)),"#DEPASSEDEPASSE","#DEPASSE"),"# (",CONCATENATE("#",TABLEAU!$H$80)),CONCATENATE("A ",SUBSTITUTE(TABLEAU!$M$33,":","H"),"): ~ (A ",SUBSTITUTE(TABLEAU!$M$33,":","H")),CONCATENATE("A ",SUBSTITUTE(TABLEAU!$M$33,":","H"))),CONCATENATE("#DEPASSE ",TABLEAU!$M$80,"#D"),"#D")," D"," #D"),"#DEPUIS","DEPUIS"),"COURS ","COURS# "),"#DE ","DE "),"GP #D","GP D")),"# &amp; #",CONCATENATE("# &amp; #DEPASSE DEPUIS",TABLEAU!$M$80," ")),"] &amp; (",CONCATENATE("]# &amp; DANS ",TABLEAU!$AH$80," ("))," 0"," "))</f>
        <v/>
      </c>
      <c r="H80" s="571" t="str">
        <f ca="1">SUBSTITUTE(IF(OR(DATE.RDV.TV&lt;&gt;"DIMANCHE",TABLEAU!$C$80=""),"",IF(HOUR(TABLEAU!$I$80)=0,CONCATENATE("DANS ",TABLEAU!$N$80," MIN ("),CONCATENATE("DANS ",HOUR(TABLEAU!$I$80),"H",TABLEAU!$N$80," ("))),"DANS  MIN (","")</f>
        <v/>
      </c>
      <c r="I80" s="313" t="str">
        <f ca="1">IF(OR(TODAY&lt;&gt;"DIMANCHE",TABLEAU!$C$80=""),"",IF(OR(TABLEAU!$D$80="",TABLEAU!$P$80="#DEPASSE#",TODAY&lt;&gt;"DIMANCHE"),0,IF(HOUR((H.M))&gt;HOUR(TABLEAU!$D$80),0,TABLEAU!$D$80-H.M)))</f>
        <v/>
      </c>
      <c r="J80" s="411" t="str">
        <f ca="1">SUBSTITUTE(SUBSTITUTE(SUBSTITUTE(IF(TABLEAU!$I$80="","",SUBSTITUTE(SUBSTITUTE(SUBSTITUTE(SUBSTITUTE(SUBSTITUTE(SUBSTITUTE(SUBSTITUTE(SUBSTITUTE(SUBSTITUTE(SUBSTITUTE(SUBSTITUTE(SUBSTITUTE(SUBSTITUTE(SUBSTITUTE(SUBSTITUTE(SUBSTITUTE(SUBSTITUTE(SUBSTITUTE(SUBSTITUTE(SUBSTITUTE(IF(DATE.DEPASSE&lt;0,TABLEAU!$U$80,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G80,"  "," "),CONCATENATE("(A ",TABLEAU!$Z$80,"): (A ",TABLEAU!$Z$80),CONCATENATE("(A ",TABLEAU!$Z$80)),CONCATENATE("#DEPASSE",TABLEAU!$M$80,"#DEPASSE",TABLEAU!$M$80),CONCATENATE("#DEPASSE",TABLEAU!$M$80)),CONCATENATE("#DEPASSE",TABLEAU!$L$80,"DEPASSE"),"#DEPASSE"),CONCATENATE(TABLEAU!$L$80," (A ",TABLEAU!$Z$80,"): DEPUIS"),"DEPASSE DEPUIS")," 1 "," 1ER "),"DEPASSE DEPUIS DEPASSE DEPUIS","DEPASSE DEPUIS"),CONCATENATE("DEPASSE ",TRIM(TABLEAU!$L$80)," DEPASSE ",TRIM(TABLEAU!$L$80)),CONCATENATE("DEPASSE ",TRIM(TABLEAU!$L$80))),"1ER MIN","1 MIN"),"1ER ERREUR","1 ERREUR"),CONCATENATE("(A ",TABLEAU!$Z$80,"): (A ",TABLEAU!$E$80,":",TABLEAU!$F$80),CONCATENATE("(A ",TABLEAU!$Z$80))," (A ):",""),"DEPASSE DEPUIS (",TABLEAU!$H$80),"] &amp; D","]# &amp; #D"),CONCATENATE("#DEPASSE",TABLEAU!$M$80,"DEPASSE"),"#DEPASSE")," [","): ["),"):):","):"),"DEPUIS ",TABLEAU!$L$80),CONCATENATE(SUBSTITUTE(TABLEAU!$M$80,"DEPUIS ",""))," "),"DEPUIS",CONCATENATE(TABLEAU!$M$80," (",DIMANCHE.VERIFIER," A ")),SUBSTITUTE(TABLEAU!$M$80,"DEPUIS","A"),""),"DEPASSE  ","DEPASSE"),"  A "," A"),"  "," "),TRIM(SUBSTITUTE(TABLEAU!$M$80," DEPUIS ","A ")),"EEE"),"EEE",CONCATENATE("A ",TABLEAU!$Z$80)),CONCATENATE("DEPASSE ",TABLEAU!$L$80,"HIER"),"DEPASSE DEPUIS HIER"),"DEPASSEDEPASSE","DEPASSE DEPUIS "),CONCATENATE(" A ",TABLEAU!$Z$59," (A ",TABLEAU!$Z$59),CONCATENATE(" A ",TABLEAU!$Z$59)),CONCATENATE("A ",TABLEAU!$Z$80," ",TABLEAU!$C$80),TABLEAU!$C$80),CONCATENATE(MOIS.MAINTENANT.2," (A"),CONCATENATE(MOIS.MAINTENANT.2," A")),"#DEPASSE #DEPASSEDEPUIS","#DEPASSE DEPUIS"),"A (A","A"),CONCATENATE(TABLEAU!$L$80," DEPASSE"),"DEPASSE"),"DEPASSE (",CONCATENATE("DEPASSE DEPUIS ",TABLEAU!$Q$80," (")),"''MIN","MIN"),"=):","]="),CONCATENATE("#DEPASSE ",TABLEAU!$Q$80),CONCATENATE("#DEPASSE DEPUIS ",TABLEAU!$Q$80)),"DEPASSE","DEPASSE DEPUIS"),"DEPUIS DEPUIS","DEPUIS")),"US A","USA"),CONCATENATE("DEPASSE DEPUIS ",TABLEAU!$Q$80,"DEPASSE DEPUIS ",TABLEAU!$Q$80),CONCATENATE("DEPASSE DEPUIS ",TABLEAU!$Q$80)),CONCATENATE("#DEPASSE DEPUIS ",TABLEAU!$Q$80," #DEPASSE DEPUIS ",TABLEAU!$Q$80),CONCATENATE("#DEPASSE DEPUIS ",TABLEAU!$Q$80)),"#DEPASSE DEPUIS #DEPASSE DEPUIS","#DEPASSE DEPUIS"),CONCATENATE("): ",DIMANCHE.DANS," (A ",TABLEAU!$E$80,"H",TABLEAU!$F$80),"")," &amp; D"," &amp; #D"),CONCATENATE(DIMANCHE.DANS," (DIMANCHE ",DAY(DIMANCHE.DATE)," ",LOOKUP(MONTH(DIMANCHE.DATE),MOIS)," A ",TABLEAU!$E$80,"H",TABLEAU!$F$80,"): DANS"),"DANS"),CONCATENATE(DIMANCHE.DANS," (DIMANCHE ",DAY(DIMANCHE.DATE)," ",LOOKUP(MONTH(DIMANCHE.DATE),MOIS)," A ",TABLEAU!$E$80,"H",TABLEAU!$F$80,"): ",DIMANCHE.DANS,"= ",TABLEAU!$AN$23,"(A ",TABLEAU!$E$80,"H",TABLEAU!$F$80),CONCATENATE(DIMANCHE.DANS,"= ",TABLEAU!$AN$23," (DIMANCHE ",DAY(DIMANCHE.DATE)," ",LOOKUP(MONTH(DIMANCHE.DATE),MOIS)," A ",TABLEAU!$E$80,"H",TABLEAU!$F$80)),CONCATENATE(DIMANCHE.DANS," (DIMANCHE ",DAY(DIMANCHE.DATE)," ",LOOKUP(MONTH(DIMANCHE.DATE),MOIS)," A ",TABLEAU!$E$80,"H",TABLEAU!$F$80,"): DANS"),"DANS"),"# (",CONCATENATE("#",TABLEAU!$H$80)),"DANS 0","DANS "),"# ~ ",CONCATENATE("#",FICHIER.A.MODIFIER," ~ ")),CONCATENATE("A ",SUBSTITUTE(TABLEAU!$M$33,":","H"),"): ~ (A ",SUBSTITUTE(TABLEAU!$M$33,":","H")),CONCATENATE("A ",SUBSTITUTE(TABLEAU!$M$33,":","H"))),CONCATENATE("(A ",TABLEAU!$Z$80,"): ~ (A"),"(A"),"DANS 0 MIN","MAINTENANT"),"DEPUIS(",CONCATENATE("DEPUIS ",TABLEAU!$M$80," (")),"DEPUIS DEPUIS  (A",CONCATENATE("DEPUIS ",TABLEAU!$M$80," (A")),"(A 1 ",CONCATENATE("(A ",TABLEAU!$E$80,":00")),"#A",CONCATENATE("#DANS ",HOUR(TABLEAU!$I$80),"H",TABLEAU!$N$80," (A")),"DEPUIS DEPUIS",CONCATENATE("DEPUIS ",TABLEAU!$M$80))),"]#D","]# &amp; #D"),"DEPUIS =",CONCATENATE("DEPUIS ",TABLEAU!$M$80)),"DANS  MAINTENANT","MAINTENANT")</f>
        <v/>
      </c>
      <c r="K80" s="314" t="str">
        <f ca="1">TRIM(SUBSTITUTE(SUBSTITUTE(SUBSTITUTE(SUBSTITUTE(SUBSTITUTE(SUBSTITUTE(SUBSTITUTE(SUBSTITUTE(SUBSTITUTE(TABLEAU!$O$80,CONCATENATE("): (",TABLEAU!$W$80),""),CONCATENATE("A ",TABLEAU!$E$80,"H",TABLEAU!$X$80,"): ("),""),"(SUR",CONCATENATE("(A ",TABLEAU!$E$80,"H",TABLEAU!$X$80," SUR"))," &amp; (",CONCATENATE(" &amp; ",TABLEAU!$L$80," (")),"AUJOURD'HUI",""),"##","#"),"1ER MIN","1 MIN"),CONCATENATE("DEPASSE ",TRIM(TABLEAU!$L$80)," DEPASSE"),"DEPASSE")," (A ):",""))</f>
        <v/>
      </c>
      <c r="L80" s="315" t="str">
        <f ca="1">UPPER(IF(TABLEAU!$P$80&lt;&gt;"","",IF(TABLEAU!$P$80="","",IF(TABLEAU!$AM$80&lt;&gt;"","#DEPASSE DEPUIS ",IF(TODAY&lt;&gt;"DIMANCHE","",IF(COUNTIF(ENCOURS,"#EN COURS#")&lt;&gt;0,"MAINTENANT",SUBSTITUTE(SUBSTITUTE(SUBSTITUTE(IF(OR(TABLEAU!$C$80="",TABLEAU!$D$80=""),"",IF(HOUR(TABLEAU!$I$80)=0,CONCATENATE("DANS ",TABLEAU!$N$80," MIN"),CONCATENATE("DANS ",HOUR(TABLEAU!$I$80),"H",TABLEAU!$N$80))),"DANS 0","DANS "),"DANS  MIN",TABLEAU!$M$80),"DANS 0 MIN","MAINTENANT")))))))</f>
        <v/>
      </c>
      <c r="M80" s="315" t="str">
        <f ca="1">IF(TODAY&lt;&gt;"DIMANCHE","",SUBSTITUTE(IF(TABLEAU!$D$80="","",IF(TABLEAU!$AF$80=" ","",IF(TABLEAU!$D$80-H.M&gt;0,"",IF(AND(HOUR(TABLEAU!$AF$80)&gt;0,MINUTE(TABLEAU!$AF$80)&lt;10),CONCATENATE(" ",HOUR(TABLEAU!$AF$80),"H0",MINUTE(TABLEAU!$AF$80)),IF(AND(HOUR(TABLEAU!$AF$80)&gt;0,MINUTE(TABLEAU!$AF$80)&gt;9),CONCATENATE(" ",HOUR(TABLEAU!$AF$80),"H",MINUTE(TABLEAU!$AF$80)),CONCATENATE(" 0",MINUTE(TABLEAU!$AF$80)," MIN"))))))," 0",""))</f>
        <v/>
      </c>
      <c r="N80" s="276" t="str">
        <f>IF(TABLEAU!$D$80="","",IF(OR(TABLEAU!$C$80="",TODAY&lt;&gt;"DIMANCHE"),"",IF(TABLEAU!$P$80="#DEPASSE#","",IF(HOUR((H.M))&gt;HOUR(TABLEAU!$D$80),"",IF(MINUTE(TABLEAU!$I$80)&lt;10,CONCATENATE("0",MINUTE(TABLEAU!$I$80)),MINUTE(TABLEAU!$I$80))))))</f>
        <v/>
      </c>
      <c r="O80" s="316" t="str">
        <f ca="1">UPPER(SUBSTITUTE(SUBSTITUTE(SUBSTITUTE(SUBSTITUTE(SUBSTITUTE(SUBSTITUTE(SUBSTITUTE(SUBSTITUTE(SUBSTITUTE(TABLEAU!$J$80,"DANS 0H","DANS "),"DANS 0","DANS "),CONCATENATE("(A ",TABLEAU!$E$80,"H",TABLEAU!$X$80,"): (",LOOKUP(WEEKDAY(DIMANCHE.DATE),SEMAINE)," ",DAY(DIMANCHE.DATE)," ",LOOKUP(MONTH(DIMANCHE.DATE),MOIS)," A 20H00): "),CONCATENATE(TABLEAU!$L$80," (A ",TABLEAU!$E$80,"H",TABLEAU!$X$80,")")),"DEPUIS 0","DEPUIS "),"&amp; A","&amp; (A"),CONCATENATE("(",NBA),""),"#DEPASSE DEPUIS (A","(A"),"DANS  MAINTENANT","MAINTENANT"),"] &amp; #","]# &amp; #"))</f>
        <v/>
      </c>
      <c r="P80" s="394" t="str">
        <f ca="1">IF(OR(TABLEAU!$D$80="",TODAY&lt;&gt;"DIMANCHE"),"",IF(AND(HOUR((H.M))=HOUR(TABLEAU!$D$80),MINUTE((H.M))&gt;MINUTE(TABLEAU!$D$80)),"#DEPASSE#",IF(HOUR((H.M))&gt;HOUR(TABLEAU!$D$80),"#DEPASSE#","")))</f>
        <v/>
      </c>
      <c r="Q80" s="315" t="str">
        <f ca="1">IF(OR(TABLEAU!$P$80="",TABLEAU!$S$80=""),"",IF(AND(HOUR(TABLEAU!$S$80)&gt;0,MINUTE(TABLEAU!$S$80)&lt;10),CONCATENATE(HOUR(TABLEAU!$S$80),"H0",MINUTE(TABLEAU!$S$80)),IF(AND(HOUR(TABLEAU!$S$80)=0,MINUTE(TABLEAU!$S$80)&lt;10),CONCATENATE(MINUTE(TABLEAU!$S$80)," MIN"),IF(AND(HOUR(TABLEAU!$S$80)&gt;0,MINUTE(TABLEAU!$S$80)&gt;9),CONCATENATE(HOUR(TABLEAU!$S$80),"H",MINUTE(TABLEAU!$S$80)),CONCATENATE(MINUTE(TABLEAU!$S$80)," MIN")))))</f>
        <v/>
      </c>
      <c r="R80" s="315" t="str">
        <f ca="1">UPPER(IF(OR(TABLEAU!$C$80="",TODAY&lt;&gt;"DIMANCHE"),"",IF(OR(TABLEAU!$D$80="",TABLEAU!$D$80="23:59",TABLEAU!$C$80=""),"",IF(AND(TODAY="DIMANCHE",HOUR(TABLEAU!$I$80)&lt;1,MINUTE(TABLEAU!$I$80)&lt;5,TABLEAU!$I$80&lt;&gt;"",TABLEAU!$I$80&lt;&gt;0),"BIENTOT",""))))</f>
        <v/>
      </c>
      <c r="S80" s="619" t="str">
        <f>IF(TABLEAU!$D$80="","",IF(TODAY&lt;&gt;"DIMANCHE","",IF((H.M)&gt;TABLEAU!$D$80,"",(H.M)-TABLEAU!$D$80)))</f>
        <v/>
      </c>
      <c r="T80" s="2395"/>
      <c r="U80" s="314" t="str">
        <f ca="1">UPPER(TRIM(SUBSTITUTE(SUBSTITUTE(SUBSTITUTE(SUBSTITUTE(SUBSTITUTE(SUBSTITUTE(SUBSTITUTE(SUBSTITUTE(SUBSTITUTE(SUBSTITUTE(SUBSTITUTE(SUBSTITUTE(SUBSTITUTE(SUBSTITUTE(SUBSTITUTE(SUBSTITUTE(SUBSTITUTE(SUBSTITUTE(IF(TABLEAU!$D$80="","",SUBSTITUTE(SUBSTITUTE(SUBSTITUTE(SUBSTITUTE(SUBSTITUTE(SUBSTITUTE(SUBSTITUTE(SUBSTITUTE(SUBSTITUTE(SUBSTITUTE(SUBSTITUTE(SUBSTITUTE(SUBSTITUTE(SUBSTITUTE(SUBSTITUTE(IF(OR(TABLEAU!$C$80="",TABLEAU!$D$80=""),"",IF(AND(TODAY="DIMANCHE",TABLEAU!$P$80&lt;&gt;""),CONCATENATE("#DEPASSE DEPUIS ",TABLEAU!$M$80," ",TABLEAU!$W$80,"#"),CONCATENATE("#",DIMANCHE.DANS," ",TABLEAU!$H$80,TABLEAU!$C$80,"#"))),": =",":"),CONCATENATE(NBA,"("),""),CONCATENATE(LOOKUP(MONTH(DIMANCHE.DATE),MOIS)," (A"),CONCATENATE(LOOKUP(MONTH(DIMANCHE.DATE),MOIS)," A")),"1ER MIN","1 MIN"),"((","("),"##","#"),"# ","#"),CONCATENATE("#",TABLEAU!$H$80,"DEPUIS"),"#DEPASSE DEPUIS"),"DEMAIN (",CONCATENATE("DEMAIN (DIMANCHE ",DAY(DIMANCHE.DATE)," ",LOOKUP(MONTH(DIMANCHE.DATE),MOIS)," ")),"JOURS (A ",CONCATENATE("JOURS (DIMANCHE ",DAY(DIMANCHE.DATE)," ",LOOKUP(MONTH(DIMANCHE.DATE),MOIS)," A ")),"(A","(DIMANCHE A"),"DANS 00 MIN","DANS "),"DANS 0","DANS "),"#&amp;","# &amp; "),"JOURS [",CONCATENATE("JOURS (",LOOKUP(WEEKDAY(DIMANCHE.DATE),SEMAINE)," ",DAY(DIMANCHE.DATE)," ",LOOKUP(MONTH(DIMANCHE.DATE),MOIS)," A ",HOUR(TABLEAU!$D$80),"H",TABLEAU!$F$80,"): ["))),CONCATENATE(DIMANCHE.DANS," ",DIMANCHE.DANS),CONCATENATE(" ",DIMANCHE.DANS)),"# ","#"),"#&amp; #","# &amp; #"),"US A","USA"),"(~ ("," ~ ("),"DIMANCHE A ","A "),CONCATENATE("#",TABLEAU!$H$80,TABLEAU!$W$80),TABLEAU!$W$80),"DEMAINDANS","DEMAIN DANS"),"''(","'' ("),CONCATENATE("#DANS ",TRIM(TABLEAU!$AH$80)," (#DEPASSE "),"#DEPASSE "),"]#D","]# &amp; #D"),"(MATCH","MATCH"),"COURS &amp; D","COURS# &amp; #D"),"#&amp; ","# &amp; #"),"# &amp; # ","# &amp; #"),CONCATENATE("#DEPASSE DEPUIS ",TABLEAU!$M$80," #"),"#"),"# &amp; ##","# &amp; #"),"DANS  (MAINTENANT","MAINTENANT")))</f>
        <v/>
      </c>
      <c r="V80" s="314" t="str">
        <f ca="1">UPPER(TRIM(SUBSTITUTE(SUBSTITUTE(IF(OR(TABLEAU!$C$80="",TABLEAU!$D$80="",DIMANCHE.DANS&lt;&gt;""),"",TABLEAU!$J$80),JOUR.PLUS,""),"DANS  MAINTENANT","MAINTENANT")))</f>
        <v/>
      </c>
      <c r="W80" s="352" t="str">
        <f>UPPER(IF(TABLEAU!$C$80=0,"",TABLEAU!$C$80))</f>
        <v/>
      </c>
      <c r="X80" s="821"/>
      <c r="Y80" s="315" t="str">
        <f ca="1">IF(OR(TODAY&lt;&gt;"DIMANCHE",TABLEAU!$C$80=""),"",IF(OR(TABLEAU!$C$80="",TABLEAU!$D$80=""),"",HOUR(TABLEAU!$D$80)))</f>
        <v/>
      </c>
      <c r="Z80" s="315" t="str">
        <f ca="1">IF(TABLEAU!$AM$80&lt;&gt;""," ",IF(OR(TODAY&lt;&gt;"DIMANCHE",TABLEAU!$C$80="",TABLEAU!$D$80="")," ",IF(MINUTE(TABLEAU!$D$80)&lt;10,CONCATENATE(HOUR(TABLEAU!$D$80),"H0",MINUTE(TABLEAU!$D$80)),IF(MINUTE(TABLEAU!$D$80)&gt;9,CONCATENATE(HOUR(TABLEAU!$D$80),"H",MINUTE(TABLEAU!$D$80))))))</f>
        <v xml:space="preserve"> </v>
      </c>
      <c r="AA80" s="361" t="str">
        <f ca="1">TRIM(SUBSTITUTE(SUBSTITUTE(SUBSTITUTE(SUBSTITUTE(IF(TABLEAU!$P$80="#DEPASSE#",TABLEAU!$AB$80,TABLEAU!$U$80),"# ","#"),"#&amp; #","# &amp; #"),"DANS (MAINTENANT","MAINTENANT"),SUBSTITUTE(SUBSTITUTE(CONCATENATE("#",TABLEAU!$H$80,"",TABLEAU!$H$80)," 0"," ")," 0"," "),SUBSTITUTE(TABLEAU!$H$80," 0"," ")))</f>
        <v/>
      </c>
      <c r="AB80" s="315" t="str">
        <f ca="1">UPPER(TRIM(SUBSTITUTE(SUBSTITUTE(SUBSTITUTE(SUBSTITUTE(SUBSTITUTE(SUBSTITUTE(TABLEAU!$K$80,CONCATENATE(LOOKUP(MONTH(A),MOIS)," (A"),CONCATENATE(LOOKUP(MONTH(A),MOIS)," A ")),CONCATENATE(LOOKUP(MONTH(A)+1,MOIS)," (A"),CONCATENATE(LOOKUP(MONTH(A)+1,MOIS)," A ")),CONCATENATE("(",YEAR(DIMANCHE.DATE)),""),"] &amp; DANS","]# &amp; #DANS"),"DANS MAINTENANT","MAINTENANT"),SUBSTITUTE(CONCATENATE("#",SUBSTITUTE(TABLEAU!$H$80,"(",""),"#",TABLEAU!$H$80)," 0"," "),SUBSTITUTE(TABLEAU!$H$80," 0"," "))))</f>
        <v/>
      </c>
      <c r="AC80" s="699" t="str">
        <f ca="1">IF(TABLEAU!$P$80="#DEPASSE#",CONCATENATE(TABLEAU!$AC$79," &amp; ",TABLEAU!$B$80),TABLEAU!$AC$79)</f>
        <v/>
      </c>
      <c r="AD80" s="1588"/>
      <c r="AE80" s="316" t="str">
        <f ca="1">UPPER(TRIM(SUBSTITUTE(SUBSTITUTE(SUBSTITUTE(SUBSTITUTE(SUBSTITUTE(SUBSTITUTE(SUBSTITUTE(SUBSTITUTE(SUBSTITUTE(SUBSTITUTE(SUBSTITUTE(SUBSTITUTE(SUBSTITUTE(SUBSTITUTE(SUBSTITUTE(SUBSTITUTE(SUBSTITUTE(SUBSTITUTE(SUBSTITUTE(SUBSTITUTE(SUBSTITUTE(SUBSTITUTE(SUBSTITUTE(SUBSTITUTE(IF(TABLEAU!$P$80="#DEPASSE#",TABLEAU!$J$80,IF(TABLEAU!$C$80="","",TRIM(SUBSTITUTE(SUBSTITUTE(SUBSTITUTE(SUBSTITUTE(SUBSTITUTE(SUBSTITUTE(SUBSTITUTE(IF(TABLEAU!$L$80="#DEPASSE DEPUIS ",MODIF,IF(TABLEAU!$I$80=SUBSTITUTE(DEPP,"#",""),DEPP,SUBSTITUTE(SUBSTITUTE(SUBSTITUTE(SUBSTITUTE(SUBSTITUTE(SUBSTITUTE(SUBSTITUTE(SUBSTITUTE(SUBSTITUTE(SUBSTITUTE(SUBSTITUTE(SUBSTITUTE(SUBSTITUTE(SUBSTITUTE(SUBSTITUTE(SUBSTITUTE(SUBSTITUTE(SUBSTITUTE(TABLEAU!$AB$80,CONCATENATE(TABLEAU!$K$80," A "),CONCATENATE(TABLEAU!$K$80," (A ")),"JANVIER (","JANVIER "),"FEVRIER (","FEVRIER "),"MARS (","MARS "),"AVRIL (","AVRIL "),"MAI (","MAI "),"JUIN (","JUIN "),"JUILLET (","JUILLET "),"AOUT (","AOUT "),"SEPTEMBRE (","SEPTEMBRE "),"OCTOBRE (","OCTOBRE "),"NOVEMBRE (","NOVEMBRE "),"DECEMBRE (","DECEMBRE "),CONCATENATE(" &amp; ",TABLEAU!$K$80," (")," &amp; "),CONCATENATE(" &amp;",TABLEAU!$L$80,"(")," &amp; ")," &amp; ("," &amp; "),CONCATENATE(TABLEAU!$K$80," (A ",TABLEAU!$AC$80,"): HIER"),"DEPASSE DEPUIS HIER")," &amp; A"," &amp; (A"))),"(A ",CONCATENATE("(",DATE.RDV.TV," A ")),"((","("),CONCATENATE(DATE.RDV.TV," ("),""),CONCATENATE(DATE.RDV.TV," A "),"A "),CONCATENATE(YEAR(A)," (A"),"A"),CONCATENATE(TABLEAU!$L$80," (DEPASSE"),"DEPASSE"),CONCATENATE("DEPASSE",TABLEAU!$L$80,"(",LOOKUP(WEEKDAY(DIMANCHE.DATE),SEMAINE)," ",DAY(DIMANCHE.DATE)," ",LOOKUP(MONTH(DIMANCHE.DATE),MOIS)," A"),"DEPASSE DEPUIS")))),"#&amp; ","# &amp; #"),"DANS (A","MAINTENANT (A"),"DANS (MATCH","DANS MATCH"),CONCATENATE("(DEMAIN= ",DIF.L1," ~ "),""),CONCATENATE("(DEMAIN= ",DIF.LDC," ~ "),""),CONCATENATE("(DEMAIN= ",DIF.UEFA," ~ "),""),CONCATENATE("(DEMAIN= ",DIF.FRANCE," ~ "),""),CONCATENATE("(DEMAIN= ",DIF.LIGUE," ~ "),""),CONCATENATE("(DEMAIN= ",DIF.GP," ~ "),""),CONCATENATE("(DEMAIN= ",DIF.MONDIAL," ~ "),""),CONCATENATE("(DEMAIN= ",DIF.EURO," ~ "),""),CONCATENATE("(DEMAIN= ",DIF.CONFEDERATIONS," ~ "),""),CONCATENATE(TABLEAU!$K$3," A"),"A"),"MARDI A","A"),"MERCREDI A","A"),"JEUDI A","A"),"VENDREDI A","A"),"SAMEDI A","A"),"DIMANCHE A","A"),"00H","0H"),"DEPUIS DEPUIS",CONCATENATE("DEPUIS ",TABLEAU!$M$80)),"] &amp;D","]# &amp; #D"),"A 2A",CONCATENATE("A ",TABLEAU!$Y80,"H",TABLEAU!$F$80))," )",")")))</f>
        <v/>
      </c>
      <c r="AF80" s="982" t="str">
        <f ca="1">IF(TODAY&lt;&gt;"DIMANCHE"," ",IF(TABLEAU!$D$80="","",H.M-TABLEAU!$D$80))</f>
        <v xml:space="preserve"> </v>
      </c>
      <c r="AG80" s="982" t="str">
        <f ca="1">IF(TABLEAU!$B$80="","",IF(TABLEAU!$I$80&lt;&gt;0,"",IF(TODAY&lt;&gt;"DIMANCHE","",IF(TABLEAU!$AF$80=" ","",IF(TABLEAU!$AF$80="","",IF(AND(HOUR(TABLEAU!$AF$80)&gt;0,MINUTE(TABLEAU!$AF$80)&lt;10),CONCATENATE(HOUR(TABLEAU!$AF$80),"H0",MINUTE(TABLEAU!$AF$80)),IF(AND(HOUR(TABLEAU!$AF$80)&gt;0,MINUTE(TABLEAU!$AF$80)&gt;9),CONCATENATE(HOUR(TABLEAU!$AF$80),"H",MINUTE(TABLEAU!$AF$80)),CONCATENATE(MINUTE(TABLEAU!$AF$80)," MIN"))))))))</f>
        <v/>
      </c>
      <c r="AH80" s="982" t="str">
        <f ca="1">IF(TABLEAU!$I$80="","",IF(MINUTE(TABLEAU!$I$80)&gt;9,CONCATENATE(HOUR(TABLEAU!$I$80),"H",MINUTE(TABLEAU!$I$80)),CONCATENATE(HOUR(TABLEAU!$I$80),"H0",MINUTE(TABLEAU!$I$80))))</f>
        <v/>
      </c>
      <c r="AI80" s="1664"/>
      <c r="AJ80" s="93" t="str">
        <f ca="1">IF(TABLEAU!$B$80="","",TABLEAU!$P$80)</f>
        <v/>
      </c>
      <c r="AK80" s="93" t="str">
        <f ca="1">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O$80,"DEPASSE","&amp;&amp;&amp;"),"A",""),"B",""),"C",""),"D",""),"E",""),"F",""),"G",""),"H",""),"I",""),"J",""),"K",""),"L",""),"M",""),"N",""),"O",""),"P",""),"Q",""),"R",""),"S",""),"T",""),"U",""),"V",""),"W",""),"X",""),"Y",""),"Z",""),"0",""),"1",""),"2",""),"3",""),"4",""),"5",""),"6",""),"7",""),"8",""),"9",""),":",""),"(",""),")",""),"[",""),"]","")," ",""))</f>
        <v/>
      </c>
      <c r="AL80" s="61" t="str">
        <f ca="1">UPPER(IF(DATE.RDV.TV&lt;&gt;"DIMANCHE","",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B$80,"DEPASSE ","¤¤"),"A",""),"B",""),"C",""),"D",""),"E",""),"F",""),"G",""),"H",""),"I",""),"J",""),"K",""),"L",""),"M",""),"N",""),"O",""),"P",""),"Q",""),"R",""),"S",""),"T",""),"U",""),"V",""),"W",""),"X",""),"Y",""),"Z",""),"1",""),"2",""),"3",""),"4",""),"5",""),"6",""),"7",""),"8",""),"9",""),"0",""),"-",""),"(",""),")",""),"{",""),"}",""),"=",""),"[",""),"]",""),"#",""),"+",""),":",""),"/",""),"'",""),".","")," &amp; ","")," ° ",""))))</f>
        <v/>
      </c>
      <c r="AM80" s="835" t="str">
        <f ca="1">UPPER(IF(DATE.RDV.TV&lt;&gt;"DIMANCHE","",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C$80,"CHAMPIONNAT","¤"),"LDC","¤¤"),"UEFA","¤¤¤"),"FRANCE","¤¤¤¤"),"LIGUE","¤¤¤¤¤"),"GP","¤¤¤¤¤¤"),"MONDIAL","¤¤¤¤¤¤¤"),"EURO","¤¤¤¤¤¤¤¤"),"CONFEDERATIONS","¤¤¤¤¤¤¤¤¤"),"A",""),"B",""),"C",""),"D",""),"E",""),"F",""),"G",""),"H",""),"I",""),"J",""),"K",""),"L",""),"M",""),"N",""),"O",""),"P",""),"Q",""),"R",""),"S",""),"T",""),"U",""),"V",""),"W",""),"X",""),"Y",""),"Z",""),"1",""),"2",""),"3",""),"4",""),"5",""),"6",""),"7",""),"8",""),"9",""),"0",""),"-",""),"(",""),")",""),"{",""),"}",""),"=",""),"[",""),"]",""),"#",""),"+",""),":",""),"/",""),"'",""),".","")," &amp; ","")," ° ",""),"~",""))))</f>
        <v/>
      </c>
      <c r="AN80" s="1579" t="str">
        <f ca="1">IF(TABLEAU!$B$80=TABLEAU!$B$79,"",IF(OR(TABLEAU!$A$80="#DEPASSE#",TABLEAU!$P$80="#DEPASSE#"),TABLEAU!$B$80,""))</f>
        <v/>
      </c>
      <c r="AO80" s="1580"/>
      <c r="AP80" s="1580"/>
      <c r="AQ80" s="1580"/>
      <c r="AR80" s="1580"/>
      <c r="AS80" s="1580"/>
      <c r="AT80" s="1580"/>
      <c r="AU80" s="1580"/>
      <c r="AV80" s="1580"/>
      <c r="AW80" s="1580"/>
      <c r="AX80" s="1581"/>
      <c r="AY80" s="1243">
        <f ca="1">IF(AND(TABLEAU!$C$80&lt;&gt;"",TABLEAU!$B$80=""),1,0)</f>
        <v>0</v>
      </c>
      <c r="AZ80" s="2576"/>
      <c r="BA80" s="2577"/>
    </row>
    <row r="81" spans="1:53" ht="12" customHeight="1">
      <c r="A81" s="1508" t="str">
        <f ca="1">IF(TABLEAU!$B$81="","",IF(OR(TABLEAU!$AL$81="¤¤",TABLEAU!$P$81&lt;&gt;""),"#DEPASSE#",SUBSTITUTE(IF(OR(DIMANCHE.3="",TABLEAU!$C$81=""),"",IF(AND(TODAY="DIMANCHE",HOUR((H.M))&gt;HOUR(DIMANCHE.3),MINUTE((H.M))&gt;MINUTE(DIMANCHE.3)),"",IF(TODAY&lt;&gt;"DIMANCHE","",IF(HOUR(TABLEAU!$I$81)&gt;0,CONCATENATE("DANS ",HOUR(TABLEAU!$I$81),"H",TABLEAU!$N$81),CONCATENATE("DANS ",HOUR(TABLEAU!$I$81),"H",TABLEAU!$N$81," MIN")))))," 0H"," ")))</f>
        <v/>
      </c>
      <c r="B81" s="1513" t="str">
        <f ca="1">SUBSTITUTE(SUBSTITUTE(SUBSTITUTE(IF(OR(TABLEAU!$C81,TABLEAU!$D81=""),"",SUBSTITUTE(SUBSTITUTE(SUBSTITUTE(SUBSTITUTE(SUBSTITUTE(SUBSTITUTE(SUBSTITUTE(SUBSTITUTE(SUBSTITUTE(SUBSTITUTE(SUBSTITUTE(SUBSTITUTE(SUBSTITUTE(SUBSTITUTE(SUBSTITUTE(SUBSTITUTE(SUBSTITUTE(SUBSTITUTE(SUBSTITUTE(SUBSTITUTE(SUBSTITUTE(SUBSTITUTE(SUBSTITUTE(SUBSTITUTE(IF(TABLEAU!$C81="","",SUBSTITUTE(IF(TABLEAU!$AE81="",TABLEAU!$U81,TABLEAU!$AE81),CONCATENATE(CVB,YEAR(A)," "),""))," #"," "),"] &amp; D","]# &amp; #D")," &amp; (A",CONCATENATE("# &amp; #",TABLEAU!$H81,"A")),"&amp; DEPASSE","&amp; #DEPASSE"),"## &amp; #A","# &amp; #(A"),"DANS MAINTENANT","MAINTENANT"),CONCATENATE(" H",TABLEAU!$N81),CONCATENATE(" ",TABLEAU!$N81," MIN"))," 0"," "),"] &amp;D","]# &amp; #D"),"}  MIN","} H"),"# &amp; D","# &amp; #D"),CONCATENATE("#MAINTENANT (A ",TABLEAU!$Z81,"): MAINTENANT"),"#MAINTENANT"),TABLEAU!$AB$2,""),TABLEAU!$AM$5,"")," MINAMILTON","HAMILTON"),CONCATENATE(TABLEAU!$Z81," ",TABLEAU!$Z81),TABLEAU!$Z81),"DEPUIS  MINIER","DEPUIS HIER"),"MINONGRIE","HONGRIE"),"#DANS (#DEPASSE","#DEPASSE"),CONCATENATE(" ",YEAR(A)),""),"]= [","= ["),")])",")]"),"#DEPASSE DEPUISDANS","#DANS"),"(A 1A ):",CONCATENATE("(A ",HOUR(TABLEAU!$D81),"H",TABLEAU!$F81,"):"))),"SUR "," SUR "),"  SUR "," SUR "),CONCATENATE("DEPASSE DEPUIS ",TABLEAU!$M81," (A DANS"),"DANS")</f>
        <v/>
      </c>
      <c r="C81" s="832"/>
      <c r="D81" s="833"/>
      <c r="E81" s="2669" t="str">
        <f>IF(TABLEAU!$D81="","",IF(TABLEAU!$D81="23:59","",HOUR(TABLEAU!$D81)))</f>
        <v/>
      </c>
      <c r="F81" s="2670" t="str">
        <f>IF(OR(TABLEAU!$D$81="",TABLEAU!$D$81="23:59"),"59",IF(MINUTE(TABLEAU!$D$81)&lt;10,CONCATENATE("0",MINUTE(TABLEAU!$D$81)),CONCATENATE(MINUTE(TABLEAU!$D$81))))</f>
        <v>59</v>
      </c>
      <c r="G81" s="598" t="str">
        <f ca="1">UPPER(SUBSTITUTE(SUBSTITUTE(SUBSTITUTE(IF(TABLEAU!$D$81="","",SUBSTITUTE(SUBSTITUTE(SUBSTITUTE(SUBSTITUTE(SUBSTITUTE(SUBSTITUTE(SUBSTITUTE(SUBSTITUTE(SUBSTITUTE(SUBSTITUTE(SUBSTITUTE(SUBSTITUTE(SUBSTITUTE(SUBSTITUTE(SUBSTITUTE(IF(OR(TABLEAU!$D$81="",TABLEAU!$C$81=""),"",IF(AND(TODAY="DIMANCHE",HOUR((H.M))&gt;HOUR(TABLEAU!$D$81),MINUTE((H.M))&gt;MINUTE(TABLEAU!$D$81)),CONCATENATE("#DEPASSE DEPUIS",TABLEAU!$M$81," ",TABLEAU!$C$81,"#"),IF(TABLEAU!$P$81&lt;&gt;"",CONCATENATE("#DEPASSE DEPUIS",TABLEAU!$M$81," ",TABLEAU!$C$81,"#"),IF(TODAY&lt;&gt;"DIMANCHE",CONCATENATE("#",DIMANCHE.DANS," (DIMANCHE ",DAY(DIMANCHE.DATE)," ",LOOKUP(MONTH(DIMANCHE.DATE),MOIS)," A ",HOUR(TABLEAU!$D$81),"H",TABLEAU!$F$81,"): ",TABLEAU!$C$81,"#"),CONCATENATE("#",TABLEAU!$L$81," (A ",TABLEAU!$Z$81,"): ",SUBSTITUTE(TABLEAU!$C$81,"#",""),"#"))))),CONCATENATE(LOOKUP(MONTH(DIMANCHE.DATE),MOIS)," (A"),CONCATENATE(LOOKUP(MONTH(DIMANCHE.DATE),MOIS)," A")),"##","#"),CONCATENATE("#DEPASSE DEPUIS  (A ): ",TABLEAU!$C$81,"#"),""),CONCATENATE("(A ",TABLEAU!$E$81,"H",TABLEAU!$X$81,"): "),""),CONCATENATE(TABLEAU!$L$81," DEPUIS"),"DEPASSE DEPUIS"),CONCATENATE("A ",HOUR(TABLEAU!$D$81),"H",TABLEAU!$F$81,"): (A ",HOUR(TABLEAU!$D$81),"H",TABLEAU!$F$81),CONCATENATE("A ",HOUR(TABLEAU!$D$81),"H",TABLEAU!$F$81)),"#DEPASSEDEPASSE","#DEPASSE"),"# (",CONCATENATE("#",TABLEAU!$H$81)),CONCATENATE("A ",SUBSTITUTE(TABLEAU!$M$33,":","H"),"): ~ (A ",SUBSTITUTE(TABLEAU!$M$33,":","H")),CONCATENATE("A ",SUBSTITUTE(TABLEAU!$M$33,":","H"))),CONCATENATE("#DEPASSE ",TABLEAU!$M$81,"#D"),"#D")," D"," #D"),"#DEPUIS","DEPUIS"),"COURS ","COURS# "),"#DE ","DE "),"GP #D","GP D")),"# &amp; #",CONCATENATE("# &amp; #DEPASSE DEPUIS",TABLEAU!$M$81," ")),"] &amp; (",CONCATENATE("]# &amp; DANS ",TABLEAU!$AH$81," ("))," 0"," "))</f>
        <v/>
      </c>
      <c r="H81" s="572" t="str">
        <f ca="1">SUBSTITUTE(IF(OR(DATE.RDV.TV&lt;&gt;"DIMANCHE",TABLEAU!$C$81=""),"",IF(HOUR(TABLEAU!$I$81)=0,CONCATENATE("DANS ",TABLEAU!$N$81," MIN ("),CONCATENATE("DANS ",HOUR(TABLEAU!$I$81),"H",TABLEAU!$N$81," ("))),"DANS  MIN (","")</f>
        <v/>
      </c>
      <c r="I81" s="343" t="str">
        <f ca="1">IF(OR(TODAY&lt;&gt;"DIMANCHE",TABLEAU!$C$81=""),"",IF(OR(TABLEAU!$D$81="",TABLEAU!$P$81="#DEPASSE#",TODAY&lt;&gt;"DIMANCHE"),0,IF(HOUR((H.M))&gt;HOUR(TABLEAU!$D$81),0,TABLEAU!$D$81-H.M)))</f>
        <v/>
      </c>
      <c r="J81" s="613" t="str">
        <f ca="1">SUBSTITUTE(SUBSTITUTE(SUBSTITUTE(IF(TABLEAU!$I$81="","",SUBSTITUTE(SUBSTITUTE(SUBSTITUTE(SUBSTITUTE(SUBSTITUTE(SUBSTITUTE(SUBSTITUTE(SUBSTITUTE(SUBSTITUTE(SUBSTITUTE(SUBSTITUTE(SUBSTITUTE(SUBSTITUTE(SUBSTITUTE(SUBSTITUTE(SUBSTITUTE(SUBSTITUTE(SUBSTITUTE(SUBSTITUTE(SUBSTITUTE(IF(DATE.DEPASSE&lt;0,TABLEAU!$U$81,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G81,"  "," "),CONCATENATE("(A ",TABLEAU!$Z$81,"): (A ",TABLEAU!$Z$81),CONCATENATE("(A ",TABLEAU!$Z$81)),CONCATENATE("#DEPASSE",TABLEAU!$M$81,"#DEPASSE",TABLEAU!$M$81),CONCATENATE("#DEPASSE",TABLEAU!$M$81)),CONCATENATE("#DEPASSE",TABLEAU!$L$81,"DEPASSE"),"#DEPASSE"),CONCATENATE(TABLEAU!$L$81," (A ",TABLEAU!$Z$81,"): DEPUIS"),"DEPASSE DEPUIS")," 1 "," 1ER "),"DEPASSE DEPUIS DEPASSE DEPUIS","DEPASSE DEPUIS"),CONCATENATE("DEPASSE ",TRIM(TABLEAU!$L$81)," DEPASSE ",TRIM(TABLEAU!$L$81)),CONCATENATE("DEPASSE ",TRIM(TABLEAU!$L$81))),"1ER MIN","1 MIN"),"1ER ERREUR","1 ERREUR"),CONCATENATE("(A ",TABLEAU!$Z$81,"): (A ",TABLEAU!$E$81,":",TABLEAU!$F$81),CONCATENATE("(A ",TABLEAU!$Z$81))," (A ):",""),"DEPASSE DEPUIS (",TABLEAU!$H$81),"] &amp; D","]# &amp; #D"),CONCATENATE("#DEPASSE",TABLEAU!$M$81,"DEPASSE"),"#DEPASSE")," [","): ["),"):):","):"),"DEPUIS ",TABLEAU!$L$81),CONCATENATE(SUBSTITUTE(TABLEAU!$M$81,"DEPUIS ",""))," "),"DEPUIS",CONCATENATE(TABLEAU!$M$81," (",DIMANCHE.VERIFIER," A ")),SUBSTITUTE(TABLEAU!$M$81,"DEPUIS","A"),""),"DEPASSE  ","DEPASSE"),"  A "," A"),"  "," "),TRIM(SUBSTITUTE(TABLEAU!$M$81," DEPUIS ","A ")),"EEE"),"EEE",CONCATENATE("A ",TABLEAU!$Z$81)),CONCATENATE("DEPASSE ",TABLEAU!$L$81,"HIER"),"DEPASSE DEPUIS HIER"),"DEPASSEDEPASSE","DEPASSE DEPUIS "),CONCATENATE(" A ",TABLEAU!$Z$59," (A ",TABLEAU!$Z$59),CONCATENATE(" A ",TABLEAU!$Z$59)),CONCATENATE("A ",TABLEAU!$Z$81," ",TABLEAU!$C$81),TABLEAU!$C$81),CONCATENATE(MOIS.MAINTENANT.2," (A"),CONCATENATE(MOIS.MAINTENANT.2," A")),"#DEPASSE #DEPASSEDEPUIS","#DEPASSE DEPUIS"),"A (A","A"),CONCATENATE(TABLEAU!$L$81," DEPASSE"),"DEPASSE"),"DEPASSE (",CONCATENATE("DEPASSE DEPUIS ",TABLEAU!$Q$81," (")),"''MIN","MIN"),"=):","]="),CONCATENATE("#DEPASSE ",TABLEAU!$Q$81),CONCATENATE("#DEPASSE DEPUIS ",TABLEAU!$Q$81)),"DEPASSE","DEPASSE DEPUIS"),"DEPUIS DEPUIS","DEPUIS")),"US A","USA"),CONCATENATE("DEPASSE DEPUIS ",TABLEAU!$Q$81,"DEPASSE DEPUIS ",TABLEAU!$Q$81),CONCATENATE("DEPASSE DEPUIS ",TABLEAU!$Q$81)),CONCATENATE("#DEPASSE DEPUIS ",TABLEAU!$Q$81," #DEPASSE DEPUIS ",TABLEAU!$Q$81),CONCATENATE("#DEPASSE DEPUIS ",TABLEAU!$Q$81)),"#DEPASSE DEPUIS #DEPASSE DEPUIS","#DEPASSE DEPUIS"),CONCATENATE("): ",DIMANCHE.DANS," (A ",TABLEAU!$E$81,"H",TABLEAU!$F$81),"")," &amp; D"," &amp; #D"),CONCATENATE(DIMANCHE.DANS," (DIMANCHE ",DAY(DIMANCHE.DATE)," ",LOOKUP(MONTH(DIMANCHE.DATE),MOIS)," A ",TABLEAU!$E$81,"H",TABLEAU!$F$81,"): DANS"),"DANS"),CONCATENATE(DIMANCHE.DANS," (DIMANCHE ",DAY(DIMANCHE.DATE)," ",LOOKUP(MONTH(DIMANCHE.DATE),MOIS)," A ",TABLEAU!$E$81,"H",TABLEAU!$F$81,"): ",DIMANCHE.DANS,"= ",TABLEAU!$AN$23,"(A ",TABLEAU!$E$81,"H",TABLEAU!$F$81),CONCATENATE(DIMANCHE.DANS,"= ",TABLEAU!$AN$23," (DIMANCHE ",DAY(DIMANCHE.DATE)," ",LOOKUP(MONTH(DIMANCHE.DATE),MOIS)," A ",TABLEAU!$E$81,"H",TABLEAU!$F$81)),CONCATENATE(DIMANCHE.DANS," (DIMANCHE ",DAY(DIMANCHE.DATE)," ",LOOKUP(MONTH(DIMANCHE.DATE),MOIS)," A ",TABLEAU!$E$81,"H",TABLEAU!$F$81,"): DANS"),"DANS"),"# (",CONCATENATE("#",TABLEAU!$H$81)),"DANS 0","DANS "),"# ~ ",CONCATENATE("#",FICHIER.A.MODIFIER," ~ ")),CONCATENATE("A ",SUBSTITUTE(TABLEAU!$M$33,":","H"),"): ~ (A ",SUBSTITUTE(TABLEAU!$M$33,":","H")),CONCATENATE("A ",SUBSTITUTE(TABLEAU!$M$33,":","H"))),CONCATENATE("(A ",TABLEAU!$Z$81,"): ~ (A"),"(A"),"DANS 0 MIN","MAINTENANT"),"DEPUIS(",CONCATENATE("DEPUIS ",TABLEAU!$M$81," (")),"DEPUIS DEPUIS  (A",CONCATENATE("DEPUIS ",TABLEAU!$M$81," (A")),"(A 1 ",CONCATENATE("(A ",TABLEAU!$E$81,":00")),"#A",CONCATENATE("#DANS ",HOUR(TABLEAU!$I$81),"H",TABLEAU!$N$81," (A")),"DEPUIS DEPUIS",CONCATENATE("DEPUIS ",TABLEAU!$M$81))),"]#D","]# &amp; #D"),"DEPUIS =",CONCATENATE("DEPUIS ",TABLEAU!$M$81)),"DANS  MAINTENANT","MAINTENANT")</f>
        <v/>
      </c>
      <c r="K81" s="202" t="str">
        <f ca="1">TRIM(SUBSTITUTE(SUBSTITUTE(SUBSTITUTE(SUBSTITUTE(SUBSTITUTE(SUBSTITUTE(SUBSTITUTE(SUBSTITUTE(SUBSTITUTE(TABLEAU!$O$81,CONCATENATE("): (",TABLEAU!$W$81),""),CONCATENATE("A ",TABLEAU!$E$81,"H",TABLEAU!$X$81,"): ("),""),"(SUR",CONCATENATE("(A ",TABLEAU!$E$81,"H",TABLEAU!$X$81," SUR"))," &amp; (",CONCATENATE(" &amp; ",TABLEAU!$L$81," (")),"AUJOURD'HUI",""),"##","#"),"1ER MIN","1 MIN"),CONCATENATE("DEPASSE ",TRIM(TABLEAU!$L$81)," DEPASSE"),"DEPASSE")," (A ):",""))</f>
        <v/>
      </c>
      <c r="L81" s="215" t="str">
        <f ca="1">UPPER(IF(TABLEAU!$P$81&lt;&gt;"","",IF(TABLEAU!$P$81="","",IF(TABLEAU!$AM$81&lt;&gt;"","#DEPASSE DEPUIS ",IF(TODAY&lt;&gt;"DIMANCHE","",IF(COUNTIF(ENCOURS,"#EN COURS#")&lt;&gt;0,"MAINTENANT",SUBSTITUTE(SUBSTITUTE(SUBSTITUTE(IF(OR(TABLEAU!$C$81="",TABLEAU!$D$81=""),"",IF(HOUR(TABLEAU!$I$81)=0,CONCATENATE("DANS ",TABLEAU!$N$81," MIN"),CONCATENATE("DANS ",HOUR(TABLEAU!$I$81),"H",TABLEAU!$N$81))),"DANS 0","DANS "),"DANS  MIN",TABLEAU!$M$81),"DANS 0 MIN","MAINTENANT")))))))</f>
        <v/>
      </c>
      <c r="M81" s="215" t="str">
        <f ca="1">IF(TODAY&lt;&gt;"DIMANCHE","",SUBSTITUTE(IF(TABLEAU!$D$81="","",IF(TABLEAU!$AF$81=" ","",IF(TABLEAU!$D$81-H.M&gt;0,"",IF(AND(HOUR(TABLEAU!$AF$81)&gt;0,MINUTE(TABLEAU!$AF$81)&lt;10),CONCATENATE(" ",HOUR(TABLEAU!$AF$81),"H0",MINUTE(TABLEAU!$AF$81)),IF(AND(HOUR(TABLEAU!$AF$81)&gt;0,MINUTE(TABLEAU!$AF$81)&gt;9),CONCATENATE(" ",HOUR(TABLEAU!$AF$81),"H",MINUTE(TABLEAU!$AF$81)),CONCATENATE(" 0",MINUTE(TABLEAU!$AF$81)," MIN"))))))," 0",""))</f>
        <v/>
      </c>
      <c r="N81" s="270" t="str">
        <f>IF(TABLEAU!$D$81="","",IF(OR(TABLEAU!$C$81="",TODAY&lt;&gt;"DIMANCHE"),"",IF(TABLEAU!$P$81="#DEPASSE#","",IF(HOUR((H.M))&gt;HOUR(TABLEAU!$D$81),"",IF(MINUTE(TABLEAU!$I$81)&lt;10,CONCATENATE("0",MINUTE(TABLEAU!$I$81)),MINUTE(TABLEAU!$I$81))))))</f>
        <v/>
      </c>
      <c r="O81" s="203" t="str">
        <f ca="1">UPPER(SUBSTITUTE(SUBSTITUTE(SUBSTITUTE(SUBSTITUTE(SUBSTITUTE(SUBSTITUTE(SUBSTITUTE(SUBSTITUTE(SUBSTITUTE(TABLEAU!$J$81,"DANS 0H","DANS "),"DANS 0","DANS "),CONCATENATE("(A ",TABLEAU!$E$81,"H",TABLEAU!$X$81,"): (",LOOKUP(WEEKDAY(DIMANCHE.DATE),SEMAINE)," ",DAY(DIMANCHE.DATE)," ",LOOKUP(MONTH(DIMANCHE.DATE),MOIS)," A 20H00): "),CONCATENATE(TABLEAU!$L$81," (A ",TABLEAU!$E$81,"H",TABLEAU!$X$81,")")),"DEPUIS 0","DEPUIS "),"&amp; A","&amp; (A"),CONCATENATE("(",NBA),""),"#DEPASSE DEPUIS (A","(A"),"DANS  MAINTENANT","MAINTENANT"),"] &amp; #","]# &amp; #"))</f>
        <v/>
      </c>
      <c r="P81" s="214" t="str">
        <f ca="1">IF(OR(TABLEAU!$D$81="",TODAY&lt;&gt;"DIMANCHE"),"",IF(AND(HOUR((H.M))=HOUR(TABLEAU!$D$81),MINUTE((H.M))&gt;MINUTE(TABLEAU!$D$81)),"#DEPASSE#",IF(HOUR((H.M))&gt;HOUR(TABLEAU!$D$81),"#DEPASSE#","")))</f>
        <v/>
      </c>
      <c r="Q81" s="215" t="str">
        <f ca="1">IF(OR(TABLEAU!$P$81="",TABLEAU!$S$81=""),"",IF(AND(HOUR(TABLEAU!$S$81)&gt;0,MINUTE(TABLEAU!$S$81)&lt;10),CONCATENATE(HOUR(TABLEAU!$S$81),"H0",MINUTE(TABLEAU!$S$81)),IF(AND(HOUR(TABLEAU!$S$81)=0,MINUTE(TABLEAU!$S$81)&lt;10),CONCATENATE(MINUTE(TABLEAU!$S$81)," MIN"),IF(AND(HOUR(TABLEAU!$S$81)&gt;0,MINUTE(TABLEAU!$S$81)&gt;9),CONCATENATE(HOUR(TABLEAU!$S$81),"H",MINUTE(TABLEAU!$S$81)),CONCATENATE(MINUTE(TABLEAU!$S$81)," MIN")))))</f>
        <v/>
      </c>
      <c r="R81" s="215" t="str">
        <f ca="1">UPPER(IF(OR(TABLEAU!$C$81="",TODAY&lt;&gt;"DIMANCHE"),"",IF(OR(TABLEAU!$D$81="",TABLEAU!$D$81="23:59",TABLEAU!$C$81=""),"",IF(AND(TODAY="DIMANCHE",HOUR(TABLEAU!$I$81)&lt;1,MINUTE(TABLEAU!$I$81)&lt;5,TABLEAU!$I$81&lt;&gt;"",TABLEAU!$I$81&lt;&gt;0),"BIENTOT",""))))</f>
        <v/>
      </c>
      <c r="S81" s="618" t="str">
        <f>IF(TABLEAU!$D$81="","",IF(TODAY&lt;&gt;"DIMANCHE","",IF((H.M)&gt;TABLEAU!$D$81,"",(H.M)-TABLEAU!$D$81)))</f>
        <v/>
      </c>
      <c r="T81" s="2272" t="str">
        <f ca="1">UPPER(IF(TODAY="JEUDI","DANS 3 JOURS",IF(TODAY="VENDREDI","DANS 2 JOURS",IF(TODAY="SAMEDI","DEMAIN",IF(TODAY="DIMANCHE","",IF(TODAY=TABLEAU!$K$3,"DANS 6 JOURS",IF(TODAY="MARDI","DANS 5 JOURS",IF(TODAY="MERCREDI","DANS 4 JOURS"))))))))</f>
        <v>DEMAIN</v>
      </c>
      <c r="U81" s="202" t="str">
        <f ca="1">UPPER(TRIM(SUBSTITUTE(SUBSTITUTE(SUBSTITUTE(SUBSTITUTE(SUBSTITUTE(SUBSTITUTE(SUBSTITUTE(SUBSTITUTE(SUBSTITUTE(SUBSTITUTE(SUBSTITUTE(SUBSTITUTE(SUBSTITUTE(SUBSTITUTE(SUBSTITUTE(SUBSTITUTE(SUBSTITUTE(SUBSTITUTE(IF(TABLEAU!$D$81="","",SUBSTITUTE(SUBSTITUTE(SUBSTITUTE(SUBSTITUTE(SUBSTITUTE(SUBSTITUTE(SUBSTITUTE(SUBSTITUTE(SUBSTITUTE(SUBSTITUTE(SUBSTITUTE(SUBSTITUTE(SUBSTITUTE(SUBSTITUTE(SUBSTITUTE(IF(OR(TABLEAU!$C$81="",TABLEAU!$D$81=""),"",IF(AND(TODAY="DIMANCHE",TABLEAU!$P$81&lt;&gt;""),CONCATENATE("#DEPASSE DEPUIS ",TABLEAU!$M$81," ",TABLEAU!$W$81,"#"),CONCATENATE("#",DIMANCHE.DANS," ",TABLEAU!$H$81,TABLEAU!$C$81,"#"))),": =",":"),CONCATENATE(NBA,"("),""),CONCATENATE(LOOKUP(MONTH(DIMANCHE.DATE),MOIS)," (A"),CONCATENATE(LOOKUP(MONTH(DIMANCHE.DATE),MOIS)," A")),"1ER MIN","1 MIN"),"((","("),"##","#"),"# ","#"),CONCATENATE("#",TABLEAU!$H$81,"DEPUIS"),"#DEPASSE DEPUIS"),"DEMAIN (",CONCATENATE("DEMAIN (DIMANCHE ",DAY(DIMANCHE.DATE)," ",LOOKUP(MONTH(DIMANCHE.DATE),MOIS)," ")),"JOURS (A ",CONCATENATE("JOURS (DIMANCHE ",DAY(DIMANCHE.DATE)," ",LOOKUP(MONTH(DIMANCHE.DATE),MOIS)," A ")),"(A","(DIMANCHE A"),"DANS 00 MIN","DANS "),"DANS 0","DANS "),"#&amp;","# &amp; "),"JOURS [",CONCATENATE("JOURS (",LOOKUP(WEEKDAY(DIMANCHE.DATE),SEMAINE)," ",DAY(DIMANCHE.DATE)," ",LOOKUP(MONTH(DIMANCHE.DATE),MOIS)," A ",HOUR(TABLEAU!$D$81),"H",TABLEAU!$F$81,"): ["))),CONCATENATE(DIMANCHE.DANS," ",DIMANCHE.DANS),CONCATENATE(" ",DIMANCHE.DANS)),"# ","#"),"#&amp; #","# &amp; #"),"US A","USA"),"(~ ("," ~ ("),"DIMANCHE A ","A "),CONCATENATE("#",TABLEAU!$H$81,TABLEAU!$W$81),TABLEAU!$W$81),"DEMAINDANS","DEMAIN DANS"),"''(","'' ("),CONCATENATE("#DANS ",TRIM(TABLEAU!$AH$81)," (#DEPASSE "),"#DEPASSE "),"]#D","]# &amp; #D"),"(MATCH","MATCH"),"COURS &amp; D","COURS# &amp; #D"),"#&amp; ","# &amp; #"),"# &amp; # ","# &amp; #"),CONCATENATE("#DEPASSE DEPUIS ",TABLEAU!$M$81," #"),"#"),"# &amp; ##","# &amp; #"),"DANS  (MAINTENANT","MAINTENANT")))</f>
        <v/>
      </c>
      <c r="V81" s="202" t="str">
        <f ca="1">UPPER(TRIM(SUBSTITUTE(SUBSTITUTE(IF(OR(TABLEAU!$C$81="",TABLEAU!$D$81="",DIMANCHE.DANS&lt;&gt;""),"",TABLEAU!$J$81),JOUR.PLUS,""),"DANS  MAINTENANT","MAINTENANT")))</f>
        <v/>
      </c>
      <c r="W81" s="217" t="str">
        <f>UPPER(IF(TABLEAU!$C$81=0,"",TABLEAU!$C$81))</f>
        <v/>
      </c>
      <c r="X81" s="821"/>
      <c r="Y81" s="215" t="str">
        <f ca="1">IF(OR(TODAY&lt;&gt;"DIMANCHE",TABLEAU!$C$81=""),"",IF(OR(TABLEAU!$C$81="",TABLEAU!$D$81=""),"",HOUR(TABLEAU!$D$81)))</f>
        <v/>
      </c>
      <c r="Z81" s="215" t="str">
        <f ca="1">IF(TABLEAU!$AM$81&lt;&gt;""," ",IF(OR(TODAY&lt;&gt;"DIMANCHE",TABLEAU!$C$81="",TABLEAU!$D$81="")," ",IF(MINUTE(TABLEAU!$D$81)&lt;10,CONCATENATE(HOUR(TABLEAU!$D$81),"H0",MINUTE(TABLEAU!$D$81)),IF(MINUTE(TABLEAU!$D$81)&gt;9,CONCATENATE(HOUR(TABLEAU!$D$81),"H",MINUTE(TABLEAU!$D$81))))))</f>
        <v xml:space="preserve"> </v>
      </c>
      <c r="AA81" s="249" t="str">
        <f ca="1">TRIM(SUBSTITUTE(SUBSTITUTE(SUBSTITUTE(SUBSTITUTE(IF(TABLEAU!$P$81="#DEPASSE#",TABLEAU!$AB$81,TABLEAU!$U$81),"# ","#"),"#&amp; #","# &amp; #"),"DANS (MAINTENANT","MAINTENANT"),SUBSTITUTE(SUBSTITUTE(CONCATENATE("#",TABLEAU!$H$81,"",TABLEAU!$H$81)," 0"," ")," 0"," "),SUBSTITUTE(TABLEAU!$H$81," 0"," ")))</f>
        <v/>
      </c>
      <c r="AB81" s="215" t="str">
        <f ca="1">UPPER(TRIM(SUBSTITUTE(SUBSTITUTE(SUBSTITUTE(SUBSTITUTE(SUBSTITUTE(SUBSTITUTE(TABLEAU!$K$81,CONCATENATE(LOOKUP(MONTH(A),MOIS)," (A"),CONCATENATE(LOOKUP(MONTH(A),MOIS)," A ")),CONCATENATE(LOOKUP(MONTH(A)+1,MOIS)," (A"),CONCATENATE(LOOKUP(MONTH(A)+1,MOIS)," A ")),CONCATENATE("(",YEAR(DIMANCHE.DATE)),""),"] &amp; DANS","]# &amp; #DANS"),"DANS MAINTENANT","MAINTENANT"),SUBSTITUTE(CONCATENATE("#",SUBSTITUTE(TABLEAU!$H$81,"(",""),"#",TABLEAU!$H$81)," 0"," "),SUBSTITUTE(TABLEAU!$H$81," 0"," "))))</f>
        <v/>
      </c>
      <c r="AC81" s="700" t="str">
        <f ca="1">IF(TABLEAU!$P$81="#DEPASSE#",CONCATENATE(TABLEAU!$AC$80," &amp; ",TABLEAU!$B$81),TABLEAU!$AC$80)</f>
        <v/>
      </c>
      <c r="AD81" s="1588"/>
      <c r="AE81" s="203" t="str">
        <f ca="1">UPPER(TRIM(SUBSTITUTE(SUBSTITUTE(SUBSTITUTE(SUBSTITUTE(SUBSTITUTE(SUBSTITUTE(SUBSTITUTE(SUBSTITUTE(SUBSTITUTE(SUBSTITUTE(SUBSTITUTE(SUBSTITUTE(SUBSTITUTE(SUBSTITUTE(SUBSTITUTE(SUBSTITUTE(SUBSTITUTE(SUBSTITUTE(SUBSTITUTE(SUBSTITUTE(SUBSTITUTE(SUBSTITUTE(SUBSTITUTE(SUBSTITUTE(IF(TABLEAU!$P$81="#DEPASSE#",TABLEAU!$J$81,IF(TABLEAU!$C$81="","",TRIM(SUBSTITUTE(SUBSTITUTE(SUBSTITUTE(SUBSTITUTE(SUBSTITUTE(SUBSTITUTE(SUBSTITUTE(IF(TABLEAU!$L$81="#DEPASSE DEPUIS ",MODIF,IF(TABLEAU!$I$81=SUBSTITUTE(DEPP,"#",""),DEPP,SUBSTITUTE(SUBSTITUTE(SUBSTITUTE(SUBSTITUTE(SUBSTITUTE(SUBSTITUTE(SUBSTITUTE(SUBSTITUTE(SUBSTITUTE(SUBSTITUTE(SUBSTITUTE(SUBSTITUTE(SUBSTITUTE(SUBSTITUTE(SUBSTITUTE(SUBSTITUTE(SUBSTITUTE(SUBSTITUTE(TABLEAU!$AB$81,CONCATENATE(TABLEAU!$K$81," A "),CONCATENATE(TABLEAU!$K$81," (A ")),"JANVIER (","JANVIER "),"FEVRIER (","FEVRIER "),"MARS (","MARS "),"AVRIL (","AVRIL "),"MAI (","MAI "),"JUIN (","JUIN "),"JUILLET (","JUILLET "),"AOUT (","AOUT "),"SEPTEMBRE (","SEPTEMBRE "),"OCTOBRE (","OCTOBRE "),"NOVEMBRE (","NOVEMBRE "),"DECEMBRE (","DECEMBRE "),CONCATENATE(" &amp; ",TABLEAU!$K$81," (")," &amp; "),CONCATENATE(" &amp;",TABLEAU!$L$81,"(")," &amp; ")," &amp; ("," &amp; "),CONCATENATE(TABLEAU!$K$81," (A ",TABLEAU!$AC$81,"): HIER"),"DEPASSE DEPUIS HIER")," &amp; A"," &amp; (A"))),"(A ",CONCATENATE("(",DATE.RDV.TV," A ")),"((","("),CONCATENATE(DATE.RDV.TV," ("),""),CONCATENATE(DATE.RDV.TV," A "),"A "),CONCATENATE(YEAR(A)," (A"),"A"),CONCATENATE(TABLEAU!$L$81," (DEPASSE"),"DEPASSE"),CONCATENATE("DEPASSE",TABLEAU!$L$81,"(",LOOKUP(WEEKDAY(DIMANCHE.DATE),SEMAINE)," ",DAY(DIMANCHE.DATE)," ",LOOKUP(MONTH(DIMANCHE.DATE),MOIS)," A"),"DEPASSE DEPUIS")))),"#&amp; ","# &amp; #"),"DANS (A","MAINTENANT (A"),"DANS (MATCH","DANS MATCH"),CONCATENATE("(DEMAIN= ",DIF.L1," ~ "),""),CONCATENATE("(DEMAIN= ",DIF.LDC," ~ "),""),CONCATENATE("(DEMAIN= ",DIF.UEFA," ~ "),""),CONCATENATE("(DEMAIN= ",DIF.FRANCE," ~ "),""),CONCATENATE("(DEMAIN= ",DIF.LIGUE," ~ "),""),CONCATENATE("(DEMAIN= ",DIF.GP," ~ "),""),CONCATENATE("(DEMAIN= ",DIF.MONDIAL," ~ "),""),CONCATENATE("(DEMAIN= ",DIF.EURO," ~ "),""),CONCATENATE("(DEMAIN= ",DIF.CONFEDERATIONS," ~ "),""),CONCATENATE(TABLEAU!$K$3," A"),"A"),"MARDI A","A"),"MERCREDI A","A"),"JEUDI A","A"),"VENDREDI A","A"),"SAMEDI A","A"),"DIMANCHE A","A"),"00H","0H"),"DEPUIS DEPUIS",CONCATENATE("DEPUIS ",TABLEAU!$M$81)),"] &amp;D","]# &amp; #D"),"A 2A",CONCATENATE("A ",TABLEAU!$Y81,"H",TABLEAU!$F$81))," )",")")))</f>
        <v/>
      </c>
      <c r="AF81" s="983" t="str">
        <f ca="1">IF(TODAY&lt;&gt;"DIMANCHE"," ",IF(TABLEAU!$D$81="","",H.M-TABLEAU!$D$81))</f>
        <v xml:space="preserve"> </v>
      </c>
      <c r="AG81" s="983" t="str">
        <f ca="1">IF(TABLEAU!$B$81="","",IF(TABLEAU!$I$81&lt;&gt;0,"",IF(TODAY&lt;&gt;"DIMANCHE","",IF(TABLEAU!$AF$81=" ","",IF(TABLEAU!$AF$81="","",IF(AND(HOUR(TABLEAU!$AF$81)&gt;0,MINUTE(TABLEAU!$AF$81)&lt;10),CONCATENATE(HOUR(TABLEAU!$AF$81),"H0",MINUTE(TABLEAU!$AF$81)),IF(AND(HOUR(TABLEAU!$AF$81)&gt;0,MINUTE(TABLEAU!$AF$81)&gt;9),CONCATENATE(HOUR(TABLEAU!$AF$81),"H",MINUTE(TABLEAU!$AF$81)),CONCATENATE(MINUTE(TABLEAU!$AF$81)," MIN"))))))))</f>
        <v/>
      </c>
      <c r="AH81" s="983" t="str">
        <f ca="1">IF(TABLEAU!$I$81="","",IF(MINUTE(TABLEAU!$I$81)&gt;9,CONCATENATE(HOUR(TABLEAU!$I$81),"H",MINUTE(TABLEAU!$I$81)),CONCATENATE(HOUR(TABLEAU!$I$81),"H0",MINUTE(TABLEAU!$I$81))))</f>
        <v/>
      </c>
      <c r="AI81" s="1664"/>
      <c r="AJ81" s="93" t="str">
        <f ca="1">IF(TABLEAU!$B$81="","",TABLEAU!$P$81)</f>
        <v/>
      </c>
      <c r="AK81" s="93" t="str">
        <f ca="1">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O$81,"DEPASSE","&amp;&amp;&amp;"),"A",""),"B",""),"C",""),"D",""),"E",""),"F",""),"G",""),"H",""),"I",""),"J",""),"K",""),"L",""),"M",""),"N",""),"O",""),"P",""),"Q",""),"R",""),"S",""),"T",""),"U",""),"V",""),"W",""),"X",""),"Y",""),"Z",""),"0",""),"1",""),"2",""),"3",""),"4",""),"5",""),"6",""),"7",""),"8",""),"9",""),":",""),"(",""),")",""),"[",""),"]","")," ",""))</f>
        <v/>
      </c>
      <c r="AL81" s="634" t="str">
        <f ca="1">UPPER(IF(DATE.RDV.TV&lt;&gt;"DIMANCHE","",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B$81,"DEPASSE ","¤¤"),"A",""),"B",""),"C",""),"D",""),"E",""),"F",""),"G",""),"H",""),"I",""),"J",""),"K",""),"L",""),"M",""),"N",""),"O",""),"P",""),"Q",""),"R",""),"S",""),"T",""),"U",""),"V",""),"W",""),"X",""),"Y",""),"Z",""),"1",""),"2",""),"3",""),"4",""),"5",""),"6",""),"7",""),"8",""),"9",""),"0",""),"-",""),"(",""),")",""),"{",""),"}",""),"=",""),"[",""),"]",""),"#",""),"+",""),":",""),"/",""),"'",""),".","")," &amp; ","")," ° ",""))))</f>
        <v/>
      </c>
      <c r="AM81" s="836" t="str">
        <f ca="1">UPPER(IF(DATE.RDV.TV&lt;&gt;"DIMANCHE","",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C$81,"CHAMPIONNAT","¤"),"LDC","¤¤"),"UEFA","¤¤¤"),"FRANCE","¤¤¤¤"),"LIGUE","¤¤¤¤¤"),"GP","¤¤¤¤¤¤"),"MONDIAL","¤¤¤¤¤¤¤"),"EURO","¤¤¤¤¤¤¤¤"),"CONFEDERATIONS","¤¤¤¤¤¤¤¤¤"),"A",""),"B",""),"C",""),"D",""),"E",""),"F",""),"G",""),"H",""),"I",""),"J",""),"K",""),"L",""),"M",""),"N",""),"O",""),"P",""),"Q",""),"R",""),"S",""),"T",""),"U",""),"V",""),"W",""),"X",""),"Y",""),"Z",""),"1",""),"2",""),"3",""),"4",""),"5",""),"6",""),"7",""),"8",""),"9",""),"0",""),"-",""),"(",""),")",""),"{",""),"}",""),"=",""),"[",""),"]",""),"#",""),"+",""),":",""),"/",""),"'",""),".","")," &amp; ","")," ° ",""),"~",""))))</f>
        <v/>
      </c>
      <c r="AN81" s="1576" t="str">
        <f ca="1">IF(TABLEAU!$B$81=TABLEAU!$B$80,"",IF(OR(TABLEAU!$A$81="#DEPASSE#",TABLEAU!$P$81="#DEPASSE#"),TABLEAU!$B$81,""))</f>
        <v/>
      </c>
      <c r="AO81" s="1577"/>
      <c r="AP81" s="1577"/>
      <c r="AQ81" s="1577"/>
      <c r="AR81" s="1577"/>
      <c r="AS81" s="1577"/>
      <c r="AT81" s="1577"/>
      <c r="AU81" s="1577"/>
      <c r="AV81" s="1577"/>
      <c r="AW81" s="1577"/>
      <c r="AX81" s="1578"/>
      <c r="AY81" s="1243">
        <f ca="1">IF(AND(TABLEAU!$C$81&lt;&gt;"",TABLEAU!$B$81=""),1,0)</f>
        <v>0</v>
      </c>
      <c r="AZ81" s="2576"/>
      <c r="BA81" s="2577"/>
    </row>
    <row r="82" spans="1:53" ht="12" customHeight="1" thickBot="1">
      <c r="A82" s="1510" t="str">
        <f ca="1">IF(TABLEAU!$B$82="","",IF(OR(TABLEAU!$AL$82="¤¤",TABLEAU!$P$82&lt;&gt;""),"#DEPASSE#",SUBSTITUTE(IF(OR(DIMANCHE.4="",TABLEAU!$C$82=""),"",IF(AND(TODAY="DIMANCHE",HOUR((H.M))&gt;HOUR(DIMANCHE.4),MINUTE((H.M))&gt;MINUTE(DIMANCHE.4)),"",IF(TODAY&lt;&gt;"DIMANCHE","",IF(HOUR(TABLEAU!$I$82)&gt;0,CONCATENATE("DANS ",HOUR(TABLEAU!$I$82),"H",TABLEAU!$N$82),CONCATENATE("DANS ",HOUR(TABLEAU!$I$82),"H",TABLEAU!$N$82," MIN")))))," 0H"," ")))</f>
        <v/>
      </c>
      <c r="B82" s="1515" t="str">
        <f ca="1">SUBSTITUTE(SUBSTITUTE(SUBSTITUTE(IF(OR(TABLEAU!$C82,TABLEAU!$D82=""),"",SUBSTITUTE(SUBSTITUTE(SUBSTITUTE(SUBSTITUTE(SUBSTITUTE(SUBSTITUTE(SUBSTITUTE(SUBSTITUTE(SUBSTITUTE(SUBSTITUTE(SUBSTITUTE(SUBSTITUTE(SUBSTITUTE(SUBSTITUTE(SUBSTITUTE(SUBSTITUTE(SUBSTITUTE(SUBSTITUTE(SUBSTITUTE(SUBSTITUTE(SUBSTITUTE(SUBSTITUTE(SUBSTITUTE(SUBSTITUTE(IF(TABLEAU!$C82="","",SUBSTITUTE(IF(TABLEAU!$AE82="",TABLEAU!$U82,TABLEAU!$AE82),CONCATENATE(CVB,YEAR(A)," "),""))," #"," "),"] &amp; D","]# &amp; #D")," &amp; (A",CONCATENATE("# &amp; #",TABLEAU!$H82,"A")),"&amp; DEPASSE","&amp; #DEPASSE"),"## &amp; #A","# &amp; #(A"),"DANS MAINTENANT","MAINTENANT"),CONCATENATE(" H",TABLEAU!$N82),CONCATENATE(" ",TABLEAU!$N82," MIN"))," 0"," "),"] &amp;D","]# &amp; #D"),"}  MIN","} H"),"# &amp; D","# &amp; #D"),CONCATENATE("#MAINTENANT (A ",TABLEAU!$Z82,"): MAINTENANT"),"#MAINTENANT"),TABLEAU!$AB$2,""),TABLEAU!$AM$5,"")," MINAMILTON","HAMILTON"),CONCATENATE(TABLEAU!$Z82," ",TABLEAU!$Z82),TABLEAU!$Z82),"DEPUIS  MINIER","DEPUIS HIER"),"MINONGRIE","HONGRIE"),"#DANS (#DEPASSE","#DEPASSE"),CONCATENATE(" ",YEAR(A)),""),"]= [","= ["),")])",")]"),"#DEPASSE DEPUISDANS","#DANS"),"(A 1A ):",CONCATENATE("(A ",HOUR(TABLEAU!$D82),"H",TABLEAU!$F82,"):"))),"SUR "," SUR "),"  SUR "," SUR "),CONCATENATE("DEPASSE DEPUIS ",TABLEAU!$M82," (A DANS"),"DANS")</f>
        <v/>
      </c>
      <c r="C82" s="631"/>
      <c r="D82" s="632"/>
      <c r="E82" s="2671" t="str">
        <f>IF(TABLEAU!$D82="","",IF(TABLEAU!$D82="23:59","",HOUR(TABLEAU!$D82)))</f>
        <v/>
      </c>
      <c r="F82" s="2672" t="str">
        <f>IF(OR(TABLEAU!$D$82="",TABLEAU!$D$82="23:59"),"59",IF(MINUTE(TABLEAU!$D$82)&lt;10,CONCATENATE("0",MINUTE(TABLEAU!$D$82)),CONCATENATE(MINUTE(TABLEAU!$D$82))))</f>
        <v>59</v>
      </c>
      <c r="G82" s="599" t="str">
        <f ca="1">UPPER(SUBSTITUTE(SUBSTITUTE(SUBSTITUTE(IF(TABLEAU!$D$82="","",SUBSTITUTE(SUBSTITUTE(SUBSTITUTE(SUBSTITUTE(SUBSTITUTE(SUBSTITUTE(SUBSTITUTE(SUBSTITUTE(SUBSTITUTE(SUBSTITUTE(SUBSTITUTE(SUBSTITUTE(SUBSTITUTE(SUBSTITUTE(SUBSTITUTE(IF(OR(TABLEAU!$D$82="",TABLEAU!$C$82=""),"",IF(AND(TODAY="DIMANCHE",HOUR((H.M))&gt;HOUR(TABLEAU!$D$82),MINUTE((H.M))&gt;MINUTE(TABLEAU!$D$82)),CONCATENATE("#DEPASSE DEPUIS",TABLEAU!$M$82," ",TABLEAU!$C$82,"#"),IF(TABLEAU!$P$82&lt;&gt;"",CONCATENATE("#DEPASSE DEPUIS",TABLEAU!$M$82," ",TABLEAU!$C$82,"#"),IF(TODAY&lt;&gt;"DIMANCHE",CONCATENATE("#",DIMANCHE.DANS," (DIMANCHE ",DAY(DIMANCHE.DATE)," ",LOOKUP(MONTH(DIMANCHE.DATE),MOIS)," A ",HOUR(TABLEAU!$D$82),"H",TABLEAU!$F$82,"): ",TABLEAU!$C$82,"#"),CONCATENATE("#",TABLEAU!$L$82," (A ",TABLEAU!$Z$82,"): ",SUBSTITUTE(TABLEAU!$C$82,"#",""),"#"))))),CONCATENATE(LOOKUP(MONTH(DIMANCHE.DATE),MOIS)," (A"),CONCATENATE(LOOKUP(MONTH(DIMANCHE.DATE),MOIS)," A")),"##","#"),CONCATENATE("#DEPASSE DEPUIS  (A ): ",TABLEAU!$C$82,"#"),""),CONCATENATE("(A ",TABLEAU!$E$82,"H",TABLEAU!$X$82,"): "),""),CONCATENATE(TABLEAU!$L$82," DEPUIS"),"DEPASSE DEPUIS"),CONCATENATE("A ",HOUR(TABLEAU!$D$82),"H",TABLEAU!$F$82,"): (A ",HOUR(TABLEAU!$D$82),"H",TABLEAU!$F$82),CONCATENATE("A ",HOUR(TABLEAU!$D$82),"H",TABLEAU!$F$82)),"#DEPASSEDEPASSE","#DEPASSE"),"# (",CONCATENATE("#",TABLEAU!$H$82)),CONCATENATE("A ",SUBSTITUTE(TABLEAU!$M$33,":","H"),"): ~ (A ",SUBSTITUTE(TABLEAU!$M$33,":","H")),CONCATENATE("A ",SUBSTITUTE(TABLEAU!$M$33,":","H"))),CONCATENATE("#DEPASSE ",TABLEAU!$M$82,"#D"),"#D")," D"," #D"),"#DEPUIS","DEPUIS"),"COURS ","COURS# "),"#DE ","DE "),"GP #D","GP D")),"# &amp; #",CONCATENATE("# &amp; #DEPASSE DEPUIS",TABLEAU!$M$82," ")),"] &amp; (",CONCATENATE("]# &amp; DANS ",TABLEAU!$AH$82," ("))," 0"," "))</f>
        <v/>
      </c>
      <c r="H82" s="961" t="str">
        <f ca="1">SUBSTITUTE(IF(OR(DATE.RDV.TV&lt;&gt;"DIMANCHE",TABLEAU!$C$82=""),"",IF(HOUR(TABLEAU!$I$82)=0,CONCATENATE("DANS ",TABLEAU!$N$82," MIN ("),CONCATENATE("DANS ",HOUR(TABLEAU!$I$82),"H",TABLEAU!$N$82," ("))),"DANS  MIN (","")</f>
        <v/>
      </c>
      <c r="I82" s="317" t="str">
        <f ca="1">IF(OR(TODAY&lt;&gt;"DIMANCHE",TABLEAU!$C$82=""),"",IF(OR(TABLEAU!$D$82="",TABLEAU!$P$82="#DEPASSE#",TODAY&lt;&gt;"DIMANCHE"),0,IF(HOUR((H.M))&gt;HOUR(TABLEAU!$D$82),0,TABLEAU!$D$82-H.M)))</f>
        <v/>
      </c>
      <c r="J82" s="318" t="str">
        <f ca="1">SUBSTITUTE(SUBSTITUTE(SUBSTITUTE(IF(TABLEAU!$I$82="","",SUBSTITUTE(SUBSTITUTE(SUBSTITUTE(SUBSTITUTE(SUBSTITUTE(SUBSTITUTE(SUBSTITUTE(SUBSTITUTE(SUBSTITUTE(SUBSTITUTE(SUBSTITUTE(SUBSTITUTE(SUBSTITUTE(SUBSTITUTE(SUBSTITUTE(SUBSTITUTE(SUBSTITUTE(SUBSTITUTE(SUBSTITUTE(SUBSTITUTE(IF(DATE.DEPASSE&lt;0,TABLEAU!$U$82,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G82,"  "," "),CONCATENATE("(A ",TABLEAU!$Z$82,"): (A ",TABLEAU!$Z$82),CONCATENATE("(A ",TABLEAU!$Z$82)),CONCATENATE("#DEPASSE",TABLEAU!$M$82,"#DEPASSE",TABLEAU!$M$82),CONCATENATE("#DEPASSE",TABLEAU!$M$82)),CONCATENATE("#DEPASSE",TABLEAU!$L$82,"DEPASSE"),"#DEPASSE"),CONCATENATE(TABLEAU!$L$82," (A ",TABLEAU!$Z$82,"): DEPUIS"),"DEPASSE DEPUIS")," 1 "," 1ER "),"DEPASSE DEPUIS DEPASSE DEPUIS","DEPASSE DEPUIS"),CONCATENATE("DEPASSE ",TRIM(TABLEAU!$L$82)," DEPASSE ",TRIM(TABLEAU!$L$82)),CONCATENATE("DEPASSE ",TRIM(TABLEAU!$L$82))),"1ER MIN","1 MIN"),"1ER ERREUR","1 ERREUR"),CONCATENATE("(A ",TABLEAU!$Z$82,"): (A ",TABLEAU!$E$82,":",TABLEAU!$F$82),CONCATENATE("(A ",TABLEAU!$Z$82))," (A ):",""),"DEPASSE DEPUIS (",TABLEAU!$H$82),"] &amp; D","]# &amp; #D"),CONCATENATE("#DEPASSE",TABLEAU!$M$82,"DEPASSE"),"#DEPASSE")," [","): ["),"):):","):"),"DEPUIS ",TABLEAU!$L$82),CONCATENATE(SUBSTITUTE(TABLEAU!$M$82,"DEPUIS ",""))," "),"DEPUIS",CONCATENATE(TABLEAU!$M$82," (",DIMANCHE.VERIFIER," A ")),SUBSTITUTE(TABLEAU!$M$82,"DEPUIS","A"),""),"DEPASSE  ","DEPASSE"),"  A "," A"),"  "," "),TRIM(SUBSTITUTE(TABLEAU!$M$82," DEPUIS ","A ")),"EEE"),"EEE",CONCATENATE("A ",TABLEAU!$Z$82)),CONCATENATE("DEPASSE ",TABLEAU!$L$82,"HIER"),"DEPASSE DEPUIS HIER"),"DEPASSEDEPASSE","DEPASSE DEPUIS "),CONCATENATE(" A ",TABLEAU!$Z$59," (A ",TABLEAU!$Z$59),CONCATENATE(" A ",TABLEAU!$Z$59)),CONCATENATE("A ",TABLEAU!$Z$82," ",TABLEAU!$C$82),TABLEAU!$C$82),CONCATENATE(MOIS.MAINTENANT.2," (A"),CONCATENATE(MOIS.MAINTENANT.2," A")),"#DEPASSE #DEPASSEDEPUIS","#DEPASSE DEPUIS"),"A (A","A"),CONCATENATE(TABLEAU!$L$82," DEPASSE"),"DEPASSE"),"DEPASSE (",CONCATENATE("DEPASSE DEPUIS ",TABLEAU!$Q$82," (")),"''MIN","MIN"),"=):","]="),CONCATENATE("#DEPASSE ",TABLEAU!$Q$82),CONCATENATE("#DEPASSE DEPUIS ",TABLEAU!$Q$82)),"DEPASSE","DEPASSE DEPUIS"),"DEPUIS DEPUIS","DEPUIS")),"US A","USA"),CONCATENATE("DEPASSE DEPUIS ",TABLEAU!$Q$82,"DEPASSE DEPUIS ",TABLEAU!$Q$82),CONCATENATE("DEPASSE DEPUIS ",TABLEAU!$Q$82)),CONCATENATE("#DEPASSE DEPUIS ",TABLEAU!$Q$82," #DEPASSE DEPUIS ",TABLEAU!$Q$82),CONCATENATE("#DEPASSE DEPUIS ",TABLEAU!$Q$82)),"#DEPASSE DEPUIS #DEPASSE DEPUIS","#DEPASSE DEPUIS"),CONCATENATE("): ",DIMANCHE.DANS," (A ",TABLEAU!$E$82,"H",TABLEAU!$F$82),"")," &amp; D"," &amp; #D"),CONCATENATE(DIMANCHE.DANS," (DIMANCHE ",DAY(DIMANCHE.DATE)," ",LOOKUP(MONTH(DIMANCHE.DATE),MOIS)," A ",TABLEAU!$E$82,"H",TABLEAU!$F$82,"): DANS"),"DANS"),CONCATENATE(DIMANCHE.DANS," (DIMANCHE ",DAY(DIMANCHE.DATE)," ",LOOKUP(MONTH(DIMANCHE.DATE),MOIS)," A ",TABLEAU!$E$82,"H",TABLEAU!$F$82,"): ",DIMANCHE.DANS,"= ",TABLEAU!$AN$23,"(A ",TABLEAU!$E$82,"H",TABLEAU!$F$82),CONCATENATE(DIMANCHE.DANS,"= ",TABLEAU!$AN$23," (DIMANCHE ",DAY(DIMANCHE.DATE)," ",LOOKUP(MONTH(DIMANCHE.DATE),MOIS)," A ",TABLEAU!$E$82,"H",TABLEAU!$F$82)),CONCATENATE(DIMANCHE.DANS," (DIMANCHE ",DAY(DIMANCHE.DATE)," ",LOOKUP(MONTH(DIMANCHE.DATE),MOIS)," A ",TABLEAU!$E$82,"H",TABLEAU!$F$82,"): DANS"),"DANS"),"# (",CONCATENATE("#",TABLEAU!$H$82)),"DANS 0","DANS "),"# ~ ",CONCATENATE("#",FICHIER.A.MODIFIER," ~ ")),CONCATENATE("A ",SUBSTITUTE(TABLEAU!$M$33,":","H"),"): ~ (A ",SUBSTITUTE(TABLEAU!$M$33,":","H")),CONCATENATE("A ",SUBSTITUTE(TABLEAU!$M$33,":","H"))),CONCATENATE("(A ",TABLEAU!$Z$82,"): ~ (A"),"(A"),"DANS 0 MIN","MAINTENANT"),"DEPUIS(",CONCATENATE("DEPUIS ",TABLEAU!$M$82," (")),"DEPUIS DEPUIS  (A",CONCATENATE("DEPUIS ",TABLEAU!$M$82," (A")),"(A 1 ",CONCATENATE("(A ",TABLEAU!$E$82,":00")),"#A",CONCATENATE("#DANS ",HOUR(TABLEAU!$I$82),"H",TABLEAU!$N$82," (A")),"DEPUIS DEPUIS",CONCATENATE("DEPUIS ",TABLEAU!$M$82))),"]#D","]# &amp; #D"),"DEPUIS =",CONCATENATE("DEPUIS ",TABLEAU!$M$82)),"DANS  MAINTENANT","MAINTENANT")</f>
        <v/>
      </c>
      <c r="K82" s="319" t="str">
        <f ca="1">TRIM(SUBSTITUTE(SUBSTITUTE(SUBSTITUTE(SUBSTITUTE(SUBSTITUTE(SUBSTITUTE(SUBSTITUTE(SUBSTITUTE(SUBSTITUTE(TABLEAU!$O$82,CONCATENATE("): (",TABLEAU!$W$82),""),CONCATENATE("A ",TABLEAU!$E$82,"H",TABLEAU!$X$82,"): ("),""),"(SUR",CONCATENATE("(A ",TABLEAU!$E$82,"H",TABLEAU!$X$82," SUR"))," &amp; (",CONCATENATE(" &amp; ",TABLEAU!$L$82," (")),"AUJOURD'HUI",""),"##","#"),"1ER MIN","1 MIN"),CONCATENATE("DEPASSE ",TRIM(TABLEAU!$L$82)," DEPASSE"),"DEPASSE")," (A ):",""))</f>
        <v/>
      </c>
      <c r="L82" s="320" t="str">
        <f ca="1">UPPER(IF(TABLEAU!$P$82&lt;&gt;"","",IF(TABLEAU!$P$82="","",IF(TABLEAU!$AM$82&lt;&gt;"","#DEPASSE DEPUIS ",IF(TODAY&lt;&gt;"DIMANCHE","",IF(COUNTIF(ENCOURS,"#EN COURS#")&lt;&gt;0,"MAINTENANT",SUBSTITUTE(SUBSTITUTE(SUBSTITUTE(IF(OR(TABLEAU!$C$82="",TABLEAU!$D$82=""),"",IF(HOUR(TABLEAU!$I$82)=0,CONCATENATE("DANS ",TABLEAU!$N$82," MIN"),CONCATENATE("DANS ",HOUR(TABLEAU!$I$82),"H",TABLEAU!$N$82))),"DANS 0","DANS "),"DANS  MIN",TABLEAU!$M$82),"DANS 0 MIN","MAINTENANT")))))))</f>
        <v/>
      </c>
      <c r="M82" s="320" t="str">
        <f ca="1">IF(TODAY&lt;&gt;"DIMANCHE","",SUBSTITUTE(IF(TABLEAU!$D$82="","",IF(TABLEAU!$AF$82=" ","",IF(TABLEAU!$D$82-H.M&gt;0,"",IF(AND(HOUR(TABLEAU!$AF$82)&gt;0,MINUTE(TABLEAU!$AF$82)&lt;10),CONCATENATE(" ",HOUR(TABLEAU!$AF$82),"H0",MINUTE(TABLEAU!$AF$82)),IF(AND(HOUR(TABLEAU!$AF$82)&gt;0,MINUTE(TABLEAU!$AF$82)&gt;9),CONCATENATE(" ",HOUR(TABLEAU!$AF$82),"H",MINUTE(TABLEAU!$AF$82)),CONCATENATE(" 0",MINUTE(TABLEAU!$AF$82)," MIN"))))))," 0",""))</f>
        <v/>
      </c>
      <c r="N82" s="282" t="str">
        <f>IF(TABLEAU!$D$82="","",IF(OR(TABLEAU!$C$82="",TODAY&lt;&gt;"DIMANCHE"),"",IF(TABLEAU!$P$82="#DEPASSE#","",IF(HOUR((H.M))&gt;HOUR(TABLEAU!$D$82),"",IF(MINUTE(TABLEAU!$I$82)&lt;10,CONCATENATE("0",MINUTE(TABLEAU!$I$82)),MINUTE(TABLEAU!$I$82))))))</f>
        <v/>
      </c>
      <c r="O82" s="321" t="str">
        <f ca="1">UPPER(SUBSTITUTE(SUBSTITUTE(SUBSTITUTE(SUBSTITUTE(SUBSTITUTE(SUBSTITUTE(SUBSTITUTE(SUBSTITUTE(SUBSTITUTE(TABLEAU!$J$82,"DANS 0H","DANS "),"DANS 0","DANS "),CONCATENATE("(A ",TABLEAU!$E$82,"H",TABLEAU!$X$82,"): (",LOOKUP(WEEKDAY(DIMANCHE.DATE),SEMAINE)," ",DAY(DIMANCHE.DATE)," ",LOOKUP(MONTH(DIMANCHE.DATE),MOIS)," A 20H00): "),CONCATENATE(TABLEAU!$L$82," (A ",TABLEAU!$E$82,"H",TABLEAU!$X$82,")")),"DEPUIS 0","DEPUIS "),"&amp; A","&amp; (A"),CONCATENATE("(",NBA),""),"#DEPASSE DEPUIS (A","(A"),"DANS  MAINTENANT","MAINTENANT"),"] &amp; #","]# &amp; #"))</f>
        <v/>
      </c>
      <c r="P82" s="395" t="str">
        <f ca="1">IF(OR(TABLEAU!$D$82="",TODAY&lt;&gt;"DIMANCHE"),"",IF(AND(HOUR((H.M))=HOUR(TABLEAU!$D$82),MINUTE((H.M))&gt;MINUTE(TABLEAU!$D$82)),"#DEPASSE#",IF(HOUR((H.M))&gt;HOUR(TABLEAU!$D$82),"#DEPASSE#","")))</f>
        <v/>
      </c>
      <c r="Q82" s="396" t="str">
        <f ca="1">IF(OR(TABLEAU!$P$82="",TABLEAU!$S$82=""),"",IF(AND(HOUR(TABLEAU!$S$82)&gt;0,MINUTE(TABLEAU!$S$82)&lt;10),CONCATENATE(HOUR(TABLEAU!$S$82),"H0",MINUTE(TABLEAU!$S$82)),IF(AND(HOUR(TABLEAU!$S$82)=0,MINUTE(TABLEAU!$S$82)&lt;10),CONCATENATE(MINUTE(TABLEAU!$S$82)," MIN"),IF(AND(HOUR(TABLEAU!$S$82)&gt;0,MINUTE(TABLEAU!$S$82)&gt;9),CONCATENATE(HOUR(TABLEAU!$S$82),"H",MINUTE(TABLEAU!$S$82)),CONCATENATE(MINUTE(TABLEAU!$S$82)," MIN")))))</f>
        <v/>
      </c>
      <c r="R82" s="396" t="str">
        <f ca="1">UPPER(IF(OR(TABLEAU!$C$82="",TODAY&lt;&gt;"DIMANCHE"),"",IF(OR(TABLEAU!$D$82="",TABLEAU!$D$82="23:59",TABLEAU!$C$82=""),"",IF(AND(TODAY="DIMANCHE",HOUR(TABLEAU!$I$82)&lt;1,MINUTE(TABLEAU!$I$82)&lt;5,TABLEAU!$I$82&lt;&gt;"",TABLEAU!$I$82&lt;&gt;0),"BIENTOT",""))))</f>
        <v/>
      </c>
      <c r="S82" s="620" t="str">
        <f>IF(TABLEAU!$D$82="","",IF(TODAY&lt;&gt;"DIMANCHE","",IF((H.M)&gt;TABLEAU!$D$82,"",(H.M)-TABLEAU!$D$82)))</f>
        <v/>
      </c>
      <c r="T82" s="2272"/>
      <c r="U82" s="401" t="str">
        <f ca="1">UPPER(TRIM(SUBSTITUTE(SUBSTITUTE(SUBSTITUTE(SUBSTITUTE(SUBSTITUTE(SUBSTITUTE(SUBSTITUTE(SUBSTITUTE(SUBSTITUTE(SUBSTITUTE(SUBSTITUTE(SUBSTITUTE(SUBSTITUTE(SUBSTITUTE(SUBSTITUTE(SUBSTITUTE(SUBSTITUTE(SUBSTITUTE(IF(TABLEAU!$D$82="","",SUBSTITUTE(SUBSTITUTE(SUBSTITUTE(SUBSTITUTE(SUBSTITUTE(SUBSTITUTE(SUBSTITUTE(SUBSTITUTE(SUBSTITUTE(SUBSTITUTE(SUBSTITUTE(SUBSTITUTE(SUBSTITUTE(SUBSTITUTE(SUBSTITUTE(IF(OR(TABLEAU!$C$82="",TABLEAU!$D$82=""),"",IF(AND(TODAY="DIMANCHE",TABLEAU!$P$82&lt;&gt;""),CONCATENATE("#DEPASSE DEPUIS ",TABLEAU!$M$82," ",TABLEAU!$W$82,"#"),CONCATENATE("#",DIMANCHE.DANS," ",TABLEAU!$H$82,TABLEAU!$C$82,"#"))),": =",":"),CONCATENATE(NBA,"("),""),CONCATENATE(LOOKUP(MONTH(DIMANCHE.DATE),MOIS)," (A"),CONCATENATE(LOOKUP(MONTH(DIMANCHE.DATE),MOIS)," A")),"1ER MIN","1 MIN"),"((","("),"##","#"),"# ","#"),CONCATENATE("#",TABLEAU!$H$82,"DEPUIS"),"#DEPASSE DEPUIS"),"DEMAIN (",CONCATENATE("DEMAIN (DIMANCHE ",DAY(DIMANCHE.DATE)," ",LOOKUP(MONTH(DIMANCHE.DATE),MOIS)," ")),"JOURS (A ",CONCATENATE("JOURS (DIMANCHE ",DAY(DIMANCHE.DATE)," ",LOOKUP(MONTH(DIMANCHE.DATE),MOIS)," A ")),"(A","(DIMANCHE A"),"DANS 00 MIN","DANS "),"DANS 0","DANS "),"#&amp;","# &amp; "),"JOURS [",CONCATENATE("JOURS (",LOOKUP(WEEKDAY(DIMANCHE.DATE),SEMAINE)," ",DAY(DIMANCHE.DATE)," ",LOOKUP(MONTH(DIMANCHE.DATE),MOIS)," A ",HOUR(TABLEAU!$D$82),"H",TABLEAU!$F$82,"): ["))),CONCATENATE(DIMANCHE.DANS," ",DIMANCHE.DANS),CONCATENATE(" ",DIMANCHE.DANS)),"# ","#"),"#&amp; #","# &amp; #"),"US A","USA"),"(~ ("," ~ ("),"DIMANCHE A ","A "),CONCATENATE("#",TABLEAU!$H$82,TABLEAU!$W$82),TABLEAU!$W$82),"DEMAINDANS","DEMAIN DANS"),"''(","'' ("),CONCATENATE("#DANS ",TRIM(TABLEAU!$AH$82)," (#DEPASSE "),"#DEPASSE "),"]#D","]# &amp; #D"),"(MATCH","MATCH"),"COURS &amp; D","COURS# &amp; #D"),"#&amp; ","# &amp; #"),"# &amp; # ","# &amp; #"),CONCATENATE("#DEPASSE DEPUIS ",TABLEAU!$M$82," #"),"#"),"# &amp; ##","# &amp; #"),"DANS  (MAINTENANT","MAINTENANT")))</f>
        <v/>
      </c>
      <c r="V82" s="401" t="str">
        <f ca="1">UPPER(TRIM(SUBSTITUTE(SUBSTITUTE(IF(OR(TABLEAU!$C$82="",TABLEAU!$D$82="",DIMANCHE.DANS&lt;&gt;""),"",TABLEAU!$J$82),JOUR.PLUS,""),"DANS  MAINTENANT","MAINTENANT")))</f>
        <v/>
      </c>
      <c r="W82" s="824" t="str">
        <f>UPPER(IF(TABLEAU!$C$82=0,"",TABLEAU!$C$82))</f>
        <v/>
      </c>
      <c r="X82" s="822"/>
      <c r="Y82" s="320" t="str">
        <f ca="1">IF(OR(TODAY&lt;&gt;"DIMANCHE",TABLEAU!$C$82=""),"",IF(OR(TABLEAU!$C$82="",TABLEAU!$D$82=""),"",HOUR(TABLEAU!$D$82)))</f>
        <v/>
      </c>
      <c r="Z82" s="320" t="str">
        <f ca="1">IF(TABLEAU!$AM$82&lt;&gt;""," ",IF(OR(TODAY&lt;&gt;"DIMANCHE",TABLEAU!$C$82="",TABLEAU!$D$82="")," ",IF(MINUTE(TABLEAU!$D$82)&lt;10,CONCATENATE(HOUR(TABLEAU!$D$82),"H0",MINUTE(TABLEAU!$D$82)),IF(MINUTE(TABLEAU!$D$82)&gt;9,CONCATENATE(HOUR(TABLEAU!$D$82),"H",MINUTE(TABLEAU!$D$82))))))</f>
        <v xml:space="preserve"> </v>
      </c>
      <c r="AA82" s="362" t="str">
        <f ca="1">TRIM(SUBSTITUTE(SUBSTITUTE(SUBSTITUTE(SUBSTITUTE(IF(TABLEAU!$P$82="#DEPASSE#",TABLEAU!$AB$82,TABLEAU!$U$82),"# ","#"),"#&amp; #","# &amp; #"),"DANS (MAINTENANT","MAINTENANT"),SUBSTITUTE(SUBSTITUTE(CONCATENATE("#",TABLEAU!$H$82,"",TABLEAU!$H$82)," 0"," ")," 0"," "),SUBSTITUTE(TABLEAU!$H$82," 0"," ")))</f>
        <v/>
      </c>
      <c r="AB82" s="320" t="str">
        <f ca="1">UPPER(TRIM(SUBSTITUTE(SUBSTITUTE(SUBSTITUTE(SUBSTITUTE(SUBSTITUTE(SUBSTITUTE(TABLEAU!$K$82,CONCATENATE(LOOKUP(MONTH(A),MOIS)," (A"),CONCATENATE(LOOKUP(MONTH(A),MOIS)," A ")),CONCATENATE(LOOKUP(MONTH(A)+1,MOIS)," (A"),CONCATENATE(LOOKUP(MONTH(A)+1,MOIS)," A ")),CONCATENATE("(",YEAR(DIMANCHE.DATE)),""),"] &amp; DANS","]# &amp; #DANS"),"DANS MAINTENANT","MAINTENANT"),SUBSTITUTE(CONCATENATE("#",SUBSTITUTE(TABLEAU!$H$82,"(",""),"#",TABLEAU!$H$82)," 0"," "),SUBSTITUTE(TABLEAU!$H$82," 0"," "))))</f>
        <v/>
      </c>
      <c r="AC82" s="701" t="str">
        <f ca="1">IF(TABLEAU!$P$82="#DEPASSE#",CONCATENATE(TABLEAU!$AC$81," &amp; ",TABLEAU!$B$82),TABLEAU!$AC$81)</f>
        <v/>
      </c>
      <c r="AD82" s="1589"/>
      <c r="AE82" s="321" t="str">
        <f ca="1">UPPER(TRIM(SUBSTITUTE(SUBSTITUTE(SUBSTITUTE(SUBSTITUTE(SUBSTITUTE(SUBSTITUTE(SUBSTITUTE(SUBSTITUTE(SUBSTITUTE(SUBSTITUTE(SUBSTITUTE(SUBSTITUTE(SUBSTITUTE(SUBSTITUTE(SUBSTITUTE(SUBSTITUTE(SUBSTITUTE(SUBSTITUTE(SUBSTITUTE(SUBSTITUTE(SUBSTITUTE(SUBSTITUTE(SUBSTITUTE(SUBSTITUTE(IF(TABLEAU!$P$82="#DEPASSE#",TABLEAU!$J$82,IF(TABLEAU!$C$82="","",TRIM(SUBSTITUTE(SUBSTITUTE(SUBSTITUTE(SUBSTITUTE(SUBSTITUTE(SUBSTITUTE(SUBSTITUTE(IF(TABLEAU!$L$82="#DEPASSE DEPUIS ",MODIF,IF(TABLEAU!$I$82=SUBSTITUTE(DEPP,"#",""),DEPP,SUBSTITUTE(SUBSTITUTE(SUBSTITUTE(SUBSTITUTE(SUBSTITUTE(SUBSTITUTE(SUBSTITUTE(SUBSTITUTE(SUBSTITUTE(SUBSTITUTE(SUBSTITUTE(SUBSTITUTE(SUBSTITUTE(SUBSTITUTE(SUBSTITUTE(SUBSTITUTE(SUBSTITUTE(SUBSTITUTE(TABLEAU!$AB$82,CONCATENATE(TABLEAU!$K$82," A "),CONCATENATE(TABLEAU!$K$82," (A ")),"JANVIER (","JANVIER "),"FEVRIER (","FEVRIER "),"MARS (","MARS "),"AVRIL (","AVRIL "),"MAI (","MAI "),"JUIN (","JUIN "),"JUILLET (","JUILLET "),"AOUT (","AOUT "),"SEPTEMBRE (","SEPTEMBRE "),"OCTOBRE (","OCTOBRE "),"NOVEMBRE (","NOVEMBRE "),"DECEMBRE (","DECEMBRE "),CONCATENATE(" &amp; ",TABLEAU!$K$82," (")," &amp; "),CONCATENATE(" &amp;",TABLEAU!$L$82,"(")," &amp; ")," &amp; ("," &amp; "),CONCATENATE(TABLEAU!$K$82," (A ",TABLEAU!$AC$82,"): HIER"),"DEPASSE DEPUIS HIER")," &amp; A"," &amp; (A"))),"(A ",CONCATENATE("(",DATE.RDV.TV," A ")),"((","("),CONCATENATE(DATE.RDV.TV," ("),""),CONCATENATE(DATE.RDV.TV," A "),"A "),CONCATENATE(YEAR(A)," (A"),"A"),CONCATENATE(TABLEAU!$L$82," (DEPASSE"),"DEPASSE"),CONCATENATE("DEPASSE",TABLEAU!$L$82,"(",LOOKUP(WEEKDAY(DIMANCHE.DATE),SEMAINE)," ",DAY(DIMANCHE.DATE)," ",LOOKUP(MONTH(DIMANCHE.DATE),MOIS)," A"),"DEPASSE DEPUIS")))),"#&amp; ","# &amp; #"),"DANS (A","MAINTENANT (A"),"DANS (MATCH","DANS MATCH"),CONCATENATE("(DEMAIN= ",DIF.L1," ~ "),""),CONCATENATE("(DEMAIN= ",DIF.LDC," ~ "),""),CONCATENATE("(DEMAIN= ",DIF.UEFA," ~ "),""),CONCATENATE("(DEMAIN= ",DIF.FRANCE," ~ "),""),CONCATENATE("(DEMAIN= ",DIF.LIGUE," ~ "),""),CONCATENATE("(DEMAIN= ",DIF.GP," ~ "),""),CONCATENATE("(DEMAIN= ",DIF.MONDIAL," ~ "),""),CONCATENATE("(DEMAIN= ",DIF.EURO," ~ "),""),CONCATENATE("(DEMAIN= ",DIF.CONFEDERATIONS," ~ "),""),CONCATENATE(TABLEAU!$K$3," A"),"A"),"MARDI A","A"),"MERCREDI A","A"),"JEUDI A","A"),"VENDREDI A","A"),"SAMEDI A","A"),"DIMANCHE A","A"),"00H","0H"),"DEPUIS DEPUIS",CONCATENATE("DEPUIS ",TABLEAU!$M$82)),"] &amp;D","]# &amp; #D"),"A 2A",CONCATENATE("A ",TABLEAU!$Y82,"H",TABLEAU!$F$82))," )",")")))</f>
        <v/>
      </c>
      <c r="AF82" s="984" t="str">
        <f ca="1">IF(TODAY&lt;&gt;"DIMANCHE"," ",IF(TABLEAU!$D$82="","",H.M-TABLEAU!$D$82))</f>
        <v xml:space="preserve"> </v>
      </c>
      <c r="AG82" s="984" t="str">
        <f ca="1">IF(TABLEAU!$B$82="","",IF(TABLEAU!$I$82&lt;&gt;0,"",IF(TODAY&lt;&gt;"DIMANCHE","",IF(TABLEAU!$AF$82=" ","",IF(TABLEAU!$AF$82="","",IF(AND(HOUR(TABLEAU!$AF$82)&gt;0,MINUTE(TABLEAU!$AF$82)&lt;10),CONCATENATE(HOUR(TABLEAU!$AF$82),"H0",MINUTE(TABLEAU!$AF$82)),IF(AND(HOUR(TABLEAU!$AF$82)&gt;0,MINUTE(TABLEAU!$AF$82)&gt;9),CONCATENATE(HOUR(TABLEAU!$AF$82),"H",MINUTE(TABLEAU!$AF$82)),CONCATENATE(MINUTE(TABLEAU!$AF$82)," MIN"))))))))</f>
        <v/>
      </c>
      <c r="AH82" s="984" t="str">
        <f ca="1">IF(TABLEAU!$I$82="","",IF(MINUTE(TABLEAU!$I$82)&gt;9,CONCATENATE(HOUR(TABLEAU!$I$82),"H",MINUTE(TABLEAU!$I$82)),CONCATENATE(HOUR(TABLEAU!$I$82),"H0",MINUTE(TABLEAU!$I$82))))</f>
        <v/>
      </c>
      <c r="AI82" s="1664"/>
      <c r="AJ82" s="95" t="str">
        <f ca="1">IF(TABLEAU!$B$82="","",TABLEAU!$P$82)</f>
        <v/>
      </c>
      <c r="AK82" s="95" t="str">
        <f ca="1">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O$82,"DEPASSE","&amp;&amp;&amp;"),"A",""),"B",""),"C",""),"D",""),"E",""),"F",""),"G",""),"H",""),"I",""),"J",""),"K",""),"L",""),"M",""),"N",""),"O",""),"P",""),"Q",""),"R",""),"S",""),"T",""),"U",""),"V",""),"W",""),"X",""),"Y",""),"Z",""),"0",""),"1",""),"2",""),"3",""),"4",""),"5",""),"6",""),"7",""),"8",""),"9",""),":",""),"(",""),")",""),"[",""),"]","")," ",""))</f>
        <v/>
      </c>
      <c r="AL82" s="638" t="str">
        <f ca="1">UPPER(IF(DATE.RDV.TV&lt;&gt;"DIMANCHE","",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B$82,"DEPASSE ","¤¤"),"A",""),"B",""),"C",""),"D",""),"E",""),"F",""),"G",""),"H",""),"I",""),"J",""),"K",""),"L",""),"M",""),"N",""),"O",""),"P",""),"Q",""),"R",""),"S",""),"T",""),"U",""),"V",""),"W",""),"X",""),"Y",""),"Z",""),"1",""),"2",""),"3",""),"4",""),"5",""),"6",""),"7",""),"8",""),"9",""),"0",""),"-",""),"(",""),")",""),"{",""),"}",""),"=",""),"[",""),"]",""),"#",""),"+",""),":",""),"/",""),"'",""),".","")," &amp; ","")," ° ",""))))</f>
        <v/>
      </c>
      <c r="AM82" s="839" t="str">
        <f ca="1">UPPER(IF(DATE.RDV.TV&lt;&gt;"DIMANCHE","",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C$82,"CHAMPIONNAT","¤"),"LDC","¤¤"),"UEFA","¤¤¤"),"FRANCE","¤¤¤¤"),"LIGUE","¤¤¤¤¤"),"GP","¤¤¤¤¤¤"),"MONDIAL","¤¤¤¤¤¤¤"),"EURO","¤¤¤¤¤¤¤¤"),"CONFEDERATIONS","¤¤¤¤¤¤¤¤¤"),"A",""),"B",""),"C",""),"D",""),"E",""),"F",""),"G",""),"H",""),"I",""),"J",""),"K",""),"L",""),"M",""),"N",""),"O",""),"P",""),"Q",""),"R",""),"S",""),"T",""),"U",""),"V",""),"W",""),"X",""),"Y",""),"Z",""),"1",""),"2",""),"3",""),"4",""),"5",""),"6",""),"7",""),"8",""),"9",""),"0",""),"-",""),"(",""),")",""),"{",""),"}",""),"=",""),"[",""),"]",""),"#",""),"+",""),":",""),"/",""),"'",""),".","")," &amp; ","")," ° ",""),"~",""))))</f>
        <v/>
      </c>
      <c r="AN82" s="1714" t="str">
        <f ca="1">IF(TABLEAU!$B$82=TABLEAU!$B$81,"",IF(OR(TABLEAU!$A$82="#DEPASSE#",TABLEAU!$P$82="#DEPASSE#"),TABLEAU!$B$82,""))</f>
        <v/>
      </c>
      <c r="AO82" s="1715"/>
      <c r="AP82" s="1715"/>
      <c r="AQ82" s="1715"/>
      <c r="AR82" s="1715"/>
      <c r="AS82" s="1715"/>
      <c r="AT82" s="1715"/>
      <c r="AU82" s="1715"/>
      <c r="AV82" s="1715"/>
      <c r="AW82" s="1715"/>
      <c r="AX82" s="1716"/>
      <c r="AY82" s="1244">
        <f ca="1">IF(AND(TABLEAU!$C$82&lt;&gt;"",TABLEAU!$B$82=""),1,0)</f>
        <v>0</v>
      </c>
      <c r="AZ82" s="2570"/>
      <c r="BA82" s="2571"/>
    </row>
    <row r="83" spans="1:53" ht="69" hidden="1" customHeight="1" thickTop="1" thickBot="1">
      <c r="A83" s="72" t="str">
        <f ca="1">SUBSTITUTE(SUBSTITUTE(SUBSTITUTE(SUBSTITUTE(SUBSTITUTE(SUBSTITUTE(TABLEAU!$A$187,"# #"," &amp; ")," #","= "),": #",": "),"##","#"),"&gt;#","&gt;")," :",":")</f>
        <v/>
      </c>
      <c r="B83" s="785" t="str">
        <f ca="1">TRIM(SUBSTITUTE(SUBSTITUTE(SUBSTITUTE(SUBSTITUTE(TABLEAU!$A$177,CONCATENATE(" (LUNDI ",DAY(LUNDI.DATE)," ",LOOKUP(MONTH(LUNDI.DATE),MOIS)," ")," ("),"((","("),CONCATENATE(" (LUNDI 1ER ",LOOKUP(MONTH(LUNDI.DATE),MOIS)," ")," ("),"= (","= #("))</f>
        <v>LUNDI {3 PROG}= #(A 18H50 SUR TFX): [TELE-REALITE]# &amp; #(A 19H50 SUR W9): [LES MARSEILLAIS]# &amp; #(A 23H00 SUR TF1): [NEW YORK UNITE SPECIALE]#</v>
      </c>
      <c r="C83" s="786" t="str">
        <f ca="1">TRIM(SUBSTITUTE(SUBSTITUTE(SUBSTITUTE(SUBSTITUTE(TABLEAU!$A$178,CONCATENATE(" (MARDI ",DAY(MARDI.DATE)," ",LOOKUP(MONTH(MARDI.DATE),MOIS)," ")," ("),"((","("),CONCATENATE(" (MARDI 1ER ",LOOKUP(MONTH(MARDI.DATE),MOIS)," ")," ("),"= (","= #("))</f>
        <v>MARDI {3 PROG}= #(A 18H50 SUR TFX): [TELE-REALITE]# &amp; #(A 19H50 SUR W9): [LES MARSEILLAIS]# &amp; #(A 21H05 SUR TF1): [S.W.A.T]#</v>
      </c>
      <c r="D83" s="786" t="str">
        <f ca="1">TRIM(SUBSTITUTE(SUBSTITUTE(SUBSTITUTE(SUBSTITUTE(TABLEAU!$A$179,CONCATENATE(" (MERCREDI ",DAY(MERCREDI.DATE)," ",LOOKUP(MONTH(MERCREDI.DATE),MOIS)," ")," ("),"((","("),CONCATENATE(" (MERCREDI 1ER ",LOOKUP(MONTH(MERCREDI.DATE),MOIS)," ")," ("),"= (","= #("))</f>
        <v>MERCREDI {3 PROG}= #(A 18H50 SUR TFX): [TELE-REALITE]# &amp; #(A 19H50 SUR W9): [LES MARSEILLAIS]# &amp; #(A 20H40 SUR AB1): [RAW]#</v>
      </c>
      <c r="E83" s="962" t="str">
        <f ca="1">TRIM(SUBSTITUTE(SUBSTITUTE(SUBSTITUTE(SUBSTITUTE(TABLEAU!$A$180,CONCATENATE(" (JEUDI ",DAY(JEUDI.DATE)," ",LOOKUP(MONTH(JEUDI.DATE),MOIS)," ")," ("),"((","("),CONCATENATE(" (JEUDI 1ER ",LOOKUP(MONTH(JEUDI.DATE),MOIS)," ")," ("),"= (","= #("))</f>
        <v>JEUDI {2 PROG}= #(A 18H50 SUR TFX): [TELE-REALITE]# &amp; #(A 19H50 SUR W9): [LES MARSEILLAIS]#</v>
      </c>
      <c r="F83" s="975"/>
      <c r="G83" s="1212"/>
      <c r="H83" s="972"/>
      <c r="I83" s="788" t="str">
        <f ca="1">TRIM(SUBSTITUTE(SUBSTITUTE(SUBSTITUTE(SUBSTITUTE(TABLEAU!$A$181,CONCATENATE(" (VENDREDI ",DAY(VENDREDI.DATE)," ",LOOKUP(MONTH(VENDREDI.DATE),MOIS)," ")," ("),"((","("),CONCATENATE(" (VENDREDI 1ER ",LOOKUP(MONTH(VENDREDI.DATE),MOIS)," ")," ("),"= (","= #("))</f>
        <v>VENDREDI {2 PROG}= #(A 18H50 SUR TFX): [TELE-REALITE]# &amp; #(A 19H50 SUR W9): [LES MARSEILLAIS]#</v>
      </c>
      <c r="J83" s="787" t="str">
        <f ca="1">TRIM(SUBSTITUTE(SUBSTITUTE(SUBSTITUTE(SUBSTITUTE(TABLEAU!$A$182,CONCATENATE(" (SAMEDI ",DAY(SAMEDI.DATE)," ",LOOKUP(MONTH(SAMEDI.DATE),MOIS)," ")," ("),"((","("),CONCATENATE(" (SAMEDI 1ER ",LOOKUP(MONTH(SAMEDI.DATE),MOIS)," ")," ("),"= (","= #("))</f>
        <v>SAMEDI {2 PROG}= #DANS 7H45 (A 20H45): [CHAMPIONNAT]# &amp; #DANS 7H40 (A 20H40 SUR AB1): [SMACKDOWN]#</v>
      </c>
      <c r="K83" s="2313" t="str">
        <f ca="1">TRIM(SUBSTITUTE(SUBSTITUTE(SUBSTITUTE(SUBSTITUTE(TABLEAU!$A$183,CONCATENATE(" (DIMANCHE ",DAY(DIMANCHE.DATE)," ",LOOKUP(MONTH(DIMANCHE.DATE),MOIS)," ")," ("),"((","("),CONCATENATE(" (DIMANCHE 1ER ",LOOKUP(MONTH(DIMANCHE.DATE),MOIS)," ")," ("),"= (","= #("))</f>
        <v>DIMANCHE</v>
      </c>
      <c r="L83" s="2314" t="str">
        <f ca="1">TRIM(SUBSTITUTE(SUBSTITUTE(SUBSTITUTE(SUBSTITUTE(TABLEAU!$A$182,CONCATENATE(" (SAMEDI ",DAY(SAMEDI.DATE)," ",LOOKUP(MONTH(SAMEDI.DATE),MOIS)," ")," ("),"((","("),CONCATENATE(" (SAMEDI 1ER ",LOOKUP(MONTH(SAMEDI.DATE),MOIS)," ")," ("),"= (","= #("))</f>
        <v>SAMEDI {2 PROG}= #DANS 7H45 (A 20H45): [CHAMPIONNAT]# &amp; #DANS 7H40 (A 20H40 SUR AB1): [SMACKDOWN]#</v>
      </c>
      <c r="M83" s="2290" t="str">
        <f ca="1">UPPER(SUBSTITUTE(SUBSTITUTE(SUBSTITUTE(IF(AND(Q="",TABLEAU!$AM$47="",FERIE&lt;&gt;"",TABLEAU!$W$49=""),FERIE.4,TRIM(SUBSTITUTE(SUBSTITUTE(SUBSTITUTE(SUBSTITUTE(SUBSTITUTE(SUBSTITUTE(SUBSTITUTE(IF(Q&lt;&gt;"",CONCATENATE(Q," &amp; ",TABLEAU!$AM$47," &amp; ",FERIE," ",TABLEAU!$W$49,"EEE"),CONCATENATE(TABLEAU!$AM$47," &amp; ",FERIE," ",TABLEAU!$W$49,"EEE")),"## {","#{"),"##","# &amp; #"),"# {","#{"),"# &amp; # &amp; ","# &amp; ")," &amp; EEE",""),"#EEE","#")," &amp;  EEE",""))),CONCATENATE(Q," &amp; &amp; ",Q),Q),"# EEE","#")," &amp; &amp; "," &amp; "))</f>
        <v/>
      </c>
      <c r="N83" s="2291"/>
      <c r="O83" s="2292"/>
      <c r="P83" s="2383" t="str">
        <f ca="1">CONCATENATE(LOOKUP(WEEKDAY(A),SEMAINE)," ",DAY(A)," ",LOOKUP(MONTH(B),MOIS)," ")</f>
        <v xml:space="preserve">SAMEDI 2 NOVEMBRE </v>
      </c>
      <c r="Q83" s="2384"/>
      <c r="R83" s="2384"/>
      <c r="S83" s="2384"/>
      <c r="T83" s="2384"/>
      <c r="U83" s="2384"/>
      <c r="V83" s="2385"/>
      <c r="W83" s="823"/>
      <c r="X83" s="450"/>
      <c r="Y83" s="1831" t="str">
        <f ca="1">UPPER(SUBSTITUTE(SUBSTITUTE(SUBSTITUTE(SUBSTITUTE(SUBSTITUTE(SUBSTITUTE(SUBSTITUTE(TABLEAU!$A$195," &gt; &amp; &lt;",""),"# &gt; &amp; ","# &gt;"),"&gt; &amp; ","&gt;"),"&gt;&lt;",""),"]]","]"),"#PRENDRE LES MEDICAMENTS# PRENDRE LES MEDICAMENTS","#PRENDRE LES MEDICAMENTS#"),"# #","# &amp; #"))</f>
        <v>~SAMEDI 2 NOVEMBRE 2019 [13:00:00]~                           #DANS 3J= ''67H00'' ~ (5 NOV (A 8H00): [COUPE OEUF]# &amp; #DANS 7H45 (A 20H45): [CHAMPIONNAT]# &amp; #DANS 7H40 (A 20H40 SUR AB1): [SMACKDOWN]#</v>
      </c>
      <c r="Z83" s="1832"/>
      <c r="AA83" s="1630" t="str">
        <f ca="1">SUBSTITUTE(SUBSTITUTE(SUBSTITUTE(SUBSTITUTE(SUBSTITUTE(SUBSTITUTE(SUBSTITUTE(SUBSTITUTE(SUBSTITUTE(SUBSTITUTE(SUBSTITUTE(SUBSTITUTE(CONCATENATE("[",TABLEAU!$G$128," &amp; ",TABLEAU!$G$129," &amp; ",TABLEAU!$G$130," &amp; ",TABLEAU!$G$131,"ALLEZ L'OM]#"),"DANS","#DANS"),"] &amp; #D","]# &amp; #D"),"##","#"),"[ &amp; ","")," &amp;  &amp; "," &amp; ")," &amp; ]",""),"]]","]"),"[#DEPASSE","#DEPASSE"),"##","#"),"[#","#")," &amp;  &amp; ALLEZ L'OM]#","")," &amp; ALLEZ L'OM]#","")</f>
        <v>#DANS 7H45 (A 20H45): [CHAMPIONNAT]# &amp;  &amp; #DANS 7H40 (A 20H40 SUR AB1): [SMACKDOWN]#ALLEZ L'OM]#</v>
      </c>
      <c r="AB83" s="1631"/>
      <c r="AC83" s="1631"/>
      <c r="AD83" s="1631"/>
      <c r="AE83" s="1632"/>
      <c r="AF83" s="1687"/>
      <c r="AG83" s="1688"/>
      <c r="AH83" s="1688"/>
      <c r="AI83" s="1689"/>
      <c r="AJ83" s="15"/>
      <c r="AK83" s="15"/>
      <c r="AL83" s="1741"/>
      <c r="AM83" s="1742"/>
      <c r="AN83" s="1742"/>
      <c r="AO83" s="1742"/>
      <c r="AP83" s="1742"/>
      <c r="AQ83" s="1742"/>
      <c r="AR83" s="1742"/>
      <c r="AS83" s="1742"/>
      <c r="AT83" s="1742"/>
      <c r="AU83" s="1742"/>
      <c r="AV83" s="1742"/>
      <c r="AW83" s="1742"/>
      <c r="AX83" s="1743"/>
      <c r="AY83" s="1489"/>
      <c r="AZ83" s="1527"/>
      <c r="BA83" s="1489"/>
    </row>
    <row r="84" spans="1:53" ht="21" hidden="1" customHeight="1">
      <c r="A84" s="72" t="str">
        <f ca="1">SUBSTITUTE(SUBSTITUTE(IF(OR(DATE.1="",DATE.1&lt;&gt;A,HEURE.1="",TYPE.1="",RDV.1="DEPASSE"),"",IF(TABLEAU!$A$102&lt;&gt;"",TABLEAU!$A$102,IF(DATE.1=A,TABLEAU!$C$102,""))),CONCATENATE("DANS 0"),"DANS ")," [0]"," [MANQUE LE RDV]")</f>
        <v/>
      </c>
      <c r="B84" s="374" t="str">
        <f ca="1">SUBSTITUTE(SUBSTITUTE(SUBSTITUTE(IF(AND(DATE.RDV.TV="LUNDI",TABLEAU!$L$33="#DEPASSE#"),TABLEAU!$I$33,SUBSTITUTE(SUBSTITUTE(SUBSTITUTE(SUBSTITUTE(SUBSTITUTE(IF(COUNTIF(SEM,"LUNDI")=0,"",IF(TABLEAU!$E$33="LUNDI",CONCATENATE("[",TABLEAU!$U$33),"")),"( ","("),"()",""),"&gt;(","("),CONCATENATE("(LUNDI ",DAY(LUNDI.DATE)," ",LOOKUP(MONTH(LUNDI.DATE),MOIS)," ",YEAR(LUNDI.DATE)," "),"("),CONCATENATE("(LUNDI 1ER ",LOOKUP(MONTH(LUNDI.DATE),MOIS)," ",YEAR(LUNDI.DATE)," "),"(")),"'' (","'' ~ ("),"[(",CONCATENATE(LUNDI.DANS," (")),"[~","")</f>
        <v/>
      </c>
      <c r="C84" s="375" t="str">
        <f ca="1">SUBSTITUTE(SUBSTITUTE(SUBSTITUTE(IF(AND(DATE.RDV.TV="MARDI",TABLEAU!$L$33="#DEPASSE#"),TABLEAU!$I$33,SUBSTITUTE(SUBSTITUTE(SUBSTITUTE(SUBSTITUTE(SUBSTITUTE(IF(COUNTIF(SEM,"MARDI")=0,"",IF(TABLEAU!$E$33="MARDI",CONCATENATE("[",TABLEAU!$U$33),"")),"( ","("),"()",""),"&gt;(","("),CONCATENATE("(MARDI ",DAY(MARDI.DATE)," ",LOOKUP(MONTH(MARDI.DATE),MOIS)," ",YEAR(MARDI.DATE)," "),"("),CONCATENATE("(MARDI 1ER ",LOOKUP(MONTH(MARDI.DATE),MOIS)," ",YEAR(MARDI.DATE)," "),"(")),"'' (","'' ~ ("),"[(",CONCATENATE(MARDI.DANS," (")),"[~","")</f>
        <v/>
      </c>
      <c r="D84" s="375" t="str">
        <f ca="1">SUBSTITUTE(SUBSTITUTE(SUBSTITUTE(IF(AND(DATE.RDV.TV="MERCREDI",TABLEAU!$L$33="#DEPASSE#"),TABLEAU!$I$33,SUBSTITUTE(SUBSTITUTE(SUBSTITUTE(SUBSTITUTE(SUBSTITUTE(IF(COUNTIF(SEM,"MERCREDI")=0,"",IF(TABLEAU!$E$33="MERCREDI",CONCATENATE("[",TABLEAU!$U$33),"")),"( ","("),"()",""),"&gt;(","("),CONCATENATE("(MERCREDI ",DAY(MERCREDI.DATE)," ",LOOKUP(MONTH(MERCREDI.DATE),MOIS)," ",YEAR(MERCREDI.DATE)," "),"("),CONCATENATE("(MERCREDI 1ER ",LOOKUP(MONTH(MERCREDI.DATE),MOIS)," ",YEAR(MERCREDI.DATE)," "),"(")),"'' (","'' ~ ("),"[(",CONCATENATE(MERCREDI.DANS," (")),"[~","")</f>
        <v/>
      </c>
      <c r="E84" s="963" t="str">
        <f ca="1">SUBSTITUTE(SUBSTITUTE(SUBSTITUTE(IF(AND(DATE.RDV.TV="JEUDI",TABLEAU!$L$33="#DEPASSE#"),TABLEAU!$I$33,SUBSTITUTE(SUBSTITUTE(SUBSTITUTE(SUBSTITUTE(SUBSTITUTE(IF(COUNTIF(SEM,"JEUDI")=0,"",IF(TABLEAU!$E$33="JEUDI",CONCATENATE("[",TABLEAU!$U$33),"")),"( ","("),"()",""),"&gt;(","("),CONCATENATE("(JEUDI ",DAY(JEUDI.DATE)," ",LOOKUP(MONTH(JEUDI.DATE),MOIS)," ",YEAR(JEUDI.DATE)," "),"("),CONCATENATE("(JEUDI 1ER ",LOOKUP(MONTH(JEUDI.DATE),MOIS)," ",YEAR(JEUDI.DATE)," "),"(")),"'' (","'' ~ ("),"[(",CONCATENATE(JEUDI.DANS," (")),"[~","")</f>
        <v/>
      </c>
      <c r="F84" s="976"/>
      <c r="G84" s="1494"/>
      <c r="H84" s="973"/>
      <c r="I84" s="1407" t="str">
        <f ca="1">SUBSTITUTE(SUBSTITUTE(SUBSTITUTE(IF(AND(DATE.RDV.TV="VENDREDI",TABLEAU!$L$33="#DEPASSE#"),TABLEAU!$I$33,SUBSTITUTE(SUBSTITUTE(SUBSTITUTE(SUBSTITUTE(SUBSTITUTE(IF(COUNTIF(SEM,"VENDREDI")=0,"",IF(TABLEAU!$E$33="VENDREDI",CONCATENATE("[",TABLEAU!$U$33),"")),"( ","("),"()",""),"&gt;(","("),CONCATENATE("(VENDREDI ",DAY(VENDREDI.DATE)," ",LOOKUP(MONTH(VENDREDI.DATE),MOIS)," ",YEAR(VENDREDI.DATE)," "),"("),CONCATENATE("(VENDREDI 1ER ",LOOKUP(MONTH(VENDREDI.DATE),MOIS)," ",YEAR(VENDREDI.DATE)," "),"(")),"'' (","'' ~ ("),"[(",CONCATENATE(VENDREDI.DANS," (")),"[~","")</f>
        <v/>
      </c>
      <c r="J84" s="377" t="str">
        <f ca="1">SUBSTITUTE(SUBSTITUTE(SUBSTITUTE(IF(AND(DATE.RDV.TV="SAMEDI",TABLEAU!$L$33="#DEPASSE#"),TABLEAU!$I$33,SUBSTITUTE(SUBSTITUTE(SUBSTITUTE(SUBSTITUTE(SUBSTITUTE(IF(COUNTIF(SEM,"SAMEDI")=0,"",IF(TABLEAU!$E$33="SAMEDI",CONCATENATE("[",TABLEAU!$U$33),"")),"( ","("),"()",""),"&gt;(","("),CONCATENATE("(SAMEDI ",DAY(SAMEDI.DATE)," ",LOOKUP(MONTH(SAMEDI.DATE),MOIS)," ",YEAR(SAMEDI.DATE)," "),"("),CONCATENATE("(SAMEDI 1ER ",LOOKUP(MONTH(SAMEDI.DATE),MOIS)," ",YEAR(SAMEDI.DATE)," "),"(")),"'' (","'' ~ ("),"[(",CONCATENATE(SAMEDI.DANS," (")),"[~","")</f>
        <v xml:space="preserve"> (A 20H45): [CHAMPIONNAT]</v>
      </c>
      <c r="K84" s="2204" t="str">
        <f ca="1">SUBSTITUTE(SUBSTITUTE(SUBSTITUTE(IF(AND(DATE.RDV.TV="DIMANCHE",TABLEAU!$L$33="#DEPASSE#"),TABLEAU!$I$33,SUBSTITUTE(SUBSTITUTE(SUBSTITUTE(SUBSTITUTE(SUBSTITUTE(IF(COUNTIF(SEM,"DIMANCHE")=0,"",IF(TABLEAU!$E$33="DIMANCHE",CONCATENATE("[",TABLEAU!$U$33),"")),"( ","("),"()",""),"&gt;(","("),CONCATENATE("(DIMANCHE ",DAY(DIMANCHE.DATE)," ",LOOKUP(MONTH(DIMANCHE.DATE),MOIS)," ",YEAR(DIMANCHE.DATE)," "),"("),CONCATENATE("(DIMANCHE 1ER ",LOOKUP(MONTH(DIMANCHE.DATE),MOIS)," ",YEAR(DIMANCHE.DATE)," "),"(")),"'' (","'' ~ ("),"[(",CONCATENATE(DIMANCHE.DANS," (")),"[~","")</f>
        <v/>
      </c>
      <c r="L84" s="2205" t="str">
        <f ca="1">SUBSTITUTE(SUBSTITUTE(SUBSTITUTE(IF(AND(DATE.RDV.TV="SAMEDI",TABLEAU!$L$33="#DEPASSE#"),TABLEAU!$I$33,SUBSTITUTE(SUBSTITUTE(SUBSTITUTE(SUBSTITUTE(SUBSTITUTE(IF(COUNTIF(SEM,"SAMEDI")=0,"",IF(TABLEAU!$E$33="SAMEDI",CONCATENATE("[",TABLEAU!$U$33),"")),"( ","("),"()",""),"&gt;(","("),CONCATENATE("(SAMEDI ",DAY(SAMEDI.DATE)," ",LOOKUP(MONTH(SAMEDI.DATE),MOIS)," ",YEAR(SAMEDI.DATE)," "),"("),CONCATENATE("(SAMEDI 1ER ",LOOKUP(MONTH(SAMEDI.DATE),MOIS)," ",YEAR(SAMEDI.DATE)," "),"(")),"'' (","'' ~ ("),"[(",CONCATENATE(SAMEDI.DANS," (")),"[~","")</f>
        <v xml:space="preserve"> (A 20H45): [CHAMPIONNAT]</v>
      </c>
      <c r="M84" s="2293"/>
      <c r="N84" s="2294"/>
      <c r="O84" s="2295"/>
      <c r="P84" s="2386"/>
      <c r="Q84" s="2387"/>
      <c r="R84" s="2387"/>
      <c r="S84" s="2387"/>
      <c r="T84" s="2387"/>
      <c r="U84" s="2387"/>
      <c r="V84" s="2388"/>
      <c r="W84" s="1573" t="str">
        <f ca="1">TRIM(SUBSTITUTE(SUBSTITUTE(SUBSTITUTE(TABLEAU!$W$48,"] #","]#"),"DEPASSE}#DEPASSE","DEPASSE}="),"DEPASSE}#DEPUIS","DEPASSE}= DEPUIS"))</f>
        <v/>
      </c>
      <c r="X84" s="96">
        <f ca="1">IF(DANS.L1&lt;&gt;"",HEURE.L1,"")</f>
        <v>0.86458333333333337</v>
      </c>
      <c r="Y84" s="1582" t="str">
        <f ca="1">UPPER(SUBSTITUTE(SUBSTITUTE(SUBSTITUTE(SUBSTITUTE(SUBSTITUTE(SUBSTITUTE(SUBSTITUTE(TABLEAU!$Y$83,"FORMULE 1= ",""),"(A 0","(A "),"&gt;[D","#D"),"[DANS ","DANS "),"(A :","(A 0:"),"# #","# &amp; #"),"0HIER","HIER"))</f>
        <v>~SAMEDI 2 NOVEMBRE 2019 [13:00:00]~                           #DANS 3J= ''67H00'' ~ (5 NOV (A 8H00): [COUPE OEUF]# &amp; #DANS 7H45 (A 20H45): [CHAMPIONNAT]# &amp; #DANS 7H40 (A 20H40 SUR AB1): [SMACKDOWN]#</v>
      </c>
      <c r="Z84" s="1583"/>
      <c r="AA84" s="1633"/>
      <c r="AB84" s="1634"/>
      <c r="AC84" s="1634"/>
      <c r="AD84" s="1634"/>
      <c r="AE84" s="1635"/>
      <c r="AF84" s="1762"/>
      <c r="AG84" s="1763"/>
      <c r="AH84" s="1763"/>
      <c r="AI84" s="1764"/>
      <c r="AJ84" s="15"/>
      <c r="AK84" s="15"/>
      <c r="AL84" s="1741"/>
      <c r="AM84" s="1742"/>
      <c r="AN84" s="1742"/>
      <c r="AO84" s="1742"/>
      <c r="AP84" s="1742"/>
      <c r="AQ84" s="1742"/>
      <c r="AR84" s="1742"/>
      <c r="AS84" s="1742"/>
      <c r="AT84" s="1742"/>
      <c r="AU84" s="1742"/>
      <c r="AV84" s="1742"/>
      <c r="AW84" s="1742"/>
      <c r="AX84" s="1743"/>
      <c r="AY84" s="1489"/>
      <c r="AZ84" s="1527"/>
      <c r="BA84" s="1489"/>
    </row>
    <row r="85" spans="1:53" ht="21" hidden="1" customHeight="1">
      <c r="A85" s="72" t="str">
        <f ca="1">SUBSTITUTE(SUBSTITUTE(IF(OR(DATE.2="",DATE.2&lt;&gt;A,HEURE.2="",TYPE.2="",RDV.2="DEPASSE"),"",IF(TABLEAU!$A$108&lt;&gt;"",TABLEAU!$A$108,IF(DATE.2=A,TABLEAU!$C$108,""))),CONCATENATE("DANS 0"),"DANS ")," [0]"," [MANQUE LE RDV]")</f>
        <v/>
      </c>
      <c r="B85" s="791" t="str">
        <f ca="1">SUBSTITUTE(IF(LUNDI.PROG.1="","",IF(AND(LUNDI.PROG.1&lt;&gt;"",TABLEAU!$L$34="#DEPASSE#"),TABLEAU!$B$34,SUBSTITUTE(SUBSTITUTE(SUBSTITUTE(SUBSTITUTE(IF(AND(LUNDI.PROG.1="",TABLEAU!$E$34=TABLEAU!$K$3),TABLEAU!$U$34,IF(AND(LUNDI.PROG.1&lt;&gt;"",TABLEAU!$E$34=TABLEAU!$K$3),CONCATENATE(" &amp; ",TABLEAU!$B$34),"")),CONCATENATE(LOOKUP(WEEKDAY(LUNDI.DATE),SEMAINE)," ",DAY(LUNDI.DATE)," ",LOOKUP(MONTH(LUNDI.DATE),MOIS)," ",YEAR(LUNDI.DATE)," "),""),"#DEPASSE",""),"&gt;(","("),"&gt;(","("))),"'' (","'' ~ (")</f>
        <v/>
      </c>
      <c r="C85" s="792" t="str">
        <f ca="1">SUBSTITUTE(IF(MARDI.PROG.1="","",IF(AND(MARDI.PROG.1&lt;&gt;"",TABLEAU!$L$34="#DEPASSE#"),TABLEAU!$B$34,SUBSTITUTE(SUBSTITUTE(SUBSTITUTE(SUBSTITUTE(IF(AND(MARDI.PROG.1="",TABLEAU!$E$34="MARDI"),TABLEAU!$U$34,IF(AND(MARDI.PROG.1&lt;&gt;"",TABLEAU!$E$34="MARDI"),CONCATENATE(" &amp; ",TABLEAU!$B$34),"")),CONCATENATE(LOOKUP(WEEKDAY(MARDI.DATE),SEMAINE)," ",DAY(MARDI.DATE)," ",LOOKUP(MONTH(MARDI.DATE),MOIS)," ",YEAR(MARDI.DATE)," "),""),"#DEPASSE",""),"&gt;(","("),"&gt;(","("))),"'' (","'' ~ (")</f>
        <v/>
      </c>
      <c r="D85" s="792" t="str">
        <f ca="1">SUBSTITUTE(IF(MERCREDI.PROG.1="","",IF(AND(MERCREDI.PROG.1&lt;&gt;"",TABLEAU!$L$34="#DEPASSE#"),TABLEAU!$B$34,SUBSTITUTE(SUBSTITUTE(SUBSTITUTE(SUBSTITUTE(IF(AND(MERCREDI.PROG.1="",TABLEAU!$E$34="MERCREDI"),TABLEAU!$U$34,IF(AND(MERCREDI.PROG.1&lt;&gt;"",TABLEAU!$E$34="MERCREDI"),CONCATENATE(" &amp; ",TABLEAU!$B$34),"")),CONCATENATE(LOOKUP(WEEKDAY(MERCREDI.DATE),SEMAINE)," ",DAY(MERCREDI.DATE)," ",LOOKUP(MONTH(MERCREDI.DATE),MOIS)," ",YEAR(MERCREDI.DATE)," "),""),"#DEPASSE",""),"&gt;(","("),"&gt;(","("))),"'' (","'' ~ (")</f>
        <v/>
      </c>
      <c r="E85" s="964" t="str">
        <f ca="1">SUBSTITUTE(IF(JEUDI.PROG.1="","",IF(AND(JEUDI.PROG.1&lt;&gt;"",TABLEAU!$L$34="#DEPASSE#"),TABLEAU!$B$34,SUBSTITUTE(SUBSTITUTE(SUBSTITUTE(SUBSTITUTE(IF(AND(JEUDI.PROG.1="",TABLEAU!$E$34="JEUDI"),TABLEAU!$U$34,IF(AND(JEUDI.PROG.1&lt;&gt;"",TABLEAU!$E$34="JEUDI"),CONCATENATE(" &amp; ",TABLEAU!$B$34),"")),CONCATENATE(LOOKUP(WEEKDAY(JEUDI.DATE),SEMAINE)," ",DAY(JEUDI.DATE)," ",LOOKUP(MONTH(JEUDI.DATE),MOIS)," ",YEAR(JEUDI.DATE)," "),""),"#DEPASSE",""),"&gt;(","("),"&gt;(","("))),"'' (","'' ~ (")</f>
        <v/>
      </c>
      <c r="F85" s="976"/>
      <c r="G85" s="1494"/>
      <c r="H85" s="973"/>
      <c r="I85" s="799" t="str">
        <f ca="1">SUBSTITUTE(IF(VENDREDI.PROG.1="","",IF(AND(VENDREDI.PROG.1&lt;&gt;"",TABLEAU!$L$34="#DEPASSE#"),TABLEAU!$B$34,SUBSTITUTE(SUBSTITUTE(SUBSTITUTE(SUBSTITUTE(IF(AND(VENDREDI.PROG.1="",TABLEAU!$E$34="VENDREDI"),TABLEAU!$U$34,IF(AND(VENDREDI.PROG.1&lt;&gt;"",TABLEAU!$E$34="VENDREDI"),CONCATENATE(" &amp; ",TABLEAU!$B$34),"")),CONCATENATE(LOOKUP(WEEKDAY(VENDREDI.DATE),SEMAINE)," ",DAY(VENDREDI.DATE)," ",LOOKUP(MONTH(VENDREDI.DATE),MOIS)," ",YEAR(VENDREDI.DATE)," "),""),"#DEPASSE",""),"&gt;(","("),"&gt;(","("))),"'' (","'' ~ (")</f>
        <v/>
      </c>
      <c r="J85" s="792" t="str">
        <f ca="1">SUBSTITUTE(IF(SAMEDI.PROG.1="","",IF(AND(SAMEDI.PROG.1&lt;&gt;"",TABLEAU!$L$34="#DEPASSE#"),TABLEAU!$B$34,SUBSTITUTE(SUBSTITUTE(SUBSTITUTE(SUBSTITUTE(IF(AND(SAMEDI.PROG.1="",TABLEAU!$E$34="SAMEDI"),TABLEAU!$U$34,IF(AND(SAMEDI.PROG.1&lt;&gt;"",TABLEAU!$E$34="SAMEDI"),CONCATENATE(" &amp; ",TABLEAU!$B$34),"")),CONCATENATE(LOOKUP(WEEKDAY(SAMEDI.DATE),SEMAINE)," ",DAY(SAMEDI.DATE)," ",LOOKUP(MONTH(SAMEDI.DATE),MOIS)," ",YEAR(SAMEDI.DATE)," "),""),"#DEPASSE",""),"&gt;(","("),"&gt;(","("))),"'' (","'' ~ (")</f>
        <v/>
      </c>
      <c r="K85" s="2206" t="str">
        <f ca="1">SUBSTITUTE(IF(DIMANCHE.PROG.1="","",IF(AND(DIMANCHE.PROG.1&lt;&gt;"",TABLEAU!$L$34="#DEPASSE#"),TABLEAU!$B$34,SUBSTITUTE(SUBSTITUTE(SUBSTITUTE(SUBSTITUTE(IF(AND(DIMANCHE.PROG.1="",TABLEAU!$E$34="DIMANCHE"),TABLEAU!$U$34,IF(AND(DIMANCHE.PROG.1&lt;&gt;"",TABLEAU!$E$34="DIMANCHE"),CONCATENATE(" &amp; ",TABLEAU!$B$34),"")),CONCATENATE(LOOKUP(WEEKDAY(DIMANCHE.DATE),SEMAINE)," ",DAY(DIMANCHE.DATE)," ",LOOKUP(MONTH(DIMANCHE.DATE),MOIS)," ",YEAR(DIMANCHE.DATE)," "),""),"#DEPASSE",""),"&gt;(","("),"&gt;(","("))),"'' (","'' ~ (")</f>
        <v/>
      </c>
      <c r="L85" s="2207"/>
      <c r="M85" s="2293"/>
      <c r="N85" s="2294"/>
      <c r="O85" s="2295"/>
      <c r="P85" s="2386"/>
      <c r="Q85" s="2387"/>
      <c r="R85" s="2387"/>
      <c r="S85" s="2387"/>
      <c r="T85" s="2387"/>
      <c r="U85" s="2387"/>
      <c r="V85" s="2388"/>
      <c r="W85" s="1574"/>
      <c r="X85" s="97">
        <f ca="1">IF(DANS.CONFEDERATIONS&lt;&gt;"",HEURE.CONFEDERATIONS,"")</f>
        <v>0.875</v>
      </c>
      <c r="Y85" s="1584"/>
      <c r="Z85" s="1585"/>
      <c r="AA85" s="1633"/>
      <c r="AB85" s="1634"/>
      <c r="AC85" s="1634"/>
      <c r="AD85" s="1634"/>
      <c r="AE85" s="1635"/>
      <c r="AF85" s="1762"/>
      <c r="AG85" s="1763"/>
      <c r="AH85" s="1763"/>
      <c r="AI85" s="1764"/>
      <c r="AJ85" s="15"/>
      <c r="AK85" s="15"/>
      <c r="AL85" s="1741"/>
      <c r="AM85" s="1742"/>
      <c r="AN85" s="1742"/>
      <c r="AO85" s="1742"/>
      <c r="AP85" s="1742"/>
      <c r="AQ85" s="1742"/>
      <c r="AR85" s="1742"/>
      <c r="AS85" s="1742"/>
      <c r="AT85" s="1742"/>
      <c r="AU85" s="1742"/>
      <c r="AV85" s="1742"/>
      <c r="AW85" s="1742"/>
      <c r="AX85" s="1743"/>
      <c r="AY85" s="1489"/>
      <c r="AZ85" s="1527"/>
      <c r="BA85" s="1489"/>
    </row>
    <row r="86" spans="1:53" ht="21" hidden="1" customHeight="1">
      <c r="A86" s="72" t="str">
        <f ca="1">SUBSTITUTE(SUBSTITUTE(IF(OR(DATE.3="",DATE.3&lt;&gt;A,HEURE.3="",TYPE.3="",RDV.3="DEPASSE"),"",IF(TABLEAU!$A$114&lt;&gt;"",TABLEAU!$A$114,IF(DATE.3=A,TABLEAU!$C$114,""))),CONCATENATE("DANS 0"),"DANS ")," [0]"," [MANQUE LE RDV]")</f>
        <v/>
      </c>
      <c r="B86" s="376" t="str">
        <f ca="1">SUBSTITUTE(IF(LUNDI.PROG.2="","",IF(AND(LUNDI.PROG.2&lt;&gt;"",TABLEAU!$L$35="#DEPASSE#"),TABLEAU!$B$35,SUBSTITUTE(SUBSTITUTE(SUBSTITUTE(SUBSTITUTE(IF(AND(LUNDI.PROG.2="",TABLEAU!$E$35=TABLEAU!$K$3),TABLEAU!$U$35,IF(AND(LUNDI.PROG.2&lt;&gt;"",TABLEAU!$E$35=TABLEAU!$K$3),CONCATENATE(" &amp; ",TABLEAU!$B$35),"")),CONCATENATE(LOOKUP(WEEKDAY(LUNDI.DATE),SEMAINE)," ",DAY(LUNDI.DATE)," ",LOOKUP(MONTH(LUNDI.DATE),MOIS)," ",YEAR(LUNDI.DATE)," "),""),"#DEPASSE",""),"&gt;(","("),"&gt;(","("))),"'' (","'' ~ (")</f>
        <v/>
      </c>
      <c r="C86" s="377" t="str">
        <f ca="1">SUBSTITUTE(IF(MARDI.PROG.2="","",IF(AND(MARDI.PROG.2&lt;&gt;"",TABLEAU!$L$35="#DEPASSE#"),TABLEAU!$B$35,SUBSTITUTE(SUBSTITUTE(SUBSTITUTE(SUBSTITUTE(IF(AND(MARDI.PROG.2="",TABLEAU!$E$35="MARDI"),TABLEAU!$U$35,IF(AND(MARDI.PROG.2&lt;&gt;"",TABLEAU!$E$35="MARDI"),CONCATENATE(" &amp; ",TABLEAU!$B$35),"")),CONCATENATE(LOOKUP(WEEKDAY(MARDI.DATE),SEMAINE)," ",DAY(MARDI.DATE)," ",LOOKUP(MONTH(MARDI.DATE),MOIS)," ",YEAR(MARDI.DATE)," "),""),"#DEPASSE",""),"&gt;(","("),"&gt;(","("))),"'' (","'' ~ (")</f>
        <v/>
      </c>
      <c r="D86" s="377" t="str">
        <f ca="1">SUBSTITUTE(IF(MERCREDI.PROG.2="","",IF(AND(MERCREDI.PROG.2&lt;&gt;"",TABLEAU!$L$35="#DEPASSE#"),TABLEAU!$B$35,SUBSTITUTE(SUBSTITUTE(SUBSTITUTE(SUBSTITUTE(IF(AND(MERCREDI.PROG.2="",TABLEAU!$E$35="MERCREDI"),TABLEAU!$U$35,IF(AND(MERCREDI.PROG.2&lt;&gt;"",TABLEAU!$E$35="MERCREDI"),CONCATENATE(" &amp; ",TABLEAU!$B$35),"")),CONCATENATE(LOOKUP(WEEKDAY(MERCREDI.DATE),SEMAINE)," ",DAY(MERCREDI.DATE)," ",LOOKUP(MONTH(MERCREDI.DATE),MOIS)," ",YEAR(MERCREDI.DATE)," "),""),"#DEPASSE",""),"&gt;(","("),"&gt;(","("))),"'' (","'' ~ (")</f>
        <v/>
      </c>
      <c r="E86" s="965" t="str">
        <f ca="1">SUBSTITUTE(IF(JEUDI.PROG.2="","",IF(AND(JEUDI.PROG.2&lt;&gt;"",TABLEAU!$L$35="#DEPASSE#"),TABLEAU!$B$35,SUBSTITUTE(SUBSTITUTE(SUBSTITUTE(SUBSTITUTE(IF(AND(JEUDI.PROG.2="",TABLEAU!$E$35="JEUDI"),TABLEAU!$U$35,IF(AND(JEUDI.PROG.2&lt;&gt;"",TABLEAU!$E$35="JEUDI"),CONCATENATE(" &amp; ",TABLEAU!$B$35),"")),CONCATENATE(LOOKUP(WEEKDAY(JEUDI.DATE),SEMAINE)," ",DAY(JEUDI.DATE)," ",LOOKUP(MONTH(JEUDI.DATE),MOIS)," ",YEAR(JEUDI.DATE)," "),""),"#DEPASSE",""),"&gt;(","("),"&gt;(","("))),"'' (","'' ~ (")</f>
        <v/>
      </c>
      <c r="F86" s="976"/>
      <c r="G86" s="1494"/>
      <c r="H86" s="973"/>
      <c r="I86" s="789" t="str">
        <f ca="1">SUBSTITUTE(IF(VENDREDI.PROG.2="","",IF(AND(VENDREDI.PROG.2&lt;&gt;"",TABLEAU!$L$35="#DEPASSE#"),TABLEAU!$B$35,SUBSTITUTE(SUBSTITUTE(SUBSTITUTE(SUBSTITUTE(IF(AND(VENDREDI.PROG.2="",TABLEAU!$E$35="VENDREDI"),TABLEAU!$U$35,IF(AND(VENDREDI.PROG.2&lt;&gt;"",TABLEAU!$E$35="VENDREDI"),CONCATENATE(" &amp; ",TABLEAU!$B$35),"")),CONCATENATE(LOOKUP(WEEKDAY(VENDREDI.DATE),SEMAINE)," ",DAY(VENDREDI.DATE)," ",LOOKUP(MONTH(VENDREDI.DATE),MOIS)," ",YEAR(VENDREDI.DATE)," "),""),"#DEPASSE",""),"&gt;(","("),"&gt;(","("))),"'' (","'' ~ (")</f>
        <v/>
      </c>
      <c r="J86" s="377" t="str">
        <f ca="1">SUBSTITUTE(IF(SAMEDI.PROG.2="","",IF(AND(SAMEDI.PROG.2&lt;&gt;"",TABLEAU!$L$35="#DEPASSE#"),TABLEAU!$B$35,SUBSTITUTE(SUBSTITUTE(SUBSTITUTE(SUBSTITUTE(IF(AND(SAMEDI.PROG.2="",TABLEAU!$E$35="SAMEDI"),TABLEAU!$U$35,IF(AND(SAMEDI.PROG.2&lt;&gt;"",TABLEAU!$E$35="SAMEDI"),CONCATENATE(" &amp; ",TABLEAU!$B$35),"")),CONCATENATE(LOOKUP(WEEKDAY(SAMEDI.DATE),SEMAINE)," ",DAY(SAMEDI.DATE)," ",LOOKUP(MONTH(SAMEDI.DATE),MOIS)," ",YEAR(SAMEDI.DATE)," "),""),"#DEPASSE",""),"&gt;(","("),"&gt;(","("))),"'' (","'' ~ (")</f>
        <v/>
      </c>
      <c r="K86" s="2208" t="str">
        <f ca="1">SUBSTITUTE(IF(DIMANCHE.PROG.2="","",IF(AND(DIMANCHE.PROG.2&lt;&gt;"",TABLEAU!$L$35="#DEPASSE#"),TABLEAU!$B$35,SUBSTITUTE(SUBSTITUTE(SUBSTITUTE(SUBSTITUTE(IF(AND(DIMANCHE.PROG.2="",TABLEAU!$E$35="DIMANCHE"),TABLEAU!$U$35,IF(AND(DIMANCHE.PROG.2&lt;&gt;"",TABLEAU!$E$35="DIMANCHE"),CONCATENATE(" &amp; ",TABLEAU!$B$35),"")),CONCATENATE(LOOKUP(WEEKDAY(DIMANCHE.DATE),SEMAINE)," ",DAY(DIMANCHE.DATE)," ",LOOKUP(MONTH(DIMANCHE.DATE),MOIS)," ",YEAR(DIMANCHE.DATE)," "),""),"#DEPASSE",""),"&gt;(","("),"&gt;(","("))),"'' (","'' ~ (")</f>
        <v/>
      </c>
      <c r="L86" s="2209"/>
      <c r="M86" s="2293"/>
      <c r="N86" s="2294"/>
      <c r="O86" s="2295"/>
      <c r="P86" s="2386"/>
      <c r="Q86" s="2387"/>
      <c r="R86" s="2387"/>
      <c r="S86" s="2387"/>
      <c r="T86" s="2387"/>
      <c r="U86" s="2387"/>
      <c r="V86" s="2388"/>
      <c r="W86" s="1574"/>
      <c r="X86" s="97">
        <f ca="1">IF(DANS.COUPE.FRANCE&lt;&gt;"",HEURE.FRANCE,"")</f>
        <v>0.83333333333333337</v>
      </c>
      <c r="Y86" s="1584"/>
      <c r="Z86" s="1585"/>
      <c r="AA86" s="1633"/>
      <c r="AB86" s="1634"/>
      <c r="AC86" s="1634"/>
      <c r="AD86" s="1634"/>
      <c r="AE86" s="1635"/>
      <c r="AF86" s="1762"/>
      <c r="AG86" s="1763"/>
      <c r="AH86" s="1763"/>
      <c r="AI86" s="1764"/>
      <c r="AJ86" s="15"/>
      <c r="AK86" s="15"/>
      <c r="AL86" s="1741"/>
      <c r="AM86" s="1742"/>
      <c r="AN86" s="1742"/>
      <c r="AO86" s="1742"/>
      <c r="AP86" s="1742"/>
      <c r="AQ86" s="1742"/>
      <c r="AR86" s="1742"/>
      <c r="AS86" s="1742"/>
      <c r="AT86" s="1742"/>
      <c r="AU86" s="1742"/>
      <c r="AV86" s="1742"/>
      <c r="AW86" s="1742"/>
      <c r="AX86" s="1743"/>
      <c r="AY86" s="1489"/>
      <c r="AZ86" s="1527"/>
      <c r="BA86" s="1489"/>
    </row>
    <row r="87" spans="1:53" ht="21" hidden="1" customHeight="1">
      <c r="A87" s="72" t="str">
        <f ca="1">SUBSTITUTE(SUBSTITUTE(IF(OR(DATE.4="",DATE.4&lt;&gt;A,HEURE.4="",TYPE.4="",RDV.4="DEPASSE"),"",IF(HEURE.F1&lt;&gt;"",HEURE.F1,IF(DATE.4=A,TABLEAU!$C$120,""))),CONCATENATE("DANS 0"),"DANS ")," [0]"," [MANQUE LE RDV]")</f>
        <v/>
      </c>
      <c r="B87" s="791" t="str">
        <f ca="1">SUBSTITUTE(IF(LUNDI.PROG.3="","",IF(AND(LUNDI.PROG.3&lt;&gt;"",TABLEAU!$L$36="#DEPASSE#"),TABLEAU!$B$36,SUBSTITUTE(SUBSTITUTE(SUBSTITUTE(SUBSTITUTE(IF(AND(LUNDI.PROG.3="",TABLEAU!$E$36=TABLEAU!$K$3),TABLEAU!$U$36,IF(AND(LUNDI.PROG.3&lt;&gt;"",TABLEAU!$E$36=TABLEAU!$K$3),CONCATENATE(" &amp; ",TABLEAU!$B$36),"")),CONCATENATE(LOOKUP(WEEKDAY(LUNDI.DATE),SEMAINE)," ",DAY(LUNDI.DATE)," ",LOOKUP(MONTH(LUNDI.DATE),MOIS)," ",YEAR(LUNDI.DATE)," "),""),"#DEPASSE",""),"&gt;(","("),"&gt;(","("))),"'' (","'' ~ (")</f>
        <v/>
      </c>
      <c r="C87" s="792" t="str">
        <f ca="1">SUBSTITUTE(IF(MARDI.PROG.3="","",IF(AND(MARDI.PROG.3&lt;&gt;"",TABLEAU!$L$36="#DEPASSE#"),TABLEAU!$B$36,SUBSTITUTE(SUBSTITUTE(SUBSTITUTE(SUBSTITUTE(IF(AND(MARDI.PROG.3="",TABLEAU!$E$36="MARDI"),TABLEAU!$U$36,IF(AND(MARDI.PROG.3&lt;&gt;"",TABLEAU!$E$36="MARDI"),CONCATENATE(" &amp; ",TABLEAU!$B$36),"")),CONCATENATE(LOOKUP(WEEKDAY(MARDI.DATE),SEMAINE)," ",DAY(MARDI.DATE)," ",LOOKUP(MONTH(MARDI.DATE),MOIS)," ",YEAR(MARDI.DATE)," "),""),"#DEPASSE",""),"&gt;(","("),"&gt;(","("))),"'' (","'' ~ (")</f>
        <v/>
      </c>
      <c r="D87" s="792" t="str">
        <f ca="1">SUBSTITUTE(IF(MERCREDI.PROG.3="","",IF(AND(MERCREDI.PROG.3&lt;&gt;"",TABLEAU!$L$36="#DEPASSE#"),TABLEAU!$B$36,SUBSTITUTE(SUBSTITUTE(SUBSTITUTE(SUBSTITUTE(IF(AND(MERCREDI.PROG.3="",TABLEAU!$E$36="MERCREDI"),TABLEAU!$U$36,IF(AND(MERCREDI.PROG.3&lt;&gt;"",TABLEAU!$E$36="MERCREDI"),CONCATENATE(" &amp; ",TABLEAU!$B$36),"")),CONCATENATE(LOOKUP(WEEKDAY(MERCREDI.DATE),SEMAINE)," ",DAY(MERCREDI.DATE)," ",LOOKUP(MONTH(MERCREDI.DATE),MOIS)," ",YEAR(MERCREDI.DATE)," "),""),"#DEPASSE",""),"&gt;(","("),"&gt;(","("))),"'' (","'' ~ (")</f>
        <v/>
      </c>
      <c r="E87" s="964" t="str">
        <f ca="1">SUBSTITUTE(IF(JEUDI.PROG.3="","",IF(AND(JEUDI.PROG.3&lt;&gt;"",TABLEAU!$L$36="#DEPASSE#"),TABLEAU!$B$36,SUBSTITUTE(SUBSTITUTE(SUBSTITUTE(SUBSTITUTE(IF(AND(JEUDI.PROG.3="",TABLEAU!$E$36="JEUDI"),TABLEAU!$U$36,IF(AND(JEUDI.PROG.3&lt;&gt;"",TABLEAU!$E$36="JEUDI"),CONCATENATE(" &amp; ",TABLEAU!$B$36),"")),CONCATENATE(LOOKUP(WEEKDAY(JEUDI.DATE),SEMAINE)," ",DAY(JEUDI.DATE)," ",LOOKUP(MONTH(JEUDI.DATE),MOIS)," ",YEAR(JEUDI.DATE)," "),""),"#DEPASSE",""),"&gt;(","("),"&gt;(","("))),"'' (","'' ~ (")</f>
        <v/>
      </c>
      <c r="F87" s="976"/>
      <c r="G87" s="1494"/>
      <c r="H87" s="973"/>
      <c r="I87" s="799" t="str">
        <f ca="1">SUBSTITUTE(IF(VENDREDI.PROG.3="","",IF(AND(VENDREDI.PROG.3&lt;&gt;"",TABLEAU!$L$36="#DEPASSE#"),TABLEAU!$B$36,SUBSTITUTE(SUBSTITUTE(SUBSTITUTE(SUBSTITUTE(IF(AND(VENDREDI.PROG.3="",TABLEAU!$E$36="VENDREDI"),TABLEAU!$U$36,IF(AND(VENDREDI.PROG.3&lt;&gt;"",TABLEAU!$E$36="VENDREDI"),CONCATENATE(" &amp; ",TABLEAU!$B$36),"")),CONCATENATE(LOOKUP(WEEKDAY(VENDREDI.DATE),SEMAINE)," ",DAY(VENDREDI.DATE)," ",LOOKUP(MONTH(VENDREDI.DATE),MOIS)," ",YEAR(VENDREDI.DATE)," "),""),"#DEPASSE",""),"&gt;(","("),"&gt;(","("))),"'' (","'' ~ (")</f>
        <v/>
      </c>
      <c r="J87" s="792" t="str">
        <f ca="1">SUBSTITUTE(IF(SAMEDI.PROG.3="","",IF(AND(SAMEDI.PROG.3&lt;&gt;"",TABLEAU!$L$36="#DEPASSE#"),TABLEAU!$B$36,SUBSTITUTE(SUBSTITUTE(SUBSTITUTE(SUBSTITUTE(IF(AND(SAMEDI.PROG.3="",TABLEAU!$E$36="SAMEDI"),TABLEAU!$U$36,IF(AND(SAMEDI.PROG.3&lt;&gt;"",TABLEAU!$E$36="SAMEDI"),CONCATENATE(" &amp; ",TABLEAU!$B$36),"")),CONCATENATE(LOOKUP(WEEKDAY(SAMEDI.DATE),SEMAINE)," ",DAY(SAMEDI.DATE)," ",LOOKUP(MONTH(SAMEDI.DATE),MOIS)," ",YEAR(SAMEDI.DATE)," "),""),"#DEPASSE",""),"&gt;(","("),"&gt;(","("))),"'' (","'' ~ (")</f>
        <v/>
      </c>
      <c r="K87" s="2206" t="str">
        <f ca="1">SUBSTITUTE(IF(DIMANCHE.PROG.3="","",IF(AND(DIMANCHE.PROG.3&lt;&gt;"",TABLEAU!$L$36="#DEPASSE#"),TABLEAU!$B$36,SUBSTITUTE(SUBSTITUTE(SUBSTITUTE(SUBSTITUTE(IF(AND(DIMANCHE.PROG.3="",TABLEAU!$E$36="DIMANCHE"),TABLEAU!$U$36,IF(AND(DIMANCHE.PROG.3&lt;&gt;"",TABLEAU!$E$36="DIMANCHE"),CONCATENATE(" &amp; ",TABLEAU!$B$36),"")),CONCATENATE(LOOKUP(WEEKDAY(DIMANCHE.DATE),SEMAINE)," ",DAY(DIMANCHE.DATE)," ",LOOKUP(MONTH(DIMANCHE.DATE),MOIS)," ",YEAR(DIMANCHE.DATE)," "),""),"#DEPASSE",""),"&gt;(","("),"&gt;(","("))),"'' (","'' ~ (")</f>
        <v/>
      </c>
      <c r="L87" s="2207"/>
      <c r="M87" s="2293"/>
      <c r="N87" s="2294"/>
      <c r="O87" s="2295"/>
      <c r="P87" s="2386"/>
      <c r="Q87" s="2387"/>
      <c r="R87" s="2387"/>
      <c r="S87" s="2387"/>
      <c r="T87" s="2387"/>
      <c r="U87" s="2387"/>
      <c r="V87" s="2388"/>
      <c r="W87" s="1574"/>
      <c r="X87" s="97" t="str">
        <f ca="1">IF(DANS.COUPE.LIGUE&lt;&gt;"",HEURE.LIGUE,"")</f>
        <v>21:00</v>
      </c>
      <c r="Y87" s="1584"/>
      <c r="Z87" s="1585"/>
      <c r="AA87" s="1633"/>
      <c r="AB87" s="1634"/>
      <c r="AC87" s="1634"/>
      <c r="AD87" s="1634"/>
      <c r="AE87" s="1635"/>
      <c r="AF87" s="1762"/>
      <c r="AG87" s="1763"/>
      <c r="AH87" s="1763"/>
      <c r="AI87" s="1764"/>
      <c r="AJ87" s="15"/>
      <c r="AK87" s="15"/>
      <c r="AL87" s="1741"/>
      <c r="AM87" s="1742"/>
      <c r="AN87" s="1742"/>
      <c r="AO87" s="1742"/>
      <c r="AP87" s="1742"/>
      <c r="AQ87" s="1742"/>
      <c r="AR87" s="1742"/>
      <c r="AS87" s="1742"/>
      <c r="AT87" s="1742"/>
      <c r="AU87" s="1742"/>
      <c r="AV87" s="1742"/>
      <c r="AW87" s="1742"/>
      <c r="AX87" s="1743"/>
      <c r="AY87" s="1489"/>
      <c r="AZ87" s="1527"/>
      <c r="BA87" s="1489"/>
    </row>
    <row r="88" spans="1:53" ht="21" hidden="1" customHeight="1">
      <c r="A88" s="72"/>
      <c r="B88" s="376" t="str">
        <f ca="1">SUBSTITUTE(IF(LUNDI.PROG.4="","",IF(AND(LUNDI.PROG.4&lt;&gt;"",TABLEAU!$L$37="#DEPASSE#"),TABLEAU!$B$37,SUBSTITUTE(SUBSTITUTE(SUBSTITUTE(SUBSTITUTE(IF(AND(LUNDI.PROG.4="",TABLEAU!$E$37=TABLEAU!$K$3),TABLEAU!$U$37,IF(AND(LUNDI.PROG.4&lt;&gt;"",TABLEAU!$E$37=TABLEAU!$K$3),CONCATENATE(" &amp; ",TABLEAU!$B$37),"")),CONCATENATE(LOOKUP(WEEKDAY(LUNDI.DATE),SEMAINE)," ",DAY(LUNDI.DATE)," ",LOOKUP(MONTH(LUNDI.DATE),MOIS)," ",YEAR(LUNDI.DATE)," "),""),"#DEPASSE",""),"&gt;(","("),"&gt;(","("))),"'' (","'' ~ (")</f>
        <v/>
      </c>
      <c r="C88" s="377" t="str">
        <f ca="1">SUBSTITUTE(IF(MARDI.PROG.4="","",IF(AND(MARDI.PROG.4&lt;&gt;"",TABLEAU!$L$37="#DEPASSE#"),TABLEAU!$B$37,SUBSTITUTE(SUBSTITUTE(SUBSTITUTE(SUBSTITUTE(IF(AND(MARDI.PROG.4="",TABLEAU!$E$37="MARDI"),TABLEAU!$U$37,IF(AND(MARDI.PROG.4&lt;&gt;"",TABLEAU!$E$37="MARDI"),CONCATENATE(" &amp; ",TABLEAU!$B$37),"")),CONCATENATE(LOOKUP(WEEKDAY(MARDI.DATE),SEMAINE)," ",DAY(MARDI.DATE)," ",LOOKUP(MONTH(MARDI.DATE),MOIS)," ",YEAR(MARDI.DATE)," "),""),"#DEPASSE",""),"&gt;(","("),"&gt;(","("))),"'' (","'' ~ (")</f>
        <v/>
      </c>
      <c r="D88" s="377" t="str">
        <f ca="1">SUBSTITUTE(IF(MERCREDI.PROG.4="","",IF(AND(MERCREDI.PROG.4&lt;&gt;"",TABLEAU!$L$37="#DEPASSE#"),TABLEAU!$B$37,SUBSTITUTE(SUBSTITUTE(SUBSTITUTE(SUBSTITUTE(IF(AND(MERCREDI.PROG.4="",TABLEAU!$E$37="MERCREDI"),TABLEAU!$U$37,IF(AND(MERCREDI.PROG.4&lt;&gt;"",TABLEAU!$E$37="MERCREDI"),CONCATENATE(" &amp; ",TABLEAU!$B$37),"")),CONCATENATE(LOOKUP(WEEKDAY(MERCREDI.DATE),SEMAINE)," ",DAY(MERCREDI.DATE)," ",LOOKUP(MONTH(MERCREDI.DATE),MOIS)," ",YEAR(MERCREDI.DATE)," "),""),"#DEPASSE",""),"&gt;(","("),"&gt;(","("))),"'' (","'' ~ (")</f>
        <v/>
      </c>
      <c r="E88" s="965" t="str">
        <f ca="1">SUBSTITUTE(IF(JEUDI.PROG.4="","",IF(AND(JEUDI.PROG.4&lt;&gt;"",TABLEAU!$L$37="#DEPASSE#"),TABLEAU!$B$37,SUBSTITUTE(SUBSTITUTE(SUBSTITUTE(SUBSTITUTE(IF(AND(JEUDI.PROG.4="",TABLEAU!$E$37="JEUDI"),TABLEAU!$U$37,IF(AND(JEUDI.PROG.4&lt;&gt;"",TABLEAU!$E$37="JEUDI"),CONCATENATE(" &amp; ",TABLEAU!$B$37),"")),CONCATENATE(LOOKUP(WEEKDAY(JEUDI.DATE),SEMAINE)," ",DAY(JEUDI.DATE)," ",LOOKUP(MONTH(JEUDI.DATE),MOIS)," ",YEAR(JEUDI.DATE)," "),""),"#DEPASSE",""),"&gt;(","("),"&gt;(","("))),"'' (","'' ~ (")</f>
        <v/>
      </c>
      <c r="F88" s="976"/>
      <c r="G88" s="1494"/>
      <c r="H88" s="973"/>
      <c r="I88" s="789" t="str">
        <f ca="1">SUBSTITUTE(IF(VENDREDI.PROG.4="","",IF(AND(VENDREDI.PROG.4&lt;&gt;"",TABLEAU!$L$37="#DEPASSE#"),TABLEAU!$B$37,SUBSTITUTE(SUBSTITUTE(SUBSTITUTE(SUBSTITUTE(IF(AND(VENDREDI.PROG.4="",TABLEAU!$E$37="VENDREDI"),TABLEAU!$U$37,IF(AND(VENDREDI.PROG.4&lt;&gt;"",TABLEAU!$E$37="VENDREDI"),CONCATENATE(" &amp; ",TABLEAU!$B$37),"")),CONCATENATE(LOOKUP(WEEKDAY(VENDREDI.DATE),SEMAINE)," ",DAY(VENDREDI.DATE)," ",LOOKUP(MONTH(VENDREDI.DATE),MOIS)," ",YEAR(VENDREDI.DATE)," "),""),"#DEPASSE",""),"&gt;(","("),"&gt;(","("))),"'' (","'' ~ (")</f>
        <v/>
      </c>
      <c r="J88" s="377" t="str">
        <f ca="1">SUBSTITUTE(IF(SAMEDI.PROG.4="","",IF(AND(SAMEDI.PROG.4&lt;&gt;"",TABLEAU!$L$37="#DEPASSE#"),TABLEAU!$B$37,SUBSTITUTE(SUBSTITUTE(SUBSTITUTE(SUBSTITUTE(IF(AND(SAMEDI.PROG.4="",TABLEAU!$E$37="SAMEDI"),TABLEAU!$U$37,IF(AND(SAMEDI.PROG.4&lt;&gt;"",TABLEAU!$E$37="SAMEDI"),CONCATENATE(" &amp; ",TABLEAU!$B$37),"")),CONCATENATE(LOOKUP(WEEKDAY(SAMEDI.DATE),SEMAINE)," ",DAY(SAMEDI.DATE)," ",LOOKUP(MONTH(SAMEDI.DATE),MOIS)," ",YEAR(SAMEDI.DATE)," "),""),"#DEPASSE",""),"&gt;(","("),"&gt;(","("))),"'' (","'' ~ (")</f>
        <v/>
      </c>
      <c r="K88" s="2208" t="str">
        <f ca="1">SUBSTITUTE(IF(DIMANCHE.PROG.4="","",IF(AND(DIMANCHE.PROG.4&lt;&gt;"",TABLEAU!$L$37="#DEPASSE#"),TABLEAU!$B$37,SUBSTITUTE(SUBSTITUTE(SUBSTITUTE(SUBSTITUTE(IF(AND(DIMANCHE.PROG.4="",TABLEAU!$E$37="DIMANCHE"),TABLEAU!$U$37,IF(AND(DIMANCHE.PROG.4&lt;&gt;"",TABLEAU!$E$37="DIMANCHE"),CONCATENATE(" &amp; ",TABLEAU!$B$37),"")),CONCATENATE(LOOKUP(WEEKDAY(DIMANCHE.DATE),SEMAINE)," ",DAY(DIMANCHE.DATE)," ",LOOKUP(MONTH(DIMANCHE.DATE),MOIS)," ",YEAR(DIMANCHE.DATE)," "),""),"#DEPASSE",""),"&gt;(","("),"&gt;(","("))),"'' (","'' ~ (")</f>
        <v/>
      </c>
      <c r="L88" s="2209"/>
      <c r="M88" s="2293"/>
      <c r="N88" s="2294"/>
      <c r="O88" s="2295"/>
      <c r="P88" s="2386"/>
      <c r="Q88" s="2387"/>
      <c r="R88" s="2387"/>
      <c r="S88" s="2387"/>
      <c r="T88" s="2387"/>
      <c r="U88" s="2387"/>
      <c r="V88" s="2388"/>
      <c r="W88" s="1574"/>
      <c r="X88" s="97" t="str">
        <f ca="1">IF(DANS.EURO&lt;&gt;"",HEURE.EURO,"")</f>
        <v>21:00</v>
      </c>
      <c r="Y88" s="1584"/>
      <c r="Z88" s="1585"/>
      <c r="AA88" s="1633"/>
      <c r="AB88" s="1634"/>
      <c r="AC88" s="1634"/>
      <c r="AD88" s="1634"/>
      <c r="AE88" s="1635"/>
      <c r="AF88" s="1762"/>
      <c r="AG88" s="1763"/>
      <c r="AH88" s="1763"/>
      <c r="AI88" s="1764"/>
      <c r="AJ88" s="15"/>
      <c r="AK88" s="15"/>
      <c r="AL88" s="1741"/>
      <c r="AM88" s="1742"/>
      <c r="AN88" s="1742"/>
      <c r="AO88" s="1742"/>
      <c r="AP88" s="1742"/>
      <c r="AQ88" s="1742"/>
      <c r="AR88" s="1742"/>
      <c r="AS88" s="1742"/>
      <c r="AT88" s="1742"/>
      <c r="AU88" s="1742"/>
      <c r="AV88" s="1742"/>
      <c r="AW88" s="1742"/>
      <c r="AX88" s="1743"/>
      <c r="AY88" s="1489"/>
      <c r="AZ88" s="1527"/>
      <c r="BA88" s="1489"/>
    </row>
    <row r="89" spans="1:53" ht="21" hidden="1" customHeight="1">
      <c r="A89" s="1050"/>
      <c r="B89" s="791"/>
      <c r="C89" s="792"/>
      <c r="D89" s="792"/>
      <c r="E89" s="964"/>
      <c r="F89" s="976"/>
      <c r="G89" s="1494"/>
      <c r="H89" s="973"/>
      <c r="I89" s="799"/>
      <c r="J89" s="792"/>
      <c r="K89" s="2206"/>
      <c r="L89" s="2207"/>
      <c r="M89" s="2293"/>
      <c r="N89" s="2294"/>
      <c r="O89" s="2295"/>
      <c r="P89" s="2386"/>
      <c r="Q89" s="2387"/>
      <c r="R89" s="2387"/>
      <c r="S89" s="2387"/>
      <c r="T89" s="2387"/>
      <c r="U89" s="2387"/>
      <c r="V89" s="2388"/>
      <c r="W89" s="1574"/>
      <c r="X89" s="97" t="str">
        <f ca="1">IF(DANS.GP&lt;&gt;"",HEURE.F1,"")</f>
        <v>17:00</v>
      </c>
      <c r="Y89" s="1584"/>
      <c r="Z89" s="1585"/>
      <c r="AA89" s="1633"/>
      <c r="AB89" s="1634"/>
      <c r="AC89" s="1634"/>
      <c r="AD89" s="1634"/>
      <c r="AE89" s="1635"/>
      <c r="AF89" s="1762"/>
      <c r="AG89" s="1763"/>
      <c r="AH89" s="1763"/>
      <c r="AI89" s="1764"/>
      <c r="AJ89" s="15"/>
      <c r="AK89" s="15"/>
      <c r="AL89" s="1741"/>
      <c r="AM89" s="1742"/>
      <c r="AN89" s="1742"/>
      <c r="AO89" s="1742"/>
      <c r="AP89" s="1742"/>
      <c r="AQ89" s="1742"/>
      <c r="AR89" s="1742"/>
      <c r="AS89" s="1742"/>
      <c r="AT89" s="1742"/>
      <c r="AU89" s="1742"/>
      <c r="AV89" s="1742"/>
      <c r="AW89" s="1742"/>
      <c r="AX89" s="1743"/>
      <c r="AY89" s="1489"/>
      <c r="AZ89" s="1527"/>
      <c r="BA89" s="1489"/>
    </row>
    <row r="90" spans="1:53" ht="21" hidden="1" customHeight="1" thickBot="1">
      <c r="A90" s="72"/>
      <c r="B90" s="378"/>
      <c r="C90" s="379"/>
      <c r="D90" s="379"/>
      <c r="E90" s="966"/>
      <c r="F90" s="977"/>
      <c r="G90" s="1495"/>
      <c r="H90" s="974"/>
      <c r="I90" s="790"/>
      <c r="J90" s="379"/>
      <c r="K90" s="2210"/>
      <c r="L90" s="2211"/>
      <c r="M90" s="2293"/>
      <c r="N90" s="2294"/>
      <c r="O90" s="2295"/>
      <c r="P90" s="2386"/>
      <c r="Q90" s="2387"/>
      <c r="R90" s="2387"/>
      <c r="S90" s="2387"/>
      <c r="T90" s="2387"/>
      <c r="U90" s="2387"/>
      <c r="V90" s="2388"/>
      <c r="W90" s="1574"/>
      <c r="X90" s="97" t="str">
        <f ca="1">IF(DANS.CHAMPIONS.LEAGUE&lt;&gt;"",HEURE.CHAMPIONS.LEAGUE,"")</f>
        <v>18:55</v>
      </c>
      <c r="Y90" s="1584"/>
      <c r="Z90" s="1585"/>
      <c r="AA90" s="1633"/>
      <c r="AB90" s="1634"/>
      <c r="AC90" s="1634"/>
      <c r="AD90" s="1634"/>
      <c r="AE90" s="1635"/>
      <c r="AF90" s="1762"/>
      <c r="AG90" s="1763"/>
      <c r="AH90" s="1763"/>
      <c r="AI90" s="1764"/>
      <c r="AJ90" s="15"/>
      <c r="AK90" s="15"/>
      <c r="AL90" s="1741"/>
      <c r="AM90" s="1742"/>
      <c r="AN90" s="1742"/>
      <c r="AO90" s="1742"/>
      <c r="AP90" s="1742"/>
      <c r="AQ90" s="1742"/>
      <c r="AR90" s="1742"/>
      <c r="AS90" s="1742"/>
      <c r="AT90" s="1742"/>
      <c r="AU90" s="1742"/>
      <c r="AV90" s="1742"/>
      <c r="AW90" s="1742"/>
      <c r="AX90" s="1743"/>
      <c r="AY90" s="1489"/>
      <c r="AZ90" s="1527"/>
      <c r="BA90" s="1489"/>
    </row>
    <row r="91" spans="1:53" ht="21" hidden="1" customHeight="1" thickTop="1">
      <c r="A91" s="72" t="str">
        <f ca="1">UPPER(TRIM(SUBSTITUTE(SUBSTITUTE(SUBSTITUTE(SUBSTITUTE(SUBSTITUTE(TABLEAU!$G$1," &amp; &amp;",""),"] &amp;","]"),"[ &amp; ",""),"[DANS ","DANS "),"[MAINTENANT","MAINTENANT")))</f>
        <v>[</v>
      </c>
      <c r="B91" s="793" t="str">
        <f ca="1">IF(LUNDI.PROG.1="","",IF(AND(DATE.RDV.TV="LUNDI",TABLEAU!$L$33="#DEPASSE#"),"00:00",IF(COUNTIF(SEM,"LUNDI")=0,"",IF(TABLEAU!$E$33="LUNDI",TABLEAU!$M$33,""))))</f>
        <v/>
      </c>
      <c r="C91" s="794" t="str">
        <f ca="1">IF(MARDI.PROG.1="","",IF(AND(DATE.RDV.TV="MARDI",TABLEAU!$L$33="#DEPASSE#"),"00:00",IF(COUNTIF(SEM,"MARDI")=0,"",IF(TABLEAU!$E$33="MARDI",TABLEAU!$M$33,""))))</f>
        <v/>
      </c>
      <c r="D91" s="794" t="str">
        <f ca="1">IF(MERCREDI.PROG.1="","",IF(AND(DATE.RDV.TV="MERCREDI",TABLEAU!$L$33="#DEPASSE#"),"00:00",IF(COUNTIF(SEM,"MERCREDI")=0,"",IF(TABLEAU!$E$33="MERCREDI",TABLEAU!$M$33,""))))</f>
        <v/>
      </c>
      <c r="E91" s="967" t="str">
        <f ca="1">IF(JEUDI.PROG.1="","",IF(AND(DATE.RDV.TV="JEUDI",TABLEAU!$L$33="#DEPASSE#"),"00:00",IF(COUNTIF(SEM,"JEUDI")=0,"",IF(TABLEAU!$E$33="JEUDI",TABLEAU!$M$33,""))))</f>
        <v/>
      </c>
      <c r="F91" s="1549"/>
      <c r="G91" s="1550"/>
      <c r="H91" s="1551"/>
      <c r="I91" s="1406" t="str">
        <f ca="1">IF(VENDREDI.PROG.1="","",IF(AND(DATE.RDV.TV="VENDREDI",TABLEAU!$L$33="#DEPASSE#"),"00:00",IF(COUNTIF(SEM,"VENDREDI")=0,"",IF(TABLEAU!$E$33="VENDREDI",TABLEAU!$M$33,""))))</f>
        <v/>
      </c>
      <c r="J91" s="794">
        <f ca="1">IF(SAMEDI.PROG.1="","",IF(AND(DATE.RDV.TV="SAMEDI",TABLEAU!$L$33="#DEPASSE#"),"00:00",IF(COUNTIF(SEM,"SAMEDI")=0,"",IF(TABLEAU!$E$33="SAMEDI",TABLEAU!$M$33,""))))</f>
        <v>0.86458333333333337</v>
      </c>
      <c r="K91" s="2202" t="str">
        <f ca="1">IF(DIMANCHE.PROG.1="","",IF(AND(DATE.RDV.TV="DIMANCHE",TABLEAU!$L$33="#DEPASSE#"),"00:00",IF(COUNTIF(SEM,"DIMANCHE")=0,"",IF(TABLEAU!$E$33="DIMANCHE",TABLEAU!$M$33,""))))</f>
        <v/>
      </c>
      <c r="L91" s="2203" t="str">
        <f ca="1">IF(AND(DATE.RDV.TV="MERCREDI",$L33="#DEPASSE#"),"00:00",IF($D84="","",IF(COUNTIF(SEM,"MERCREDI")=0,"",IF($E33="MERCREDI",$M33,""))))</f>
        <v/>
      </c>
      <c r="M91" s="2293"/>
      <c r="N91" s="2294"/>
      <c r="O91" s="2295"/>
      <c r="P91" s="2386"/>
      <c r="Q91" s="2387"/>
      <c r="R91" s="2387"/>
      <c r="S91" s="2387"/>
      <c r="T91" s="2387"/>
      <c r="U91" s="2387"/>
      <c r="V91" s="2388"/>
      <c r="W91" s="1574"/>
      <c r="X91" s="97">
        <f ca="1">IF(DANS.MONDIAL&lt;&gt;"",HEURE.MONDIAL,"")</f>
        <v>0.70833333333333337</v>
      </c>
      <c r="Y91" s="1584"/>
      <c r="Z91" s="1585"/>
      <c r="AA91" s="1633"/>
      <c r="AB91" s="1634"/>
      <c r="AC91" s="1634"/>
      <c r="AD91" s="1634"/>
      <c r="AE91" s="1635"/>
      <c r="AF91" s="1762"/>
      <c r="AG91" s="1763"/>
      <c r="AH91" s="1763"/>
      <c r="AI91" s="1764"/>
      <c r="AJ91" s="15"/>
      <c r="AK91" s="15"/>
      <c r="AL91" s="1741"/>
      <c r="AM91" s="1742"/>
      <c r="AN91" s="1742"/>
      <c r="AO91" s="1742"/>
      <c r="AP91" s="1742"/>
      <c r="AQ91" s="1742"/>
      <c r="AR91" s="1742"/>
      <c r="AS91" s="1742"/>
      <c r="AT91" s="1742"/>
      <c r="AU91" s="1742"/>
      <c r="AV91" s="1742"/>
      <c r="AW91" s="1742"/>
      <c r="AX91" s="1743"/>
      <c r="AY91" s="1489"/>
      <c r="AZ91" s="1527"/>
      <c r="BA91" s="1489"/>
    </row>
    <row r="92" spans="1:53" ht="21" hidden="1" customHeight="1">
      <c r="A92" s="72" t="str">
        <f ca="1">UPPER(TRIM(SUBSTITUTE(SUBSTITUTE(SUBSTITUTE(SUBSTITUTE(SUBSTITUTE(SUBSTITUTE(TABLEAU!$A$43,"&gt;&lt;",""),"] &amp; DEPASSE","]# &amp; #DEPASSE"),"&amp; #DEPASSE DEPUIS","&amp; #DEPUIS"),"# &gt;","# &amp; &gt;"),"= &gt;","= "),"&lt; &amp; &gt;"," &amp; ")))</f>
        <v>#DANS 7H45 (A 20H45): [CHAMPIONNAT]# &amp; #DANS 7H40 (A 20H40 SUR AB1): [SMACKDOWN]#</v>
      </c>
      <c r="B92" s="380" t="str">
        <f ca="1">IF(TABLEAU!$B$85="","",IF(COUNTIF(SEM,TABLEAU!$K$3)=0,"",IF(TABLEAU!$E$34=TABLEAU!$K$3,TABLEAU!$M$34,"")))</f>
        <v/>
      </c>
      <c r="C92" s="381" t="str">
        <f ca="1">IF(TABLEAU!$C$85="","",IF(COUNTIF(SEM,"MARDI")=0,"",IF(TABLEAU!$E$34="MARDI",TABLEAU!$M$34,"")))</f>
        <v/>
      </c>
      <c r="D92" s="381" t="str">
        <f ca="1">IF(TABLEAU!$D$85="","",IF(COUNTIF(SEM,"MERCREDI")=0,"",IF(TABLEAU!$E$34="MERCREDI",TABLEAU!$M$34,"")))</f>
        <v/>
      </c>
      <c r="E92" s="968" t="str">
        <f ca="1">IF(TABLEAU!$E$85="","",IF(COUNTIF(SEM,"JEUDI")=0,"",IF(TABLEAU!$E$34="JEUDI",TABLEAU!$M$34,"")))</f>
        <v/>
      </c>
      <c r="F92" s="1549"/>
      <c r="G92" s="1550"/>
      <c r="H92" s="1552"/>
      <c r="I92" s="1407" t="str">
        <f ca="1">IF(TABLEAU!$E$85="","",IF(COUNTIF(SEM,"VENDREDI")=0,"",IF(TABLEAU!$E$34="VENDREDI",TABLEAU!$M$34,"")))</f>
        <v/>
      </c>
      <c r="J92" s="381" t="str">
        <f ca="1">IF(TABLEAU!$J$85="","",IF(COUNTIF(SEM,"SAMEDI")=0,"",IF(TABLEAU!$E$34="SAMEDI",TABLEAU!$M$34,"")))</f>
        <v/>
      </c>
      <c r="K92" s="2214" t="str">
        <f ca="1">IF(TABLEAU!$K$85="","",IF(COUNTIF(SEM,"DIMANCHE")=0,"",IF(TABLEAU!$E$34="DIMANCHE",TABLEAU!$M$34,"")))</f>
        <v/>
      </c>
      <c r="L92" s="2215"/>
      <c r="M92" s="2293"/>
      <c r="N92" s="2294"/>
      <c r="O92" s="2295"/>
      <c r="P92" s="2386"/>
      <c r="Q92" s="2387"/>
      <c r="R92" s="2387"/>
      <c r="S92" s="2387"/>
      <c r="T92" s="2387"/>
      <c r="U92" s="2387"/>
      <c r="V92" s="2388"/>
      <c r="W92" s="1574"/>
      <c r="X92" s="97">
        <f ca="1">IF(DANS.UEFA&lt;&gt;"",HEURE.UEFA,"")</f>
        <v>0.78819444444444453</v>
      </c>
      <c r="Y92" s="1584"/>
      <c r="Z92" s="1585"/>
      <c r="AA92" s="1633"/>
      <c r="AB92" s="1634"/>
      <c r="AC92" s="1634"/>
      <c r="AD92" s="1634"/>
      <c r="AE92" s="1635"/>
      <c r="AF92" s="1762"/>
      <c r="AG92" s="1763"/>
      <c r="AH92" s="1763"/>
      <c r="AI92" s="1764"/>
      <c r="AJ92" s="15"/>
      <c r="AK92" s="15"/>
      <c r="AL92" s="1741"/>
      <c r="AM92" s="1742"/>
      <c r="AN92" s="1742"/>
      <c r="AO92" s="1742"/>
      <c r="AP92" s="1742"/>
      <c r="AQ92" s="1742"/>
      <c r="AR92" s="1742"/>
      <c r="AS92" s="1742"/>
      <c r="AT92" s="1742"/>
      <c r="AU92" s="1742"/>
      <c r="AV92" s="1742"/>
      <c r="AW92" s="1742"/>
      <c r="AX92" s="1743"/>
      <c r="AY92" s="1489"/>
      <c r="AZ92" s="1527"/>
      <c r="BA92" s="1489"/>
    </row>
    <row r="93" spans="1:53" ht="21" hidden="1" customHeight="1">
      <c r="A93" s="72" t="str">
        <f ca="1">TRIM(CONCATENATE(TABLEAU!$S19," ",TABLEAU!$S20," ",TABLEAU!$S21," ",TABLEAU!$S22," ",TABLEAU!$S23," ",TABLEAU!$S24," ",TABLEAU!$S25," ",TABLEAU!$S26," ",TABLEAU!$S27," ",TABLEAU!$S28," ",TABLEAU!$S29))</f>
        <v/>
      </c>
      <c r="B93" s="795" t="str">
        <f ca="1">IF(TABLEAU!$B$86="","",IF(COUNTIF(SEM,TABLEAU!$K$3)=0,"",IF(TABLEAU!$E$35=TABLEAU!$K$3,TABLEAU!$M$35,"")))</f>
        <v/>
      </c>
      <c r="C93" s="796" t="str">
        <f ca="1">IF(TABLEAU!$C$86="","",IF(COUNTIF(SEM,"MARDI")=0,"",IF(TABLEAU!$E$35="MARDI",TABLEAU!$M$35,"")))</f>
        <v/>
      </c>
      <c r="D93" s="796" t="str">
        <f ca="1">IF(TABLEAU!$D$86="","",IF(COUNTIF(SEM,"MERCREDI")=0,"",IF(TABLEAU!$E$35="MERCREDI",TABLEAU!$M$35,"")))</f>
        <v/>
      </c>
      <c r="E93" s="969" t="str">
        <f ca="1">IF(TABLEAU!$E$86="","",IF(COUNTIF(SEM,"JEUDI")=0,"",IF(TABLEAU!$E$35="JEUDI",TABLEAU!$M$35,"")))</f>
        <v/>
      </c>
      <c r="F93" s="1549"/>
      <c r="G93" s="1550"/>
      <c r="H93" s="1553"/>
      <c r="I93" s="1554" t="str">
        <f ca="1">IF(TABLEAU!$E$86="","",IF(COUNTIF(SEM,"VENDREDI")=0,"",IF(TABLEAU!$E$35="VENDREDI",TABLEAU!$M$35,"")))</f>
        <v/>
      </c>
      <c r="J93" s="796" t="str">
        <f ca="1">IF(TABLEAU!$J$86="","",IF(COUNTIF(SEM,"SAMEDI")=0,"",IF(TABLEAU!$E$35="SAMEDI",TABLEAU!$M$35,"")))</f>
        <v/>
      </c>
      <c r="K93" s="2212" t="str">
        <f ca="1">IF(TABLEAU!$K$86="","",IF(COUNTIF(SEM,"DIMANCHE")=0,"",IF(TABLEAU!$E$35="DIMANCHE",TABLEAU!$M$35,"")))</f>
        <v/>
      </c>
      <c r="L93" s="2213"/>
      <c r="M93" s="2293"/>
      <c r="N93" s="2294"/>
      <c r="O93" s="2295"/>
      <c r="P93" s="2386"/>
      <c r="Q93" s="2387"/>
      <c r="R93" s="2387"/>
      <c r="S93" s="2387"/>
      <c r="T93" s="2387"/>
      <c r="U93" s="2387"/>
      <c r="V93" s="2388"/>
      <c r="W93" s="1574"/>
      <c r="X93" s="98">
        <f ca="1">IF(TABLEAU!$X$84&lt;&gt;"",TABLEAU!$X$84,IF(TABLEAU!$X$85&lt;&gt;"",TABLEAU!$X$85,IF(TABLEAU!$X$86&lt;&gt;"",TABLEAU!$X$86,IF(TABLEAU!$X$87&lt;&gt;"",TABLEAU!$X$87,IF(TABLEAU!$X$88&lt;&gt;"",TABLEAU!$X$88,IF(TABLEAU!$X$89&lt;&gt;"",TABLEAU!$X$89,IF(TABLEAU!$X$90&lt;&gt;"",TABLEAU!$X$90,IF(TABLEAU!$X$91&lt;&gt;"",TABLEAU!$X$91,""))))))))</f>
        <v>0.86458333333333337</v>
      </c>
      <c r="Y93" s="1584"/>
      <c r="Z93" s="1585"/>
      <c r="AA93" s="1633"/>
      <c r="AB93" s="1634"/>
      <c r="AC93" s="1634"/>
      <c r="AD93" s="1634"/>
      <c r="AE93" s="1635"/>
      <c r="AF93" s="1762"/>
      <c r="AG93" s="1763"/>
      <c r="AH93" s="1763"/>
      <c r="AI93" s="1764"/>
      <c r="AJ93" s="15"/>
      <c r="AK93" s="15"/>
      <c r="AL93" s="1741"/>
      <c r="AM93" s="1742"/>
      <c r="AN93" s="1742"/>
      <c r="AO93" s="1742"/>
      <c r="AP93" s="1742"/>
      <c r="AQ93" s="1742"/>
      <c r="AR93" s="1742"/>
      <c r="AS93" s="1742"/>
      <c r="AT93" s="1742"/>
      <c r="AU93" s="1742"/>
      <c r="AV93" s="1742"/>
      <c r="AW93" s="1742"/>
      <c r="AX93" s="1743"/>
      <c r="AY93" s="1489"/>
      <c r="AZ93" s="1527"/>
      <c r="BA93" s="1489"/>
    </row>
    <row r="94" spans="1:53" ht="21" hidden="1" customHeight="1">
      <c r="A94" s="80" t="str">
        <f ca="1">IF(TABLEAU!$R$55="BIENTOT",TABLEAU!$I$55,IF(TABLEAU!$R$56="BIENTOT",TABLEAU!$I$56,IF(TABLEAU!$R$57="BIENTOT",TABLEAU!$I$57,IF(TABLEAU!$R$58="BIENTOT",TABLEAU!$I$58,IF(TABLEAU!$R$59="BIENTOT",TABLEAU!$I$59,IF(TABLEAU!$R$60="BIENTOT",TABLEAU!$I$60,IF(TABLEAU!$R$61="BIENTOT",TABLEAU!$I$61,IF(TABLEAU!$R$62="BIENTOT",TABLEAU!$I$62,""))))))))</f>
        <v/>
      </c>
      <c r="B94" s="380" t="str">
        <f ca="1">IF(TABLEAU!$B$87="","",IF(COUNTIF(SEM,TABLEAU!$K$3)=0,"",IF(TABLEAU!$E$36=TABLEAU!$K$3,TABLEAU!$M$36,"")))</f>
        <v/>
      </c>
      <c r="C94" s="381" t="str">
        <f ca="1">IF(TABLEAU!$C$87="","",IF(COUNTIF(SEM,"MARDI")=0,"",IF(TABLEAU!$E$36="MARDI",TABLEAU!$M$36,"")))</f>
        <v/>
      </c>
      <c r="D94" s="381" t="str">
        <f ca="1">IF(TABLEAU!$D$87="","",IF(COUNTIF(SEM,"MERCREDI")=0,"",IF(TABLEAU!$E$36="MERCREDI",TABLEAU!$M$36,"")))</f>
        <v/>
      </c>
      <c r="E94" s="970" t="str">
        <f ca="1">IF(TABLEAU!$E$87="","",IF(COUNTIF(SEM,"JEUDI")=0,"",IF(TABLEAU!$E$36="JEUDI",TABLEAU!$M$36,"")))</f>
        <v/>
      </c>
      <c r="F94" s="1549"/>
      <c r="G94" s="1550"/>
      <c r="H94" s="1553"/>
      <c r="I94" s="1555" t="str">
        <f ca="1">IF(TABLEAU!$E$87="","",IF(COUNTIF(SEM,"VENDREDI")=0,"",IF(TABLEAU!$E$36="VENDREDI",TABLEAU!$M$36,"")))</f>
        <v/>
      </c>
      <c r="J94" s="381" t="str">
        <f ca="1">IF(TABLEAU!$J$87="","",IF(COUNTIF(SEM,"SAMEDI")=0,"",IF(TABLEAU!$E$36="SAMEDI",TABLEAU!$M$36,"")))</f>
        <v/>
      </c>
      <c r="K94" s="2214" t="str">
        <f ca="1">IF(TABLEAU!$K$87="","",IF(COUNTIF(SEM,"DIMANCHE")=0,"",IF(TABLEAU!$E$36="DIMANCHE",TABLEAU!$M$36,"")))</f>
        <v/>
      </c>
      <c r="L94" s="2215"/>
      <c r="M94" s="2293"/>
      <c r="N94" s="2294"/>
      <c r="O94" s="2295"/>
      <c r="P94" s="2386"/>
      <c r="Q94" s="2387"/>
      <c r="R94" s="2387"/>
      <c r="S94" s="2387"/>
      <c r="T94" s="2387"/>
      <c r="U94" s="2387"/>
      <c r="V94" s="2388"/>
      <c r="W94" s="1574"/>
      <c r="X94" s="455">
        <f ca="1">IF(TABLEAU!$X$93&lt;&gt;"",TABLEAU!$X$93,IF(TABLEAU!$X$92&lt;&gt;"",TABLEAU!$X$92,""))</f>
        <v>0.86458333333333337</v>
      </c>
      <c r="Y94" s="1584"/>
      <c r="Z94" s="1585"/>
      <c r="AA94" s="1633"/>
      <c r="AB94" s="1634"/>
      <c r="AC94" s="1634"/>
      <c r="AD94" s="1634"/>
      <c r="AE94" s="1635"/>
      <c r="AF94" s="1762"/>
      <c r="AG94" s="1763"/>
      <c r="AH94" s="1763"/>
      <c r="AI94" s="1764"/>
      <c r="AJ94" s="15"/>
      <c r="AK94" s="15"/>
      <c r="AL94" s="1741"/>
      <c r="AM94" s="1742"/>
      <c r="AN94" s="1742"/>
      <c r="AO94" s="1742"/>
      <c r="AP94" s="1742"/>
      <c r="AQ94" s="1742"/>
      <c r="AR94" s="1742"/>
      <c r="AS94" s="1742"/>
      <c r="AT94" s="1742"/>
      <c r="AU94" s="1742"/>
      <c r="AV94" s="1742"/>
      <c r="AW94" s="1742"/>
      <c r="AX94" s="1743"/>
      <c r="AY94" s="1489"/>
      <c r="AZ94" s="1527"/>
      <c r="BA94" s="1489"/>
    </row>
    <row r="95" spans="1:53" ht="21" hidden="1" customHeight="1">
      <c r="A95" s="80" t="str">
        <f ca="1">IF(TABLEAU!$A$94&lt;&gt;"",TABLEAU!$A$94,IF(TABLEAU!$R$63="BIENTOT",TABLEAU!$I$63,IF(TABLEAU!$R$64="BIENTOT",TABLEAU!$I$64,IF(TABLEAU!$R$65="BIENTOT",TABLEAU!$I$65,IF(TABLEAU!$R$66="BIENTOT",TABLEAU!$I$66,IF(TABLEAU!$R$67="BIENTOT",TABLEAU!$I$67,IF(TABLEAU!$R$68="BIENTOT",TABLEAU!$I$68,IF(TABLEAU!$R$69="BIENTOT",TABLEAU!$I$69,""))))))))</f>
        <v/>
      </c>
      <c r="B95" s="795" t="str">
        <f ca="1">IF(TABLEAU!$B$88="","",IF(COUNTIF(SEM,TABLEAU!$K$3)=0,"",IF(TABLEAU!$E$37=TABLEAU!$K$3,TABLEAU!$M$37,"")))</f>
        <v/>
      </c>
      <c r="C95" s="796" t="str">
        <f ca="1">IF(TABLEAU!$C$88="","",IF(COUNTIF(SEM,"MARDI")=0,"",IF(TABLEAU!$E$37="MARDI",TABLEAU!$M$37,"")))</f>
        <v/>
      </c>
      <c r="D95" s="796" t="str">
        <f ca="1">IF(TABLEAU!$D$88="","",IF(COUNTIF(SEM,"MERCREDI")=0,"",IF(TABLEAU!$E$37="MERCREDI",TABLEAU!$M$37,"")))</f>
        <v/>
      </c>
      <c r="E95" s="969" t="str">
        <f ca="1">IF(TABLEAU!$E$88="","",IF(COUNTIF(SEM,"JEUDI")=0,"",IF(TABLEAU!$E$37="JEUDI",TABLEAU!$M$37,"")))</f>
        <v/>
      </c>
      <c r="F95" s="1549"/>
      <c r="G95" s="1550"/>
      <c r="H95" s="1553"/>
      <c r="I95" s="1554" t="str">
        <f ca="1">IF(TABLEAU!$E$88="","",IF(COUNTIF(SEM,"VENDREDI")=0,"",IF(TABLEAU!$E$37="VENDREDI",TABLEAU!$M$37,"")))</f>
        <v/>
      </c>
      <c r="J95" s="796" t="str">
        <f ca="1">IF(TABLEAU!$J$88="","",IF(COUNTIF(SEM,"SAMEDI")=0,"",IF(TABLEAU!$E$37="SAMEDI",TABLEAU!$M$37,"")))</f>
        <v/>
      </c>
      <c r="K95" s="2212" t="str">
        <f ca="1">IF(TABLEAU!$K$88="","",IF(COUNTIF(SEM,"DIMANCHE")=0,"",IF(TABLEAU!$E$37="DIMANCHE",TABLEAU!$M$37,"")))</f>
        <v/>
      </c>
      <c r="L95" s="2213"/>
      <c r="M95" s="2293"/>
      <c r="N95" s="2294"/>
      <c r="O95" s="2295"/>
      <c r="P95" s="2386"/>
      <c r="Q95" s="2387"/>
      <c r="R95" s="2387"/>
      <c r="S95" s="2387"/>
      <c r="T95" s="2387"/>
      <c r="U95" s="2387"/>
      <c r="V95" s="2388"/>
      <c r="W95" s="1574"/>
      <c r="X95" s="456"/>
      <c r="Y95" s="1584"/>
      <c r="Z95" s="1585"/>
      <c r="AA95" s="1633"/>
      <c r="AB95" s="1634"/>
      <c r="AC95" s="1634"/>
      <c r="AD95" s="1634"/>
      <c r="AE95" s="1635"/>
      <c r="AF95" s="1762"/>
      <c r="AG95" s="1763"/>
      <c r="AH95" s="1763"/>
      <c r="AI95" s="1764"/>
      <c r="AJ95" s="15"/>
      <c r="AK95" s="15"/>
      <c r="AL95" s="1741"/>
      <c r="AM95" s="1742"/>
      <c r="AN95" s="1742"/>
      <c r="AO95" s="1742"/>
      <c r="AP95" s="1742"/>
      <c r="AQ95" s="1742"/>
      <c r="AR95" s="1742"/>
      <c r="AS95" s="1742"/>
      <c r="AT95" s="1742"/>
      <c r="AU95" s="1742"/>
      <c r="AV95" s="1742"/>
      <c r="AW95" s="1742"/>
      <c r="AX95" s="1743"/>
      <c r="AY95" s="1489"/>
      <c r="AZ95" s="1527"/>
      <c r="BA95" s="1489"/>
    </row>
    <row r="96" spans="1:53" ht="21" hidden="1" customHeight="1">
      <c r="A96" s="72"/>
      <c r="B96" s="380" t="str">
        <f>IF(TABLEAU!$B$89="","",IF(COUNTIF(SEM,TABLEAU!$K$3)=0,"",IF(TABLEAU!$E$38=TABLEAU!$K$3,TABLEAU!$M$38,"")))</f>
        <v/>
      </c>
      <c r="C96" s="381" t="str">
        <f>IF(TABLEAU!$C$89="","",IF(COUNTIF(SEM,"MARDI")=0,"",IF(TABLEAU!$E$38="MARDI",TABLEAU!$M$38,"")))</f>
        <v/>
      </c>
      <c r="D96" s="381" t="str">
        <f>IF(TABLEAU!$D$89="","",IF(COUNTIF(SEM,"MERCREDI")=0,"",IF(TABLEAU!$E$38="MERCREDI",TABLEAU!$M$38,"")))</f>
        <v/>
      </c>
      <c r="E96" s="970" t="str">
        <f>IF(TABLEAU!$E$89="","",IF(COUNTIF(SEM,"JEUDI")=0,"",IF(TABLEAU!$E$38="JEUDI",TABLEAU!$M$38,"")))</f>
        <v/>
      </c>
      <c r="F96" s="1549"/>
      <c r="G96" s="1550"/>
      <c r="H96" s="1553"/>
      <c r="I96" s="1555" t="str">
        <f>IF(TABLEAU!$E$89="","",IF(COUNTIF(SEM,"VENDREDI")=0,"",IF(TABLEAU!$E$38="VENDREDI",TABLEAU!$M$38,"")))</f>
        <v/>
      </c>
      <c r="J96" s="381" t="str">
        <f>IF(TABLEAU!$J$89="","",IF(COUNTIF(SEM,"SAMEDI")=0,"",IF(TABLEAU!$E$38="SAMEDI",TABLEAU!$M$38,"")))</f>
        <v/>
      </c>
      <c r="K96" s="2214" t="str">
        <f>IF(TABLEAU!$K$89="","",IF(COUNTIF(SEM,"DIMANCHE")=0,"",IF(TABLEAU!$E$38="DIMANCHE",TABLEAU!$M$38,"")))</f>
        <v/>
      </c>
      <c r="L96" s="2215"/>
      <c r="M96" s="2293"/>
      <c r="N96" s="2294"/>
      <c r="O96" s="2295"/>
      <c r="P96" s="2386"/>
      <c r="Q96" s="2387"/>
      <c r="R96" s="2387"/>
      <c r="S96" s="2387"/>
      <c r="T96" s="2387"/>
      <c r="U96" s="2387"/>
      <c r="V96" s="2388"/>
      <c r="W96" s="1574"/>
      <c r="X96" s="456"/>
      <c r="Y96" s="1584"/>
      <c r="Z96" s="1585"/>
      <c r="AA96" s="1633"/>
      <c r="AB96" s="1634"/>
      <c r="AC96" s="1634"/>
      <c r="AD96" s="1634"/>
      <c r="AE96" s="1635"/>
      <c r="AF96" s="1762"/>
      <c r="AG96" s="1763"/>
      <c r="AH96" s="1763"/>
      <c r="AI96" s="1764"/>
      <c r="AJ96" s="15"/>
      <c r="AK96" s="15"/>
      <c r="AL96" s="1741"/>
      <c r="AM96" s="1742"/>
      <c r="AN96" s="1742"/>
      <c r="AO96" s="1742"/>
      <c r="AP96" s="1742"/>
      <c r="AQ96" s="1742"/>
      <c r="AR96" s="1742"/>
      <c r="AS96" s="1742"/>
      <c r="AT96" s="1742"/>
      <c r="AU96" s="1742"/>
      <c r="AV96" s="1742"/>
      <c r="AW96" s="1742"/>
      <c r="AX96" s="1743"/>
      <c r="AY96" s="1489"/>
      <c r="AZ96" s="1527"/>
      <c r="BA96" s="1489"/>
    </row>
    <row r="97" spans="1:53" ht="21" hidden="1" customHeight="1" thickBot="1">
      <c r="A97" s="1051"/>
      <c r="B97" s="797" t="str">
        <f>IF(TABLEAU!$B$90="","",IF(COUNTIF(SEM,TABLEAU!$K$3)=0,"",IF(TABLEAU!$E$39=TABLEAU!$K$3,TABLEAU!$M$39,"")))</f>
        <v/>
      </c>
      <c r="C97" s="798" t="str">
        <f>IF(TABLEAU!$C$90="","",IF(COUNTIF(SEM,"MARDI")=0,"",IF(TABLEAU!$E$39="MARDI",TABLEAU!$M$39,"")))</f>
        <v/>
      </c>
      <c r="D97" s="798" t="str">
        <f>IF(TABLEAU!$D$90="","",IF(COUNTIF(SEM,"MERCREDI")=0,"",IF(TABLEAU!$E$39="MERCREDI",TABLEAU!$M$39,"")))</f>
        <v/>
      </c>
      <c r="E97" s="971" t="str">
        <f>IF(TABLEAU!$E$90="","",IF(COUNTIF(SEM,"JEUDI")=0,"",IF(TABLEAU!$E$39="JEUDI",TABLEAU!$M$39,"")))</f>
        <v/>
      </c>
      <c r="F97" s="1556"/>
      <c r="G97" s="1550"/>
      <c r="H97" s="1557"/>
      <c r="I97" s="1558" t="str">
        <f>IF(TABLEAU!$I$90="","",IF(COUNTIF(SEM,"VENDREDI")=0,"",IF(TABLEAU!$E$39="VENDREDI",TABLEAU!$M$39,"")))</f>
        <v/>
      </c>
      <c r="J97" s="798" t="str">
        <f>IF(TABLEAU!$J$90="","",IF(COUNTIF(SEM,"SAMEDI")=0,"",IF(TABLEAU!$E$39="SAMEDI",TABLEAU!$M$39,"")))</f>
        <v/>
      </c>
      <c r="K97" s="2200" t="str">
        <f>IF(TABLEAU!$K$90="","",IF(COUNTIF(SEM,"DIMANCHE")=0,"",IF(TABLEAU!$E$39="DIMANCHE",TABLEAU!$M$39,"")))</f>
        <v/>
      </c>
      <c r="L97" s="2201"/>
      <c r="M97" s="2296"/>
      <c r="N97" s="2297"/>
      <c r="O97" s="2298"/>
      <c r="P97" s="2389"/>
      <c r="Q97" s="2390"/>
      <c r="R97" s="2390"/>
      <c r="S97" s="2390"/>
      <c r="T97" s="2390"/>
      <c r="U97" s="2390"/>
      <c r="V97" s="2391"/>
      <c r="W97" s="1575"/>
      <c r="X97" s="784"/>
      <c r="Y97" s="1586"/>
      <c r="Z97" s="1587"/>
      <c r="AA97" s="1636"/>
      <c r="AB97" s="1637"/>
      <c r="AC97" s="1637"/>
      <c r="AD97" s="1637"/>
      <c r="AE97" s="1638"/>
      <c r="AF97" s="1690"/>
      <c r="AG97" s="1691"/>
      <c r="AH97" s="1691"/>
      <c r="AI97" s="1692"/>
      <c r="AJ97" s="15"/>
      <c r="AK97" s="15"/>
      <c r="AL97" s="1744"/>
      <c r="AM97" s="1745"/>
      <c r="AN97" s="1745"/>
      <c r="AO97" s="1745"/>
      <c r="AP97" s="1745"/>
      <c r="AQ97" s="1745"/>
      <c r="AR97" s="1745"/>
      <c r="AS97" s="1745"/>
      <c r="AT97" s="1745"/>
      <c r="AU97" s="1745"/>
      <c r="AV97" s="1745"/>
      <c r="AW97" s="1745"/>
      <c r="AX97" s="1746"/>
      <c r="AY97" s="1489"/>
      <c r="AZ97" s="1527"/>
      <c r="BA97" s="1489"/>
    </row>
    <row r="98" spans="1:53" ht="11.1" hidden="1" customHeight="1" thickTop="1">
      <c r="A98" s="470" t="str">
        <f ca="1">TRIM(SUBSTITUTE(TABLEAU!$A$110,"#  (","+ "))</f>
        <v>#DANS 7H45 (A 20H45): [CHAMPIONNAT]# #DANS 7H40 (A 20H40 SUR AB1): [SMACKDOWN]#</v>
      </c>
      <c r="B98" s="1038">
        <f>IF(RDV.1.DATE&lt;&gt;"",RDV.1.DATE,"")</f>
        <v>43774</v>
      </c>
      <c r="C98" s="1039">
        <f>IF(RDV.1.HEURE&lt;&gt;"",RDV.1.HEURE,"")</f>
        <v>0.33333333333333331</v>
      </c>
      <c r="D98" s="1040" t="str">
        <f>IF(HEURE.1="","",CONCATENATE("",HOUR(HEURE.1)))</f>
        <v>8</v>
      </c>
      <c r="E98" s="1041" t="str">
        <f ca="1">IF(RDV.1="DEPASSE",NOW()-HEURE.1,"")</f>
        <v/>
      </c>
      <c r="F98" s="926">
        <f ca="1">IF(TABLEAU!$C$98="","",TABLEAU!$C$98-HEURE.MAINTENANT)</f>
        <v>-0.20833333333333331</v>
      </c>
      <c r="G98" s="99" t="str">
        <f ca="1">IF(TODAY=TABLEAU!$K$3,TABLEAU!$A$55,IF(TODAY="MARDI",TABLEAU!$A$59,IF(TODAY="MERCREDI",TABLEAU!$A$63,IF(TODAY="JEUDI",TABLEAU!$A$67,IF(TODAY="VENDREDI",TABLEAU!$A$71,IF(TODAY="SAMEDI",TABLEAU!$A$75,IF(TODAY="DIMANCHE",TABLEAU!$A$79)))))))</f>
        <v>DANS 7H45</v>
      </c>
      <c r="H98" s="100"/>
      <c r="I98" s="2281" t="str">
        <f ca="1">IF(TABLEAU!$O$102&lt;&gt;"","",IF(TABLEAU!$J$102="","",IF(TABLEAU!$O$102="DEPASSE",HEURE.MAINTENANT-HEURE.1,IF(HEURE.1&lt;HEURE.MAINTENANT,HEURE.MAINTENANT-HEURE.1,IF(RDV2.1="","",IF(HEURE.1="","",IF(HEURE.1&gt;HEURE.MAINTENANT,"SUIVANT",HEURE.MAINTENANT-HEURE.1)))))))</f>
        <v/>
      </c>
      <c r="J98" s="2282"/>
      <c r="K98" s="2282"/>
      <c r="L98" s="2282"/>
      <c r="M98" s="2282"/>
      <c r="N98" s="2282"/>
      <c r="O98" s="2283"/>
      <c r="P98" s="1099"/>
      <c r="Q98" s="1100"/>
      <c r="R98" s="1101" t="str">
        <f ca="1">IF(AND(TABLEAU!$S$102&lt;&gt;"",TABLEAU!$S$102&lt;&gt;"SUIVANT"),1,IF(TABLEAU!$O$102="00 MIN",1,"OK"))</f>
        <v>OK</v>
      </c>
      <c r="S98" s="1100"/>
      <c r="T98" s="1100"/>
      <c r="U98" s="1100"/>
      <c r="V98" s="1102"/>
      <c r="W98" s="1833" t="str">
        <f ca="1">UPPER(TRIM(SUBSTITUTE(SUBSTITUTE(SUBSTITUTE(SUBSTITUTE(SUBSTITUTE(SUBSTITUTE(TABLEAU!$Y$84,"FORMULE 1= ",""),"(A 0","(A "),"&gt;[D","&gt;D"),"[DANS ","DANS "),"(A :","(A 0:"),"# #","# &amp; #")))</f>
        <v>~SAMEDI 2 NOVEMBRE 2019 [13:00:00]~ #DANS 3J= ''67H00'' ~ (5 NOV (A 8H00): [COUPE OEUF]# &amp; #DANS 7H45 (A 20H45): [CHAMPIONNAT]# &amp; #DANS 7H40 (A 20H40 SUR AB1): [SMACKDOWN]#</v>
      </c>
      <c r="X98" s="1834"/>
      <c r="Y98" s="1834"/>
      <c r="Z98" s="1834"/>
      <c r="AA98" s="1687"/>
      <c r="AB98" s="1688"/>
      <c r="AC98" s="1688"/>
      <c r="AD98" s="1688"/>
      <c r="AE98" s="1689"/>
      <c r="AF98" s="1693" t="str">
        <f ca="1">IF(TV.DEPAS="","",CONCATENATE(TV.DEPAS," &amp; ",TV.DEPAS))</f>
        <v/>
      </c>
      <c r="AG98" s="1694"/>
      <c r="AH98" s="1694"/>
      <c r="AI98" s="1695"/>
      <c r="AJ98" s="1477"/>
      <c r="AK98" s="1477"/>
      <c r="AL98" s="1610"/>
      <c r="AM98" s="1738"/>
      <c r="AN98" s="2012"/>
      <c r="AO98" s="1688"/>
      <c r="AP98" s="1688"/>
      <c r="AQ98" s="1688"/>
      <c r="AR98" s="1688"/>
      <c r="AS98" s="1688"/>
      <c r="AT98" s="1688"/>
      <c r="AU98" s="1688"/>
      <c r="AV98" s="1688"/>
      <c r="AW98" s="1688"/>
      <c r="AX98" s="1689"/>
      <c r="AY98" s="1489"/>
      <c r="AZ98" s="1527"/>
      <c r="BA98" s="1489"/>
    </row>
    <row r="99" spans="1:53" ht="11.1" hidden="1" customHeight="1">
      <c r="A99" s="72" t="str">
        <f ca="1">SUBSTITUTE(SUBSTITUTE(SUBSTITUTE(SUBSTITUTE(IF(RDV.DEPAS&lt;&gt;"",RDV.DEPAS,""),DEP.RDV.1,"DEP.RDV.1"),DEP.RDV.2,"DEP.RDV.2"),DEP.RDV.3,"DEP.RDV.3"),DEP.RDV.4,"DEP.RDV.4")</f>
        <v/>
      </c>
      <c r="B99" s="2426" t="str">
        <f ca="1">SUBSTITUTE(SUBSTITUTE(SUBSTITUTE(SUBSTITUTE(SUBSTITUTE(IF(DATE.1="","",SUBSTITUTE(SUBSTITUTE(SUBSTITUTE(SUBSTITUTE(IF(OR(DATE.1="",HEURE.1=""),"",IF(DATE.1&lt;A,"DEPASSE",IF(DATE.1-TODAY()=1,CONCATENATE("DEMAIN (",LOOKUP(WEEKDAY(DATE.1),SEMAINE)," ",DAY(DATE.1)," ",LOOKUP(MONTH(DATE.1),MOIS)," ",YEAR(DATE.1)," A ",TABLEAU!$D$98,"H",RDV.1.MIN,"): [",TABLEAU!$E$99),IF(DATE.1-TODAY()=0,PHRASE.RDV.1,CONCATENATE("DANS ",DATE.1-TODAY()," JOURS [",TABLEAU!$E$99,"]"))))),"[[","["),"]]","]"),"JOURS [",CONCATENATE("JOURS (",LOOKUP(WEEKDAY(DATE.1),SEMAINE)," ",DAY(DATE.1)," ",LOOKUP(MONTH(DATE.1),MOIS)," ",YEAR(DATE.1)," A ",TABLEAU!$D$98,"H",RDV.1.MIN,"): [")),TABLEAU!$E$103,TABLEAU!$D$103)),CONCATENATE(TRIM(TABLEAU!$D$103)," [",TRIM(TABLEAU!$E$99)),TRIM(TABLEAU!$E$99)),CONCATENATE("DEMAIN ",TABLEAU!$E$99,"]"),CONCATENATE("DEMAIN ",TABLEAU!$D$103,"[",TABLEAU!$E$99,"]")),CONCATENATE("JOURS ",TABLEAU!$E$99),CONCATENATE("JOURS ",DEP.DATE.1,"[",TABLEAU!$E$99)),"EUROS]","EUROS"),CONCATENATE("DEMAIN ",TABLEAU!$E$99),CONCATENATE("DEMAIN ",DEP.DATE.1,"[",TABLEAU!$E$99,"]"))</f>
        <v>DANS 3 JOURS (MARDI 5 NOVEMBRE 2019 A 8H00): [COUPE OEUF]= 0,48 EUROS RESTERA: 176,29 EUROS</v>
      </c>
      <c r="C99" s="1042" t="str">
        <f ca="1">IF(RDV.1="DEPASSE","",TABLEAU!$C$100)</f>
        <v/>
      </c>
      <c r="D99" s="1043" t="str">
        <f ca="1">UPPER(SUBSTITUTE(SUBSTITUTE(SUBSTITUTE(SUBSTITUTE(SUBSTITUTE(SUBSTITUTE(IF(DATE.1&lt;NOW(),CONCATENATE(TABLEAU!$C$102," (A ",TABLEAU!$D$98,"H",TABLEAU!$B$101,"): [",TYPE.1,"]"),IF(DATE.1&gt;TODAY(),"",IF(HEURE.1&lt;H.M,"DEPASSE",SUBSTITUTE(SUBSTITUTE(IF(OR(DATE.1="",DATE.1&lt;&gt;A,HEURE.1="",TYPE.1="",RDV.1="DEPASSE"),"",IF(TABLEAU!$A$102&lt;&gt;"",TABLEAU!$A$102,IF(DATE.1=A,CONCATENATE(TABLEAU!$C$102," (A ",TABLEAU!$D$98,"H",TABLEAU!$B$101,"): ",TYPE.1,"]"),CONCATENATE(DANS.1,"(",LOOKUP(WEEKDAY(DATE.1),SEMAINE)," ",TABLEAU!$D$100," ",LOOKUP(MONTH(DATE.1),MOIS)," A ",TABLEAU!$D$98,"H",TABLEAU!$B$101,"): [",TYPE.1,"]")))),CONCATENATE("DANS 0"),"DANS ")," [0]"," [MANQUE LE RDV]")))),"H)","H00)"),"[[","["),"]]","]"),"[(","("),CONCATENATE("(A ",TABLEAU!$D$98,"H",TABLEAU!$B$101,"): "),""),"EUROS]","EUROS"))</f>
        <v/>
      </c>
      <c r="E99" s="2424" t="str">
        <f ca="1">UPPER(SUBSTITUTE(IF(OR(DATE.1="",HEURE.1=""),"",IF(DATE.1&lt;A,"DEPASSE",TYPE.1))," 1ER "," 1 "))</f>
        <v>[COUPE OEUF]= 0,48 EUROS RESTERA: 176,29 EUROS</v>
      </c>
      <c r="F99" s="927">
        <f ca="1">IF(DATE.1="","",DATE.1-TODAY())</f>
        <v>3</v>
      </c>
      <c r="G99" s="101" t="str">
        <f ca="1">IF(TODAY=TABLEAU!$K$3,TABLEAU!$A$56,IF(TODAY="MARDI",TABLEAU!$A$60,IF(TODAY="MERCREDI",TABLEAU!$A$64,IF(TODAY="JEUDI",TABLEAU!$A$68,IF(TODAY="VENDREDI",TABLEAU!$A$72,IF(TODAY="SAMEDI",TABLEAU!$A$76,IF(TODAY="DIMANCHE",TABLEAU!$A$80)))))))</f>
        <v/>
      </c>
      <c r="H99" s="102"/>
      <c r="I99" s="2284"/>
      <c r="J99" s="2285"/>
      <c r="K99" s="2285"/>
      <c r="L99" s="2285"/>
      <c r="M99" s="2285"/>
      <c r="N99" s="2285"/>
      <c r="O99" s="2286"/>
      <c r="P99" s="1103"/>
      <c r="Q99" s="1093"/>
      <c r="R99" s="1093"/>
      <c r="S99" s="1093"/>
      <c r="T99" s="1093"/>
      <c r="U99" s="1093"/>
      <c r="V99" s="1104"/>
      <c r="W99" s="1833"/>
      <c r="X99" s="1834"/>
      <c r="Y99" s="1834"/>
      <c r="Z99" s="1834"/>
      <c r="AA99" s="1762"/>
      <c r="AB99" s="1763"/>
      <c r="AC99" s="1763"/>
      <c r="AD99" s="1763"/>
      <c r="AE99" s="1764"/>
      <c r="AF99" s="1696"/>
      <c r="AG99" s="1697"/>
      <c r="AH99" s="1697"/>
      <c r="AI99" s="1698"/>
      <c r="AJ99" s="1477"/>
      <c r="AK99" s="1477"/>
      <c r="AL99" s="1611"/>
      <c r="AM99" s="1739"/>
      <c r="AN99" s="2013"/>
      <c r="AO99" s="1763"/>
      <c r="AP99" s="1763"/>
      <c r="AQ99" s="1763"/>
      <c r="AR99" s="1763"/>
      <c r="AS99" s="1763"/>
      <c r="AT99" s="1763"/>
      <c r="AU99" s="1763"/>
      <c r="AV99" s="1763"/>
      <c r="AW99" s="1763"/>
      <c r="AX99" s="1764"/>
      <c r="AY99" s="1489"/>
      <c r="AZ99" s="1527"/>
      <c r="BA99" s="1489"/>
    </row>
    <row r="100" spans="1:53" ht="11.1" hidden="1" customHeight="1">
      <c r="A100" s="72" t="str">
        <f ca="1">UPPER(SUBSTITUTE(SUBSTITUTE(SUBSTITUTE(SUBSTITUTE(SUBSTITUTE(SUBSTITUTE(SUBSTITUTE(IF(TABLEAU!$A$30="#[#","",TABLEAU!$A$30),"# &gt;","# &amp; &gt;"),"# #&lt;","#"),"] &amp; DEPUIS","]# &amp; #DEPUIS"),"# # DANS","# &amp; &gt;DANS"),"# DEPUIS","#DEPASSE DEPUIS"),"#&lt;",""),"[DEPASSE","DEPASSE"))</f>
        <v/>
      </c>
      <c r="B100" s="2427"/>
      <c r="C100" s="1042" t="str">
        <f ca="1">UPPER(IF(DATE.1&lt;NOW(),"",IF(RDV.1="DEPASSE","",IF(DATE.1&lt;&gt;A,"",IF(HOUR(DIFFERENCE.1)&lt;1,CONCATENATE("DANS ",TABLEAU!$B$103," MIN"),IF(DATE.1=A,CONCATENATE("DANS ",HOUR(DIFFERENCE.1),"H",MIN.DIFFERENCE.1,""),IF(HOUR(DIFFERENCE.1)&lt;1,CONCATENATE("DANS ",MINUTE(DIFFERENCE.1)," MIN"),CONCATENATE("DANS ",HOUR(DIFFERENCE.1),"H",MIN.DIFFERENCE.1,""))))))))</f>
        <v/>
      </c>
      <c r="D100" s="1042" t="str">
        <f ca="1">IF(OR(DATE.1="",DATE.1&lt;&gt;A,HEURE.1=""),"",IF(DAY(DATE.1)=1,"1ER",IF(DAY(DATE.1)&lt;10,CONCATENATE("0",DAY(DATE.1)),DAY(DATE.1))))</f>
        <v/>
      </c>
      <c r="E100" s="2425"/>
      <c r="F100" s="928" t="str">
        <f ca="1">UPPER(IF(TABLEAU!$C$98="","",IF(HEURE.MAINTENANT-$C$98&lt;0,"",IF(AND(HOUR(TABLEAU!$F$102)&gt;0,MINUTE(TABLEAU!$F$102)&gt;9),CONCATENATE(HOUR(TABLEAU!$F$102),"H",MINUTE(TABLEAU!$F$102)),IF(AND(HOUR(TABLEAU!$F$102)&gt;0,MINUTE(TABLEAU!$F$102)&lt;10),CONCATENATE(HOUR(TABLEAU!$F$102),"H0",MINUTE(TABLEAU!$F$102)),CONCATENATE(MINUTE(TABLEAU!$F$102)," MIN"))))))</f>
        <v>5H00</v>
      </c>
      <c r="G100" s="101" t="str">
        <f ca="1">IF(TODAY=TABLEAU!$K$3,TABLEAU!$A$57,IF(TODAY="MARDI",TABLEAU!$A$61,IF(TODAY="MERCREDI",TABLEAU!$A$65,IF(TODAY="JEUDI",TABLEAU!$A$69,IF(TODAY="VENDREDI",TABLEAU!$A$73,IF(TODAY="SAMEDI",TABLEAU!$A$77,IF(TODAY="DIMANCHE",TABLEAU!$A$81)))))))</f>
        <v/>
      </c>
      <c r="H100" s="102"/>
      <c r="I100" s="2284"/>
      <c r="J100" s="2285"/>
      <c r="K100" s="2285"/>
      <c r="L100" s="2285"/>
      <c r="M100" s="2285"/>
      <c r="N100" s="2285"/>
      <c r="O100" s="2286"/>
      <c r="P100" s="1103"/>
      <c r="Q100" s="1093"/>
      <c r="R100" s="1093"/>
      <c r="S100" s="1093"/>
      <c r="T100" s="1093"/>
      <c r="U100" s="1093"/>
      <c r="V100" s="1104"/>
      <c r="W100" s="1833"/>
      <c r="X100" s="1834"/>
      <c r="Y100" s="1834"/>
      <c r="Z100" s="1834"/>
      <c r="AA100" s="1762"/>
      <c r="AB100" s="1763"/>
      <c r="AC100" s="1763"/>
      <c r="AD100" s="1763"/>
      <c r="AE100" s="1764"/>
      <c r="AF100" s="1696"/>
      <c r="AG100" s="1697"/>
      <c r="AH100" s="1697"/>
      <c r="AI100" s="1698"/>
      <c r="AJ100" s="1477"/>
      <c r="AK100" s="1477"/>
      <c r="AL100" s="1611"/>
      <c r="AM100" s="1739"/>
      <c r="AN100" s="2013"/>
      <c r="AO100" s="1763"/>
      <c r="AP100" s="1763"/>
      <c r="AQ100" s="1763"/>
      <c r="AR100" s="1763"/>
      <c r="AS100" s="1763"/>
      <c r="AT100" s="1763"/>
      <c r="AU100" s="1763"/>
      <c r="AV100" s="1763"/>
      <c r="AW100" s="1763"/>
      <c r="AX100" s="1764"/>
      <c r="AY100" s="1489"/>
      <c r="AZ100" s="1527"/>
      <c r="BA100" s="1489"/>
    </row>
    <row r="101" spans="1:53" ht="11.1" hidden="1" customHeight="1" thickBot="1">
      <c r="A101" s="72" t="str">
        <f ca="1">IF(OR(DATE.1="",DATE.1&lt;&gt;A,HEURE.1="",TYPE.1=""),"",IF(MONTH(DATE.1)&lt;10,CONCATENATE("0",MONTH(DATE.1)),MONTH(DATE.1)))</f>
        <v/>
      </c>
      <c r="B101" s="1044" t="str">
        <f>IF(OR(DATE.1="",HEURE.1="",TYPE.1=""),"",IF(OR(MINUTE(HEURE.1)&lt;9,MINUTE(HEURE.1)=9),CONCATENATE("0",MINUTE(HEURE.1)),MINUTE(HEURE.1)))</f>
        <v>00</v>
      </c>
      <c r="C101" s="1045" t="str">
        <f ca="1">UPPER(IF(RDV2.1&lt;&gt;"AUJOURDHUI","",IF(OR(DATE.1="",DATE.1&lt;&gt;A,HEURE.1="",TYPE.1="",RDV.1="DEPASSE"),"",IF(HOUR(DIFFERENCE.1)&lt;1,CONCATENATE("DANS ",MIN.DIF.1," MIN"),IF(DATE.1=TODAY(),CONCATENATE("DANS ",HOUR(DIFFERENCE.1),"H",MIN.DIFFERENCE.1,""),IF(HOUR(DIFFERENCE.1)&lt;1,CONCATENATE("DANS ",MINUTE(DIFFERENCE.1)," MIN"),CONCATENATE("DANS ",HOUR(DIFFERENCE.1),"H",MIN.DIFFERENCE.1,"")))))))</f>
        <v/>
      </c>
      <c r="D101" s="1046" t="str">
        <f ca="1">IF(TABLEAU!$E$101="DEPASSE","",IF(RDV.1="DEPASSE","",IF(OR(DATE.1="",DATE.1&lt;&gt;A,HEURE.1="",TYPE.1="",DIFFERENCE.1=""),"",IF(OR(MINUTE(DIFFERENCE.1)=9,MINUTE(DIFFERENCE.1)&lt;9),CONCATENATE("0",MINUTE(DIFFERENCE.1)),MINUTE(DIFFERENCE.1)))))</f>
        <v/>
      </c>
      <c r="E101" s="1517" t="str">
        <f ca="1">IF(TABLEAU!$K$102&lt;&gt;"",TABLEAU!$K$102,IF(OR(DATE.1="",DATE.1&lt;&gt;A,HEURE.1="",TYPE.1=""),"",IF(DATE.1=A,HEURE.1-H.M,"")))</f>
        <v/>
      </c>
      <c r="F101" s="928" t="str">
        <f>IF(TABLEAU!$C$98="","",IF(MINUTE(TABLEAU!$F$103)&gt;9,MINUTE(TABLEAU!$F$103),CONCATENATE("0",MINUTE(TABLEAU!$F$103))))</f>
        <v>00</v>
      </c>
      <c r="G101" s="103" t="str">
        <f ca="1">IF(TODAY=TABLEAU!$K$3,TABLEAU!$A$58,IF(TODAY="MARDI",TABLEAU!$A$62,IF(TODAY="MERCREDI",TABLEAU!$A$66,IF(TODAY="JEUDI",TABLEAU!$A$70,IF(TODAY="VENDREDI",TABLEAU!$A$74,IF(TODAY="SAMEDI",TABLEAU!$A$78,IF(TODAY="DIMANCHE",TABLEAU!$A$82)))))))</f>
        <v>DANS 7H40</v>
      </c>
      <c r="H101" s="104"/>
      <c r="I101" s="2287"/>
      <c r="J101" s="2288"/>
      <c r="K101" s="2288"/>
      <c r="L101" s="2288"/>
      <c r="M101" s="2288"/>
      <c r="N101" s="2288"/>
      <c r="O101" s="2289"/>
      <c r="P101" s="1105"/>
      <c r="Q101" s="1093"/>
      <c r="R101" s="1093"/>
      <c r="S101" s="1093"/>
      <c r="T101" s="1093"/>
      <c r="U101" s="1093"/>
      <c r="V101" s="1104"/>
      <c r="W101" s="1833"/>
      <c r="X101" s="1834"/>
      <c r="Y101" s="1834"/>
      <c r="Z101" s="1834"/>
      <c r="AA101" s="1762"/>
      <c r="AB101" s="1763"/>
      <c r="AC101" s="1763"/>
      <c r="AD101" s="1763"/>
      <c r="AE101" s="1764"/>
      <c r="AF101" s="1696"/>
      <c r="AG101" s="1697"/>
      <c r="AH101" s="1697"/>
      <c r="AI101" s="1698"/>
      <c r="AJ101" s="1477"/>
      <c r="AK101" s="1477"/>
      <c r="AL101" s="1611"/>
      <c r="AM101" s="1739"/>
      <c r="AN101" s="2013"/>
      <c r="AO101" s="1763"/>
      <c r="AP101" s="1763"/>
      <c r="AQ101" s="1763"/>
      <c r="AR101" s="1763"/>
      <c r="AS101" s="1763"/>
      <c r="AT101" s="1763"/>
      <c r="AU101" s="1763"/>
      <c r="AV101" s="1763"/>
      <c r="AW101" s="1763"/>
      <c r="AX101" s="1764"/>
      <c r="AY101" s="1489"/>
      <c r="AZ101" s="1527"/>
      <c r="BA101" s="1489"/>
    </row>
    <row r="102" spans="1:53" ht="11.1" hidden="1" customHeight="1" thickTop="1">
      <c r="A102" s="72" t="str">
        <f ca="1">IF(OR(DATE.1="",DATE.1&lt;&gt;A,HEURE.1="",TYPE.1=""),"",IF(AND(DATE.1=A,MAINTENANT&gt;HOUR(HEURE.1)),CONCATENATE("DEPASSE (A ",HOUR(HEURE.1),"H",RDV.1.MIN,")= [",TABLEAU!$E$99,"]"),IF(AND(DATE.1&lt;&gt;"",DATE.1=A,HOUR(HEURE.1)&lt;MAINTENANT),CONCATENATE("DEPASSE (A ",HOUR(HEURE.1),"H",RDV.1.MIN,")= [",TABLEAU!$E$99,"]"),IF(AND(DATE.1=A,MAINTENANT=HOUR(HEURE.1),MINUTE(MAINTENANT)&gt;MINUTE(HEURE.1)),CONCATENATE("DEPASSE (A ",HOUR(HEURE.1),"H",RDV.1.MIN,")= [",TABLEAU!$E$99,"]"),IF(DATE.1&lt;A,CONCATENATE("LA DATE EST DEPASSEE (",LOOKUP(WEEKDAY(DATE.1),SEMAINE)," ",DAY(DATE.1)," ",LOOKUP(MONTH(DATE.1),MOIS)," A ",HOUR(HEURE.1),"H",RDV.1.MIN,")= [",TABLEAU!$E$99,"]"),"")))))</f>
        <v/>
      </c>
      <c r="B102" s="1047" t="str">
        <f ca="1">UPPER(IF(TABLEAU!$K$102&lt;&gt;"","",IF(RDV.1="DEPASSE",RDV.1,IF(OR(DATE.1="",DATE.1&lt;&gt;A,HEURE.1="",TYPE.1=""),"",IF(HOUR(DIFFERENCE.1)&lt;1,CONCATENATE(MIN.DIF.1," MIN"),0)))))</f>
        <v/>
      </c>
      <c r="C102" s="1042" t="str">
        <f ca="1">UPPER(IF(OR(DATE.1="",DATE.1&lt;&gt;A,HEURE.1="",TYPE.1=""),"",SUBSTITUTE(IF(OR(DATE.1="",DATE.1&lt;&gt;TODAY()),"",TABLEAU!$C$101),"DANS 00 MIN","MAINTENANT")))</f>
        <v/>
      </c>
      <c r="D102" s="1048" t="str">
        <f ca="1">UPPER(IF(DATE.1&lt;&gt;TODAY(),"",IF(DATE.1=TODAY(),"AUJOURD'HUI",HOUR(DIFFERENCE.1))))</f>
        <v/>
      </c>
      <c r="E102" s="1465" t="str">
        <f ca="1">IF(DATE.1="","",IF(AND(DATE.1=TODAY(),HEURE.1&lt;H.M)," ",IF(OR(DATE.1&gt;A,HEURE.1="",TYPE.1="",DATE.1=""),"",IF(OR(TABLEAU!$F$99&lt;0,DATE.1&lt;A),"DEPASSE",IF(AND(DATE.1=A,MAINTENANT&gt;HOUR(HEURE.1)),"DEPASSE",IF(AND(DATE.1&lt;&gt;"",DATE.1=A,HOUR(HEURE.1)&lt;MAINTENANT),"DEPASSE",IF(AND(DATE.1=A,MAINTENANT=HOUR(HEURE.1),MINUTE(MAINTENANT)&gt;MINUTE(HEURE.1)),"DEPASSE",IF(AND(DATE.1=TODAY(),HOUR(DIFFERENCE.1)&lt;1,MINUTE(DIFFERENCE.1)&lt;30,DIFFERENCE.1&lt;&gt;"",DIFFERENCE.1&lt;&gt;0),"BIENTOT",""))))))))</f>
        <v/>
      </c>
      <c r="F102" s="929">
        <f ca="1">IF(TABLEAU!$C$98="","",IF(HEURE.MAINTENANT-TABLEAU!$C$98&lt;0,"",HEURE.MAINTENANT-TABLEAU!$C$98))</f>
        <v>0.20833333333333331</v>
      </c>
      <c r="G102" s="2541" t="str">
        <f ca="1">UPPER(TRIM(TV.SUITE))</f>
        <v>#DANS 7H45 (A 20H45): [CHAMPIONNAT]# &amp; #DANS 7H40 (A 20H40 SUR AB1): [SMACKDOWN]#</v>
      </c>
      <c r="H102" s="2542"/>
      <c r="I102" s="1117" t="str">
        <f ca="1">IF(TABLEAU!$B$102="DEPASSE",CONCATENATE("#DEPASSE ",DEP.RDV.1),TABLEAU!$C$101)</f>
        <v/>
      </c>
      <c r="J102" s="1094" t="str">
        <f ca="1">IF(DATE.1&lt;&gt;A,"",IF(HEURE.1="","",IF(MINUTE(HEURE.1)&gt;9,CONCATENATE(HOUR(HEURE.1),"H",MINUTE(HEURE.1)),CONCATENATE(HOUR(HEURE.1),"H0",MINUTE(HEURE.1)))))</f>
        <v/>
      </c>
      <c r="K102" s="623" t="str">
        <f ca="1">IF(TABLEAU!$J$102="","",IF(HEURE.1="","",IF(HEURE.1&gt;HEURE.MAINTENANT,"DEPASSE",IF(AND(HOUR(HEURE.1)=HOUR(HEURE.MAINTENANT),MINUTE(HEURE.1)&lt;MINUTE(HEURE.MAINTENANT)),"DEPASSE",IF(HOUR(HEURE.1)&lt;HOUR(HEURE.MAINTENANT),"DEPASSE",IF(HEURE.1&gt;HEURE.MAINTENANT,HEURE.MAINTENANT-HEURE.1,HEURE.1-HEURE.MAINTENANT+"0:1"))))))</f>
        <v/>
      </c>
      <c r="L102" s="623" t="str">
        <f ca="1">IF(RDV2.1&lt;&gt;"AUJOURD'HUI","",IF(TABLEAU!$M$10="00",HEURE.1+"0:00:01"-HEURE.MAINTENANT,IF(HEURE.1&gt;HEURE.MAINTENANT,"DEPASSE",HEURE.1+"0:01:00"-HEURE.MAINTENANT)))</f>
        <v/>
      </c>
      <c r="M102" s="1079" t="str">
        <f ca="1">IF(TABLEAU!$K$102="DEPASSE","",IF(TABLEAU!$J$102="","",IF(HEURE.1&gt;HEURE.MAINTENANT,"DEPASSE",IF(AND(TABLEAU!$L$102="",HOUR(TABLEAU!$K$102)=0),"",IF(AND(TABLEAU!$L$102="",HOUR(TABLEAU!$K$102)&gt;0),CONCATENATE(HOUR(TABLEAU!$K$102),"H"),IF(TABLEAU!$K$102="DEPASSE","",IF(TABLEAU!$L$102="DEPASSE",TABLEAU!$L$102,IF(HOUR(TABLEAU!$L$102)&gt;0,CONCATENATE(HOUR(TABLEAU!$L$102),"H"),""))))))))</f>
        <v/>
      </c>
      <c r="N102" s="1079" t="str">
        <f ca="1">SUBSTITUTE(IF(TABLEAU!$J$102="","",IF(HEURE.1&gt;HEURE.MAINTENANT,"DEPASSE",IF(TABLEAU!$L$102="",MINUTE(TABLEAU!$K$102),IF(TABLEAU!$K$102="DEPASSE","",IF(TABLEAU!$L$102="DEPASSE",TABLEAU!$L$102,IF(MINUTE(TABLEAU!$L$102)&gt;9,MINUTE(TABLEAU!$L$102),IF(MINUTE(TABLEAU!$L$102)=0,"00",CONCATENATE("0",MINUTE(TABLEAU!$L$102))))))))),"-","")</f>
        <v/>
      </c>
      <c r="O102" s="1080" t="str">
        <f ca="1">IF(TABLEAU!$J$102="","",IF(HEURE.1&gt;HEURE.MAINTENANT,"DEPASSE",IF(TABLEAU!$K$102="DEPASSE","",IF(TABLEAU!$L$102="DEPASSE",TABLEAU!$L$102,IF(AND(TABLEAU!$M$102&lt;&gt;"",TABLEAU!$N$102&lt;&gt;""),CONCATENATE(TABLEAU!$M$102,TABLEAU!$N$102),IF(AND(TABLEAU!$M$102="",TABLEAU!$N$102&lt;&gt;""),CONCATENATE(TABLEAU!$N$102," MIN")))))))</f>
        <v/>
      </c>
      <c r="P102" s="1547" t="str">
        <f ca="1">IF(TABLEAU!$O$102&lt;&gt;"","",IF(TABLEAU!$J$102="","",IF(TABLEAU!$O$102="DEPASSE",HEURE.MAINTENANT-HEURE.1,IF(HEURE.1&lt;HEURE.MAINTENANT,HEURE.MAINTENANT-HEURE.1,IF(RDV2.1="","",IF(HEURE.1="","",IF(HEURE.1&gt;HEURE.MAINTENANT,"SUIVANT",HEURE.MAINTENANT-HEURE.1)))))))</f>
        <v/>
      </c>
      <c r="Q102" s="1106" t="str">
        <f ca="1">IF(TABLEAU!$P$102="","",IF(HEURE.1&gt;HEURE.MAINTENANT,"",IF(RDV2.1="","",IF(HEURE.1="","",IF(HEURE.2&gt;HEURE.MAINTENANT,"SUIVANT",HOUR(HEURE.MAINTENANT-HEURE.1))))))</f>
        <v/>
      </c>
      <c r="R102" s="1106" t="str">
        <f ca="1">IF(TABLEAU!$P$102="","",IF(HEURE.1&gt;HEURE.MAINTENANT,"",IF(RDV2.1="","",IF(HEURE.1="","",IF(HEURE.1&lt;HEURE.MAINTENANT,MINUTE(TABLEAU!$P$102),MINUTE(TABLEAU!$P$102))))))</f>
        <v/>
      </c>
      <c r="S102" s="2224" t="str">
        <f ca="1">IF(TABLEAU!$P$102="","",IF(HEURE.1&gt;HEURE.MAINTENANT,"",IF(HOUR(HEURE.MAINTENANT-HEURE.1),CONCATENATE("DEPASSE DEPUIS ",TABLEAU!$V$102),IF(RDV2.1="","",IF(HEURE.1="","",IF(HEURE.1&gt;HEURE.MAINTENANT,"SUIVANT",CONCATENATE("DEPASSE DEPUIS ",TABLEAU!$V$102)))))))</f>
        <v/>
      </c>
      <c r="T102" s="2224"/>
      <c r="U102" s="1106" t="str">
        <f ca="1">IF(TABLEAU!$P$102="","",IF(HEURE.MAINTENANT-HEURE.1,TABLEAU!$R$102,IF(TABLEAU!$O$102&lt;&gt;"","",IF(TABLEAU!$R$102="","",IF(TABLEAU!$R$102&lt;10,CONCATENATE("0",TABLEAU!$R$102),TABLEAU!$R$102)))))</f>
        <v/>
      </c>
      <c r="V102" s="1107" t="str">
        <f ca="1">IF(AND(TABLEAU!$Q$102=0,TABLEAU!$R$102&lt;&gt;0),CONCATENATE(TABLEAU!$R$102," MIN"),IF(AND(TABLEAU!$Q$102="",TABLEAU!$R$102=""),"",IF(AND(TABLEAU!$Q$102&gt;0,TABLEAU!$R$102&lt;&gt;""),CONCATENATE(TABLEAU!$Q$102,TABLEAU!$R$102),IF(AND(TABLEAU!$Q$102&lt;&gt;0,TABLEAU!$R$102=0),"1H00",IF(AND(TABLEAU!$Q$102=0,TABLEAU!$R$102&lt;&gt;""),CONCATENATE(TABLEAU!$R$102," MIN"))))))</f>
        <v/>
      </c>
      <c r="W102" s="1833"/>
      <c r="X102" s="1834"/>
      <c r="Y102" s="1834"/>
      <c r="Z102" s="1834"/>
      <c r="AA102" s="1762"/>
      <c r="AB102" s="1763"/>
      <c r="AC102" s="1763"/>
      <c r="AD102" s="1763"/>
      <c r="AE102" s="1764"/>
      <c r="AF102" s="1696"/>
      <c r="AG102" s="1697"/>
      <c r="AH102" s="1697"/>
      <c r="AI102" s="1698"/>
      <c r="AJ102" s="1477"/>
      <c r="AK102" s="1477"/>
      <c r="AL102" s="1611"/>
      <c r="AM102" s="1739"/>
      <c r="AN102" s="2013"/>
      <c r="AO102" s="1763"/>
      <c r="AP102" s="1763"/>
      <c r="AQ102" s="1763"/>
      <c r="AR102" s="1763"/>
      <c r="AS102" s="1763"/>
      <c r="AT102" s="1763"/>
      <c r="AU102" s="1763"/>
      <c r="AV102" s="1763"/>
      <c r="AW102" s="1763"/>
      <c r="AX102" s="1764"/>
      <c r="AY102" s="1489"/>
      <c r="AZ102" s="1527"/>
      <c r="BA102" s="1489"/>
    </row>
    <row r="103" spans="1:53" ht="21.95" hidden="1" customHeight="1" thickBot="1">
      <c r="A103" s="471">
        <f>IF(DATE.1="","",IF(DAY(DATE.1)=1,"1ER",DAY(DATE.1)))</f>
        <v>5</v>
      </c>
      <c r="B103" s="1036" t="str">
        <f ca="1">IF(DATE.1&lt;&gt;TODAY(),"",IF(TABLEAU!$J97="","",IF(OR(DATE.1="",DATE.1&lt;&gt;A,HEURE.1="",DIFFERENCE.1=""),"",IF(OR(MINUTE(DIFFERENCE.1)=9,MINUTE(DIFFERENCE.1)&lt;9),CONCATENATE("",MINUTE(DIFFERENCE.1)),MINUTE(DIFFERENCE.1)))))</f>
        <v/>
      </c>
      <c r="C103" s="1037" t="str">
        <f ca="1">IF(DATE.1&lt;&gt;NOW(),"",IF(HEURE.1&lt;H.M,"DEPASSE",IF(OR(DATE.1="",DATE.1&lt;&gt;A,HEURE.1="",DIFFERENCE.1=""),"",IF(OR(MINUTE(DIFFERENCE.1)=9,MINUTE(DIFFERENCE.1)&lt;9),CONCATENATE("0",MINUTE(DIFFERENCE.1)),MINUTE(DIFFERENCE.1)))))</f>
        <v/>
      </c>
      <c r="D103" s="1035" t="str">
        <f>IF(DATE.1="","",SUBSTITUTE(CONCATENATE("(",LOOKUP(WEEKDAY(DATE.1),SEMAINE)," ",TABLEAU!$A$103," ",LOOKUP(MONTH(DATE.1),MOIS)," ",YEAR(DATE.1)," A ",TABLEAU!$D$98,"H",RDV.1.MIN,"): ")," 1ER "," 1 "))</f>
        <v xml:space="preserve">(MARDI 5 NOVEMBRE 2019 A 8H00): </v>
      </c>
      <c r="E103" s="1030" t="str">
        <f>IF(DATE.1="","",SUBSTITUTE(CONCATENATE("(",LOOKUP(WEEKDAY(DATE.1),SEMAINE)," ",TABLEAU!$A$103," ",LOOKUP(MONTH(DATE.1),MOIS)," ",YEAR(DATE.1)," A ",TABLEAU!$D$98,"H",RDV.1.MIN,"): [(",LOOKUP(WEEKDAY(DATE.1),SEMAINE)," ",TABLEAU!$A$103," ",LOOKUP(MONTH(DATE.1),MOIS)," ",YEAR(DATE.1)," A ",TABLEAU!$D$98,"H",RDV.1.MIN,"): ")," 1ER "," 1 "))</f>
        <v xml:space="preserve">(MARDI 5 NOVEMBRE 2019 A 8H00): [(MARDI 5 NOVEMBRE 2019 A 8H00): </v>
      </c>
      <c r="F103" s="930" t="str">
        <f>IF(TABLEAU!$C$98="","",IF(MINUTE(TABLEAU!$C$98)&lt;10,CONCATENATE("0",MINUTE(TABLEAU!$C$98)),MINUTE(TABLEAU!$C$98)))</f>
        <v>00</v>
      </c>
      <c r="G103" s="2543"/>
      <c r="H103" s="2544"/>
      <c r="I103" s="1095" t="str">
        <f ca="1">IF(TABLEAU!$B$108="DEPASSE",CONCATENATE("#DEPASSE ",DEP.RDV.2),TABLEAU!$C$107)</f>
        <v/>
      </c>
      <c r="J103" s="1081" t="str">
        <f ca="1">IF(DATE.2&lt;&gt;A,"",IF(HEURE.2="","",IF(MINUTE(HEURE.2)&gt;9,CONCATENATE(HOUR(HEURE.2),"H",MINUTE(HEURE.2)),CONCATENATE(HOUR(HEURE.2),"H0",MINUTE(HEURE.2)))))</f>
        <v/>
      </c>
      <c r="K103" s="625" t="str">
        <f ca="1">IF(TABLEAU!$J$103="","",IF(HEURE.2="","",IF(HEURE.2&gt;HEURE.MAINTENANT,"DEPASSE",IF(AND(HOUR(HEURE.2)=HOUR(HEURE.MAINTENANT),MINUTE(HEURE.2)&lt;MINUTE(HEURE.MAINTENANT)),"DEPASSE",IF(HOUR(HEURE.2)&lt;HOUR(HEURE.MAINTENANT),"DEPASSE",IF(HEURE.2&gt;HEURE.MAINTENANT,HEURE.MAINTENANT-HEURE.2,HEURE.2-HEURE.MAINTENANT+"0:1"))))))</f>
        <v/>
      </c>
      <c r="L103" s="625" t="str">
        <f ca="1">IF(RDV2.2&lt;&gt;"AUJOURD'HUI","",IF(TABLEAU!$M$10="00",HEURE.2+"0:00:01"-HEURE.MAINTENANT,IF(HEURE.2&gt;HEURE.MAINTENANT,"DEPASSE",HEURE.2+"0:01:00"-HEURE.MAINTENANT)))</f>
        <v/>
      </c>
      <c r="M103" s="1082" t="str">
        <f ca="1">IF(TABLEAU!$K$103="DEPASSE","",IF(TABLEAU!$J$103="","",IF(HEURE.2&gt;HEURE.MAINTENANT,"DEPASSE",IF(AND(TABLEAU!$L$103="",HOUR(TABLEAU!$K$103)=0),"",IF(AND(TABLEAU!$L$103="",HOUR(TABLEAU!$K$103)&gt;0),CONCATENATE(HOUR(TABLEAU!$K$103),"H"),IF(TABLEAU!$K$103="DEPASSE","",IF(TABLEAU!$L$103="DEPASSE",TABLEAU!$L$103,IF(HOUR(TABLEAU!$L$103)&gt;0,CONCATENATE(HOUR(TABLEAU!$L$103),"H"),""))))))))</f>
        <v/>
      </c>
      <c r="N103" s="1082" t="str">
        <f ca="1">SUBSTITUTE(IF(TABLEAU!$J$103="","",IF(HEURE.2&gt;HEURE.MAINTENANT,"DEPASSE",IF(TABLEAU!$L$103="",MINUTE(TABLEAU!$K$103),IF(TABLEAU!$K$103="DEPASSE","",IF(TABLEAU!$L$103="DEPASSE",TABLEAU!$L$103,IF(MINUTE(TABLEAU!$L$103)&gt;9,MINUTE(TABLEAU!$L$103),IF(MINUTE(TABLEAU!$L$103)=0,"00",CONCATENATE("0",MINUTE(TABLEAU!$L$103))))))))),"-","")</f>
        <v/>
      </c>
      <c r="O103" s="1083" t="str">
        <f ca="1">IF(TABLEAU!$J$103="","",IF(HEURE.2&gt;HEURE.MAINTENANT,"DEPASSE",IF(TABLEAU!$K$103="DEPASSE","",IF(TABLEAU!$L$103="DEPASSE",TABLEAU!$L$103,IF(AND(TABLEAU!$M$103&lt;&gt;"",TABLEAU!$N$103&lt;&gt;""),CONCATENATE(TABLEAU!$M$103,TABLEAU!$N$103),IF(AND(TABLEAU!$M$103="",TABLEAU!$N$103&lt;&gt;""),CONCATENATE(TABLEAU!$N$103," MIN")))))))</f>
        <v/>
      </c>
      <c r="P103" s="1108" t="str">
        <f ca="1">IF(TABLEAU!$O$103&lt;&gt;"","",IF(TABLEAU!$J$103="","",IF(TABLEAU!$O$103="DEPASSE",HEURE.MAINTENANT-HEURE.2,IF(HEURE.2&lt;HEURE.MAINTENANT,HEURE.MAINTENANT-HEURE.2,IF(RDV2.2="","",IF(HEURE.2="","",IF(HEURE.2&gt;HEURE.MAINTENANT,"SUIVANT",HEURE.MAINTENANT-HEURE.2)))))))</f>
        <v/>
      </c>
      <c r="Q103" s="1109" t="str">
        <f ca="1">IF(TABLEAU!$P$103="","",IF(HEURE.2&gt;HEURE.MAINTENANT,"",IF(RDV2.2="","",IF(HEURE.2="","",IF(HEURE.2&gt;HEURE.MAINTENANT,"SUIVANT",HOUR(HEURE.MAINTENANT-HEURE.2))))))</f>
        <v/>
      </c>
      <c r="R103" s="1109" t="str">
        <f ca="1">IF(TABLEAU!$P$103="","",IF(HEURE.2&gt;HEURE.MAINTENANT,"",IF(RDV2.2="","",IF(HEURE.2="","",IF(HEURE.2&lt;HEURE.MAINTENANT,MINUTE(TABLEAU!$P$103),MINUTE(TABLEAU!$P$103))))))</f>
        <v/>
      </c>
      <c r="S103" s="2223" t="str">
        <f ca="1">IF(TABLEAU!$P$103="","",IF(HEURE.2&gt;HEURE.MAINTENANT,"",IF(HOUR(HEURE.MAINTENANT-HEURE.2),CONCATENATE("DEPASSE DEPUIS ",TABLEAU!$V$103),IF(RDV2.2="","",IF(HEURE.2="","",IF(HEURE.2&gt;HEURE.MAINTENANT,"SUIVANT",CONCATENATE("DEPASSE DEPUIS ",TABLEAU!$V$103)))))))</f>
        <v/>
      </c>
      <c r="T103" s="2223"/>
      <c r="U103" s="1109" t="str">
        <f ca="1">IF(TABLEAU!$P$103="","",IF(HEURE.MAINTENANT-HEURE.2,TABLEAU!$R$103,IF(TABLEAU!$O$103&lt;&gt;"","",IF(TABLEAU!$R$103="","",IF(TABLEAU!$R$103&lt;10,CONCATENATE("0",TABLEAU!$R$103),TABLEAU!$R$103)))))</f>
        <v/>
      </c>
      <c r="V103" s="1110" t="str">
        <f ca="1">IF(AND(TABLEAU!$Q$103=0,TABLEAU!$R$103&lt;&gt;0),CONCATENATE(TABLEAU!$R$103," MIN"),IF(AND(TABLEAU!$Q$103="",TABLEAU!$R$103=""),"",IF(AND(TABLEAU!$Q$103&gt;0,TABLEAU!$R$103&lt;&gt;""),CONCATENATE(TABLEAU!$Q$103,TABLEAU!$R$103),IF(AND(TABLEAU!$Q$103&lt;&gt;0,TABLEAU!$R$103=0),"1H00",IF(AND(TABLEAU!$Q$103=0,TABLEAU!$R$103&lt;&gt;""),CONCATENATE(TABLEAU!$R$103," MIN"))))))</f>
        <v/>
      </c>
      <c r="W103" s="1833"/>
      <c r="X103" s="1834"/>
      <c r="Y103" s="1834"/>
      <c r="Z103" s="1834"/>
      <c r="AA103" s="1762"/>
      <c r="AB103" s="1763"/>
      <c r="AC103" s="1763"/>
      <c r="AD103" s="1763"/>
      <c r="AE103" s="1764"/>
      <c r="AF103" s="1696"/>
      <c r="AG103" s="1697"/>
      <c r="AH103" s="1697"/>
      <c r="AI103" s="1698"/>
      <c r="AJ103" s="1477"/>
      <c r="AK103" s="1477"/>
      <c r="AL103" s="1611"/>
      <c r="AM103" s="1739"/>
      <c r="AN103" s="2013"/>
      <c r="AO103" s="1763"/>
      <c r="AP103" s="1763"/>
      <c r="AQ103" s="1763"/>
      <c r="AR103" s="1763"/>
      <c r="AS103" s="1763"/>
      <c r="AT103" s="1763"/>
      <c r="AU103" s="1763"/>
      <c r="AV103" s="1763"/>
      <c r="AW103" s="1763"/>
      <c r="AX103" s="1764"/>
      <c r="AY103" s="1489"/>
      <c r="AZ103" s="1527"/>
      <c r="BA103" s="1489"/>
    </row>
    <row r="104" spans="1:53" ht="11.1" hidden="1" customHeight="1" thickTop="1">
      <c r="A104" s="470" t="str">
        <f ca="1">TRIM(SUBSTITUTE(TABLEAU!$A$110,"#  (","+ "))</f>
        <v>#DANS 7H45 (A 20H45): [CHAMPIONNAT]# #DANS 7H40 (A 20H40 SUR AB1): [SMACKDOWN]#</v>
      </c>
      <c r="B104" s="492" t="str">
        <f>IF(RDV.2.DATE&lt;&gt;"",RDV.2.DATE,"")</f>
        <v/>
      </c>
      <c r="C104" s="493" t="str">
        <f>IF(RDV.2.HEURE&lt;&gt;"",RDV.2.HEURE,"")</f>
        <v/>
      </c>
      <c r="D104" s="494" t="str">
        <f>IF(HEURE.2="","",CONCATENATE("",HOUR(HEURE.2)))</f>
        <v/>
      </c>
      <c r="E104" s="941" t="str">
        <f ca="1">IF(RDV.2="DEPASSE",NOW()-HEURE.2,"")</f>
        <v/>
      </c>
      <c r="F104" s="931" t="str">
        <f>IF(TABLEAU!$C$104="","",TABLEAU!$C$104-HEURE.MAINTENANT)</f>
        <v/>
      </c>
      <c r="G104" s="2543"/>
      <c r="H104" s="2544"/>
      <c r="I104" s="1096" t="str">
        <f ca="1">IF(TABLEAU!$B$114="DEPASSE",CONCATENATE("#DEPASSE ",DEP.RDV.3),TABLEAU!$C$113)</f>
        <v/>
      </c>
      <c r="J104" s="1084" t="str">
        <f ca="1">IF(DATE.3&lt;&gt;A,"",IF(HEURE.3="","",IF(MINUTE(HEURE.3)&gt;9,CONCATENATE(HOUR(HEURE.3),"H",MINUTE(HEURE.3)),CONCATENATE(HOUR(HEURE.3),"H0",MINUTE(HEURE.3)))))</f>
        <v/>
      </c>
      <c r="K104" s="624" t="str">
        <f ca="1">IF(TABLEAU!$J$104="","",IF(HEURE.3="","",IF(HEURE.3&gt;HEURE.MAINTENANT,"DEPASSE",IF(AND(HOUR(HEURE.3)=HOUR(HEURE.MAINTENANT),MINUTE(HEURE.3)&lt;MINUTE(HEURE.MAINTENANT)),"DEPASSE",IF(HOUR(HEURE.3)&lt;HOUR(HEURE.MAINTENANT),"DEPASSE",IF(HEURE.3&gt;HEURE.MAINTENANT,HEURE.MAINTENANT-HEURE.3,HEURE.3-HEURE.MAINTENANT+"0:1"))))))</f>
        <v/>
      </c>
      <c r="L104" s="624" t="str">
        <f ca="1">IF(RDV2.3&lt;&gt;"AUJOURD'HUI","",IF(TABLEAU!$M$10="00",HEURE.3+"0:00:01"-HEURE.MAINTENANT,IF(HEURE.3&gt;HEURE.MAINTENANT,"DEPASSE",HEURE.3+"0:01:00"-HEURE.MAINTENANT)))</f>
        <v/>
      </c>
      <c r="M104" s="1085" t="str">
        <f ca="1">IF(TABLEAU!$K$104="DEPASSE","",IF(TABLEAU!$J$104="","",IF(HEURE.3&gt;HEURE.MAINTENANT,"DEPASSE",IF(AND(TABLEAU!$L$104="",HOUR(TABLEAU!$K$104)=0),"",IF(AND(TABLEAU!$L$104="",HOUR(TABLEAU!$K$104)&gt;0),CONCATENATE(HOUR(TABLEAU!$K$104),"H"),IF(TABLEAU!$K$104="DEPASSE","",IF(TABLEAU!$L$104="DEPASSE",TABLEAU!$L$104,IF(HOUR(TABLEAU!$L$104)&gt;0,CONCATENATE(HOUR(TABLEAU!$L$104),"H"),""))))))))</f>
        <v/>
      </c>
      <c r="N104" s="1085" t="str">
        <f ca="1">SUBSTITUTE(IF(TABLEAU!$J$104="","",IF(HEURE.3&gt;HEURE.MAINTENANT,"DEPASSE",IF(TABLEAU!$L$104="",MINUTE(TABLEAU!$K$104),IF(TABLEAU!$K$104="DEPASSE","",IF(TABLEAU!$L$104="DEPASSE",TABLEAU!$L$104,IF(MINUTE(TABLEAU!$L$104)&gt;9,MINUTE(TABLEAU!$L$104),IF(MINUTE(TABLEAU!$L$104)=0,"00",CONCATENATE("0",MINUTE(TABLEAU!$L$104))))))))),"-","")</f>
        <v/>
      </c>
      <c r="O104" s="1086" t="str">
        <f ca="1">IF(TABLEAU!$J$104="","",IF(HEURE.3&gt;HEURE.MAINTENANT,"DEPASSE",IF(TABLEAU!$K$104="DEPASSE","",IF(TABLEAU!$L$104="DEPASSE",TABLEAU!$L$104,IF(AND(TABLEAU!$M$104&lt;&gt;"",TABLEAU!$N$104&lt;&gt;""),CONCATENATE(TABLEAU!$M$104,TABLEAU!$N$104),IF(AND(TABLEAU!$M$104="",TABLEAU!$N$104&lt;&gt;""),CONCATENATE(TABLEAU!$N$104," MIN")))))))</f>
        <v/>
      </c>
      <c r="P104" s="1108" t="str">
        <f ca="1">IF(TABLEAU!$O$104&lt;&gt;"","",IF(TABLEAU!$J$104="","",IF(TABLEAU!$O$104="DEPASSE",HEURE.MAINTENANT-HEURE.3,IF(HEURE.3&lt;HEURE.MAINTENANT,HEURE.MAINTENANT-HEURE.3,IF(RDV2.3="","",IF(HEURE.3="","",IF(HEURE.3&gt;HEURE.MAINTENANT,"SUIVANT",HEURE.MAINTENANT-HEURE.3)))))))</f>
        <v/>
      </c>
      <c r="Q104" s="1109" t="str">
        <f ca="1">IF(TABLEAU!$P$104="","",IF(HEURE.3&gt;HEURE.MAINTENANT,"",IF(RDV2.3="","",IF(HEURE.3="","",IF(HEURE.2&gt;HEURE.MAINTENANT,"SUIVANT",HOUR(HEURE.MAINTENANT-HEURE.3))))))</f>
        <v/>
      </c>
      <c r="R104" s="1109" t="str">
        <f ca="1">IF(TABLEAU!$P$104="","",IF(HEURE.3&gt;HEURE.MAINTENANT,"",IF(RDV2.3="","",IF(HEURE.3="","",IF(HEURE.3&lt;HEURE.MAINTENANT,MINUTE(TABLEAU!$P$104),MINUTE(TABLEAU!$P$104))))))</f>
        <v/>
      </c>
      <c r="S104" s="2223" t="str">
        <f ca="1">IF(TABLEAU!$P$104="","",IF(HEURE.3&gt;HEURE.MAINTENANT,"",IF(HOUR(HEURE.MAINTENANT-HEURE.3),CONCATENATE("DEPASSE DEPUIS ",TABLEAU!$V$104),IF(RDV2.3="","",IF(HEURE.3="","",IF(HEURE.3&gt;HEURE.MAINTENANT,"SUIVANT",CONCATENATE("DEPASSE DEPUIS ",TABLEAU!$V$104)))))))</f>
        <v/>
      </c>
      <c r="T104" s="2223"/>
      <c r="U104" s="1109" t="str">
        <f ca="1">IF(TABLEAU!$P$104="","",IF(HEURE.MAINTENANT-HEURE.3,TABLEAU!$R$104,IF(TABLEAU!$O$104&lt;&gt;"","",IF(TABLEAU!$R$104="","",IF(TABLEAU!$R$104&lt;10,CONCATENATE("0",TABLEAU!$R$104),TABLEAU!$R$104)))))</f>
        <v/>
      </c>
      <c r="V104" s="1110" t="str">
        <f ca="1">IF(AND(TABLEAU!$Q$104=0,TABLEAU!$R$104&lt;&gt;0),CONCATENATE(TABLEAU!$R$104," MIN"),IF(AND(TABLEAU!$Q$104="",TABLEAU!$R$104=""),"",IF(AND(TABLEAU!$Q$104&gt;0,TABLEAU!$R$104&lt;&gt;""),CONCATENATE(TABLEAU!$Q$104,TABLEAU!$R$104),IF(AND(TABLEAU!$Q$104&lt;&gt;0,TABLEAU!$R$104=0),"1H00",IF(AND(TABLEAU!$Q$104=0,TABLEAU!$R$104&lt;&gt;""),CONCATENATE(TABLEAU!$R$104," MIN"))))))</f>
        <v/>
      </c>
      <c r="W104" s="1833"/>
      <c r="X104" s="1834"/>
      <c r="Y104" s="1834"/>
      <c r="Z104" s="1834"/>
      <c r="AA104" s="1762"/>
      <c r="AB104" s="1763"/>
      <c r="AC104" s="1763"/>
      <c r="AD104" s="1763"/>
      <c r="AE104" s="1764"/>
      <c r="AF104" s="1696"/>
      <c r="AG104" s="1697"/>
      <c r="AH104" s="1697"/>
      <c r="AI104" s="1698"/>
      <c r="AJ104" s="1477"/>
      <c r="AK104" s="1477"/>
      <c r="AL104" s="1611"/>
      <c r="AM104" s="1739"/>
      <c r="AN104" s="2013"/>
      <c r="AO104" s="1763"/>
      <c r="AP104" s="1763"/>
      <c r="AQ104" s="1763"/>
      <c r="AR104" s="1763"/>
      <c r="AS104" s="1763"/>
      <c r="AT104" s="1763"/>
      <c r="AU104" s="1763"/>
      <c r="AV104" s="1763"/>
      <c r="AW104" s="1763"/>
      <c r="AX104" s="1764"/>
      <c r="AY104" s="1489"/>
      <c r="AZ104" s="1527"/>
      <c r="BA104" s="1489"/>
    </row>
    <row r="105" spans="1:53" ht="11.1" hidden="1" customHeight="1">
      <c r="A105" s="72"/>
      <c r="B105" s="2502" t="str">
        <f ca="1">SUBSTITUTE(SUBSTITUTE(SUBSTITUTE(SUBSTITUTE(SUBSTITUTE(IF(DATE.2="","",SUBSTITUTE(SUBSTITUTE(SUBSTITUTE(SUBSTITUTE(IF(OR(DATE.2="",HEURE.2=""),"",IF(DATE.2&lt;A,"DEPASSE",IF(DATE.2-TODAY()=1,CONCATENATE("DEMAIN (",LOOKUP(WEEKDAY(DATE.2),SEMAINE)," ",DAY(DATE.2)," ",LOOKUP(MONTH(DATE.2),MOIS)," ",YEAR(DATE.2)," A ",TABLEAU!$D$104,"H",RDV.2.MIN,"): [",TABLEAU!$E$105),IF(DATE.2-TODAY()=0,PHRASE.RDV.2,CONCATENATE("DANS ",DATE.2-TODAY()," JOURS [",TABLEAU!$E$105,"]"))))),"[[","["),"]]","]"),"JOURS [",CONCATENATE("JOURS (",LOOKUP(WEEKDAY(DATE.2),SEMAINE)," ",DAY(DATE.2)," ",LOOKUP(MONTH(DATE.2),MOIS)," ",YEAR(DATE.2)," A ",TABLEAU!$D$104,"H",RDV.2.MIN,"): [")),TABLEAU!$E$109,TABLEAU!$D$109)),CONCATENATE(TRIM(TABLEAU!$D$109)," [",TRIM(TABLEAU!$E$105)),TRIM(TABLEAU!$E$105)),CONCATENATE("DEMAIN ",TABLEAU!$E$105,"]"),CONCATENATE("DEMAIN ",TABLEAU!$D$109,"[",TABLEAU!$E$105,"]")),CONCATENATE("JOURS ",TABLEAU!$E$105),CONCATENATE("JOURS ",DEP.DATE.2,"[",TABLEAU!$E$105)),"EUROS]","EUROS"),CONCATENATE("DEMAIN ",TABLEAU!$E$105),CONCATENATE("DEMAIN ",DEP.DATE.2,"[",TABLEAU!$E$105,"]"))</f>
        <v/>
      </c>
      <c r="C105" s="495" t="str">
        <f ca="1">IF(RDV.2="DEPASSE","",TABLEAU!$C$106)</f>
        <v/>
      </c>
      <c r="D105" s="496" t="str">
        <f ca="1">UPPER(SUBSTITUTE(SUBSTITUTE(SUBSTITUTE(SUBSTITUTE(SUBSTITUTE(SUBSTITUTE(IF(DATE.2&lt;NOW(),CONCATENATE(TABLEAU!$C$108," (A ",TABLEAU!$D$104,"H",TABLEAU!$B$107,"): [",TYPE.2,"]"),IF(DATE.2&gt;TODAY(),"",IF(HEURE.2&lt;H.M,"DEPASSE",SUBSTITUTE(SUBSTITUTE(IF(OR(DATE.2="",DATE.2&lt;&gt;A,HEURE.2="",TYPE.2="",RDV.2="DEPASSE"),"",IF(TABLEAU!$A$108&lt;&gt;"",TABLEAU!$A$108,IF(DATE.2=A,CONCATENATE(TABLEAU!$C$108," (A ",TABLEAU!$D$104,"H",TABLEAU!$B$107,"): ",TYPE.2,"]"),CONCATENATE(DANS.2,"(",LOOKUP(WEEKDAY(DATE.2),SEMAINE)," ",TABLEAU!$D$106," ",LOOKUP(MONTH(DATE.2),MOIS)," A ",TABLEAU!$D$104,"H",TABLEAU!$B$107,"): [",TYPE.2,"]")))),CONCATENATE("DANS 0"),"DANS ")," [0]"," [MANQUE LE RDV]")))),"H)","H00)"),"[[","["),"]]","]"),"[(","("),CONCATENATE("(A ",TABLEAU!$D$104,"H",TABLEAU!$B$107,"): "),""),"EUROS]","EUROS"))</f>
        <v/>
      </c>
      <c r="E105" s="2511" t="str">
        <f>UPPER(SUBSTITUTE(IF(OR(DATE.2="",HEURE.2=""),"",IF(DATE.2&lt;A,"DEPASSE",TYPE.2))," 1ER "," 1 "))</f>
        <v/>
      </c>
      <c r="F105" s="932" t="str">
        <f ca="1">IF(DATE.2="","",DATE.2-TODAY())</f>
        <v/>
      </c>
      <c r="G105" s="2543"/>
      <c r="H105" s="2544"/>
      <c r="I105" s="1097" t="str">
        <f ca="1">IF(TABLEAU!$B$120="DEPASSE",CONCATENATE("#DEPASSE ",DEP.RDV.4),TABLEAU!$C$119)</f>
        <v/>
      </c>
      <c r="J105" s="1087" t="str">
        <f ca="1">IF(DATE.4&lt;&gt;A,"",IF(HEURE.4="","",IF(MINUTE(HEURE.4)&gt;9,CONCATENATE(HOUR(HEURE.4),"H",MINUTE(HEURE.4)),CONCATENATE(HOUR(HEURE.4),"H0",MINUTE(HEURE.4)))))</f>
        <v/>
      </c>
      <c r="K105" s="954" t="str">
        <f ca="1">IF(TABLEAU!$J$105="","",IF(HEURE.4="","",IF(HEURE.4&gt;HEURE.MAINTENANT,"DEPASSE",IF(AND(HOUR(HEURE.4)=HOUR(HEURE.MAINTENANT),MINUTE(HEURE.4)&lt;MINUTE(HEURE.MAINTENANT)),"DEPASSE",IF(HOUR(HEURE.4)&lt;HOUR(HEURE.MAINTENANT),"DEPASSE",IF(HEURE.4&gt;HEURE.MAINTENANT,HEURE.MAINTENANT-HEURE.4,HEURE.4-HEURE.MAINTENANT+"0:1"))))))</f>
        <v/>
      </c>
      <c r="L105" s="954" t="str">
        <f ca="1">IF(RDV2.4&lt;&gt;"AUJOURD'HUI","",IF(TABLEAU!$M$10="00",HEURE.4+"0:00:01"-HEURE.MAINTENANT,IF(HEURE.4&gt;HEURE.MAINTENANT,"DEPASSE",HEURE.4+"0:01:00"-HEURE.MAINTENANT)))</f>
        <v/>
      </c>
      <c r="M105" s="1088" t="str">
        <f ca="1">IF(TABLEAU!$K$105="DEPASSE","",IF(TABLEAU!$J$105="","",IF(HEURE.4&gt;HEURE.MAINTENANT,"DEPASSE",IF(AND(TABLEAU!$L$105="",HOUR(TABLEAU!$K$105)=0),"",IF(AND(TABLEAU!$L$105="",HOUR(TABLEAU!$K$105)&gt;0),CONCATENATE(HOUR(TABLEAU!$K$105),"H"),IF(TABLEAU!$K$105="DEPASSE","",IF(TABLEAU!$L$105="DEPASSE",TABLEAU!$L$105,IF(HOUR(TABLEAU!$L$105)&gt;0,CONCATENATE(HOUR(TABLEAU!$L$105),"H"),""))))))))</f>
        <v/>
      </c>
      <c r="N105" s="1088" t="str">
        <f ca="1">SUBSTITUTE(IF(TABLEAU!$J$105="","",IF(HEURE.4&gt;HEURE.MAINTENANT,"DEPASSE",IF(TABLEAU!$L$105="",MINUTE(TABLEAU!$K$105),IF(TABLEAU!$K$105="DEPASSE","",IF(TABLEAU!$L$105="DEPASSE",TABLEAU!$L$105,IF(MINUTE(TABLEAU!$L$105)&gt;9,MINUTE(TABLEAU!$L$105),IF(MINUTE(TABLEAU!$L$105)=0,"00",CONCATENATE("0",MINUTE(TABLEAU!$L$105))))))))),"-","")</f>
        <v/>
      </c>
      <c r="O105" s="1089" t="str">
        <f ca="1">IF(TABLEAU!$J$105="","",IF(HEURE.4&gt;HEURE.MAINTENANT,"DEPASSE",IF(TABLEAU!$K$105="DEPASSE","",IF(TABLEAU!$L$105="DEPASSE",TABLEAU!$L$105,IF(AND(TABLEAU!$M$105&lt;&gt;"",TABLEAU!$N$105&lt;&gt;""),CONCATENATE(TABLEAU!$M$105,TABLEAU!$N$105),IF(AND(TABLEAU!$M$105="",TABLEAU!$N$105&lt;&gt;""),CONCATENATE(TABLEAU!$N$105," MIN")))))))</f>
        <v/>
      </c>
      <c r="P105" s="1111" t="str">
        <f ca="1">IF(TABLEAU!$O$105&lt;&gt;"","",IF(TABLEAU!$J$105="","",IF(TABLEAU!$O$105="DEPASSE",HEURE.MAINTENANT-HEURE.4,IF(HEURE.4&lt;HEURE.MAINTENANT,HEURE.MAINTENANT-HEURE.4,IF(RDV2.4="","",IF(HEURE.4="","",IF(HEURE.4&gt;HEURE.MAINTENANT,"SUIVANT",HEURE.MAINTENANT-HEURE.4)))))))</f>
        <v/>
      </c>
      <c r="Q105" s="1112" t="str">
        <f ca="1">IF(TABLEAU!$P$105="","",IF(HEURE.4&gt;HEURE.MAINTENANT,"",IF(RDV2.4="","",IF(HEURE.4="","",IF(HEURE.2&gt;HEURE.MAINTENANT,"SUIVANT",HOUR(HEURE.MAINTENANT-HEURE.4))))))</f>
        <v/>
      </c>
      <c r="R105" s="1112" t="str">
        <f ca="1">IF(TABLEAU!$P$105="","",IF(HEURE.4&gt;HEURE.MAINTENANT,"",IF(RDV2.4="","",IF(HEURE.4="","",IF(HEURE.4&lt;HEURE.MAINTENANT,MINUTE(TABLEAU!$P$105),MINUTE(TABLEAU!$P$105))))))</f>
        <v/>
      </c>
      <c r="S105" s="2526" t="str">
        <f ca="1">IF(TABLEAU!$P$105="","",IF(HEURE.4&gt;HEURE.MAINTENANT,"",IF(HOUR(HEURE.MAINTENANT-HEURE.4),CONCATENATE("DEPASSE DEPUIS ",TABLEAU!$V$105),IF(RDV2.4="","",IF(HEURE.4="","",IF(HEURE.4&gt;HEURE.MAINTENANT,"SUIVANT",CONCATENATE("DEPASSE DEPUIS ",TABLEAU!$V$105)))))))</f>
        <v/>
      </c>
      <c r="T105" s="2526"/>
      <c r="U105" s="1112" t="str">
        <f ca="1">IF(TABLEAU!$P$105="","",IF(HEURE.MAINTENANT-HEURE.4,TABLEAU!$R$105,IF(TABLEAU!$O$105&lt;&gt;"","",IF(TABLEAU!$R$105="","",IF(TABLEAU!$R$105&lt;10,CONCATENATE("0",TABLEAU!$R$105),TABLEAU!$R$105)))))</f>
        <v/>
      </c>
      <c r="V105" s="1113" t="str">
        <f ca="1">IF(AND(TABLEAU!$Q$105=0,TABLEAU!$R$105&lt;&gt;0),CONCATENATE(TABLEAU!$R$105," MIN"),IF(AND(TABLEAU!$Q$105="",TABLEAU!$R$105=""),"",IF(AND(TABLEAU!$Q$105&gt;0,TABLEAU!$R$105&lt;&gt;""),CONCATENATE(TABLEAU!$Q$105,TABLEAU!$R$105),IF(AND(TABLEAU!$Q$105&lt;&gt;0,TABLEAU!$R$105=0),"1H00",IF(AND(TABLEAU!$Q$105=0,TABLEAU!$R$105&lt;&gt;""),CONCATENATE(TABLEAU!$R$105," MIN"))))))</f>
        <v/>
      </c>
      <c r="W105" s="1833"/>
      <c r="X105" s="1834"/>
      <c r="Y105" s="1834"/>
      <c r="Z105" s="1834"/>
      <c r="AA105" s="1762"/>
      <c r="AB105" s="1763"/>
      <c r="AC105" s="1763"/>
      <c r="AD105" s="1763"/>
      <c r="AE105" s="1764"/>
      <c r="AF105" s="1696"/>
      <c r="AG105" s="1697"/>
      <c r="AH105" s="1697"/>
      <c r="AI105" s="1698"/>
      <c r="AJ105" s="1477"/>
      <c r="AK105" s="1477"/>
      <c r="AL105" s="1611"/>
      <c r="AM105" s="1739"/>
      <c r="AN105" s="2013"/>
      <c r="AO105" s="1763"/>
      <c r="AP105" s="1763"/>
      <c r="AQ105" s="1763"/>
      <c r="AR105" s="1763"/>
      <c r="AS105" s="1763"/>
      <c r="AT105" s="1763"/>
      <c r="AU105" s="1763"/>
      <c r="AV105" s="1763"/>
      <c r="AW105" s="1763"/>
      <c r="AX105" s="1764"/>
      <c r="AY105" s="1489"/>
      <c r="AZ105" s="1527"/>
      <c r="BA105" s="1489"/>
    </row>
    <row r="106" spans="1:53" ht="11.1" hidden="1" customHeight="1" thickBot="1">
      <c r="A106" s="72"/>
      <c r="B106" s="2503"/>
      <c r="C106" s="495" t="str">
        <f ca="1">UPPER(IF(DATE.2&lt;NOW(),"",IF(RDV.2="DEPASSE","",IF(DATE.2&lt;&gt;A,"",IF(HOUR(DIFFERENCE.2)&lt;1,CONCATENATE("DANS ",TABLEAU!$B$109," MIN"),IF(DATE.2=A,CONCATENATE("DANS ",HOUR(DIFFERENCE.2),"H",MIN.DIFFERENCE.2,""),IF(HOUR(DIFFERENCE.2)&lt;1,CONCATENATE("DANS ",MINUTE(DIFFERENCE.2)," MIN"),CONCATENATE("DANS ",HOUR(DIFFERENCE.2),"H",MIN.DIFFERENCE.2,""))))))))</f>
        <v/>
      </c>
      <c r="D106" s="495" t="str">
        <f ca="1">IF(OR(DATE.2="",DATE.2&lt;&gt;A,HEURE.2=""),"",IF(DAY(DATE.2)=1,"1ER",IF(DAY(DATE.2)&lt;10,CONCATENATE("0",DAY(DATE.2)),DAY(DATE.2))))</f>
        <v/>
      </c>
      <c r="E106" s="2512"/>
      <c r="F106" s="933" t="str">
        <f>UPPER(IF(TABLEAU!$C$104="","",IF(HEURE.MAINTENANT-TABLEAU!$C$104&lt;0,"",IF(AND(HOUR(TABLEAU!$F$108)&gt;0,MINUTE(TABLEAU!$F$108)&gt;9),CONCATENATE(HOUR(TABLEAU!$F$108),"H",MINUTE(TABLEAU!$F$108)),IF(AND(HOUR(TABLEAU!$F$108)&gt;0,MINUTE(TABLEAU!$F$108)&lt;10),CONCATENATE(HOUR(TABLEAU!$F$108),"H0",MINUTE(TABLEAU!$F$108)),CONCATENATE(MINUTE(TABLEAU!$F$108)," MIN"))))))</f>
        <v/>
      </c>
      <c r="G106" s="2543"/>
      <c r="H106" s="2544"/>
      <c r="I106" s="1098" t="str">
        <f ca="1">IF(TABLEAU!$B$121="DEPASSE",CONCATENATE("#DEPASSE ",DEP.RDV.5),TABLEAU!$C$125)</f>
        <v/>
      </c>
      <c r="J106" s="1090" t="str">
        <f ca="1">IF(DATE.5&lt;&gt;A,"",IF(HEURE.5="","",IF(MINUTE(HEURE.5)&gt;9,CONCATENATE(HOUR(HEURE.5),"H",MINUTE(HEURE.5)),CONCATENATE(HOUR(HEURE.5),"H0",MINUTE(HEURE.5)))))</f>
        <v/>
      </c>
      <c r="K106" s="953" t="str">
        <f ca="1">IF(TABLEAU!$J$106="","",IF(HEURE.5="","",IF(HEURE.5&gt;HEURE.MAINTENANT,"DEPASSE",IF(AND(HOUR(HEURE.5)=HOUR(HEURE.MAINTENANT),MINUTE(HEURE.5)&lt;MINUTE(HEURE.MAINTENANT)),"DEPASSE",IF(HOUR(HEURE.5)&lt;HOUR(HEURE.MAINTENANT),"DEPASSE",IF(HEURE.5&gt;HEURE.MAINTENANT,HEURE.MAINTENANT-HEURE.5,HEURE.5-HEURE.MAINTENANT+"0:1"))))))</f>
        <v/>
      </c>
      <c r="L106" s="953" t="str">
        <f ca="1">IF(RDV2.5&lt;&gt;"AUJOURD'HUI","",IF(TABLEAU!$M$10="00",HEURE.5+"0:00:01"-HEURE.MAINTENANT,IF(HEURE.5&gt;HEURE.MAINTENANT,"DEPASSE",HEURE.5+"0:01:00"-HEURE.MAINTENANT)))</f>
        <v/>
      </c>
      <c r="M106" s="1091" t="str">
        <f ca="1">IF(TABLEAU!$K$106="DEPASSE","",IF(TABLEAU!$J$106="","",IF(HEURE.5&gt;HEURE.MAINTENANT,"DEPASSE",IF(AND(TABLEAU!$L$106="",HOUR(TABLEAU!$K$106)=0),"",IF(AND(TABLEAU!$L$106="",HOUR(TABLEAU!$K$106)&gt;0),CONCATENATE(HOUR(TABLEAU!$K$106),"H"),IF(TABLEAU!$K$106="DEPASSE","",IF(TABLEAU!$L$106="DEPASSE",TABLEAU!$L$106,IF(HOUR(TABLEAU!$L$106)&gt;0,CONCATENATE(HOUR(TABLEAU!$L$106),"H"),""))))))))</f>
        <v/>
      </c>
      <c r="N106" s="1091" t="str">
        <f ca="1">SUBSTITUTE(IF(TABLEAU!$J$106="","",IF(HEURE.5&gt;HEURE.MAINTENANT,"DEPASSE",IF(TABLEAU!$L$106="",MINUTE(TABLEAU!$K$106),IF(TABLEAU!$K$106="DEPASSE","",IF(TABLEAU!$L$106="DEPASSE",TABLEAU!$L$106,IF(MINUTE(TABLEAU!$L$106)&gt;9,MINUTE(TABLEAU!$L$106),IF(MINUTE(TABLEAU!$L$106)=0,"00",CONCATENATE("0",MINUTE(TABLEAU!$L$106))))))))),"-","")</f>
        <v/>
      </c>
      <c r="O106" s="1092" t="str">
        <f ca="1">IF(TABLEAU!$J$106="","",IF(HEURE.5&gt;HEURE.MAINTENANT,"DEPASSE",IF(TABLEAU!$K$106="DEPASSE","",IF(TABLEAU!$L$106="DEPASSE",TABLEAU!$L$106,IF(AND(TABLEAU!$M$106&lt;&gt;"",TABLEAU!$N$106&lt;&gt;""),CONCATENATE(TABLEAU!$M$106,TABLEAU!$N$106),IF(AND(TABLEAU!$M$106="",TABLEAU!$N$106&lt;&gt;""),CONCATENATE(TABLEAU!$N$106," MIN")))))))</f>
        <v/>
      </c>
      <c r="P106" s="1114" t="str">
        <f ca="1">IF(TABLEAU!$O$106&lt;&gt;"","",IF(TABLEAU!$J$106="","",IF(TABLEAU!$O$106="DEPASSE",HEURE.MAINTENANT-HEURE.5,IF(HEURE.5&lt;HEURE.MAINTENANT,HEURE.MAINTENANT-HEURE.5,IF(RDV2.5="","",IF(HEURE.5="","",IF(HEURE.5&gt;HEURE.MAINTENANT,"SUIVANT",HEURE.MAINTENANT-HEURE.5)))))))</f>
        <v/>
      </c>
      <c r="Q106" s="1115" t="str">
        <f ca="1">IF(TABLEAU!$P$106="","",IF(HEURE.5&gt;HEURE.MAINTENANT,"",IF(RDV2.5="","",IF(HEURE.5="","",IF(HEURE.2&gt;HEURE.MAINTENANT,"SUIVANT",HOUR(HEURE.MAINTENANT-HEURE.5))))))</f>
        <v/>
      </c>
      <c r="R106" s="1115" t="str">
        <f ca="1">IF(TABLEAU!$P$106="","",IF(HEURE.5&gt;HEURE.MAINTENANT,"",IF(RDV2.5="","",IF(HEURE.5="","",IF(HEURE.5&lt;HEURE.MAINTENANT,MINUTE(TABLEAU!$P$106),MINUTE(TABLEAU!$P$106))))))</f>
        <v/>
      </c>
      <c r="S106" s="2510" t="str">
        <f ca="1">IF(TABLEAU!$P$106="","",IF(HEURE.5&gt;HEURE.MAINTENANT,"",IF(HOUR(HEURE.MAINTENANT-HEURE.5),CONCATENATE("DEPASSE DEPUIS ",TABLEAU!$V$106),IF(RDV2.5="","",IF(HEURE.5="","",IF(HEURE.5&gt;HEURE.MAINTENANT,"SUIVANT",CONCATENATE("DEPASSE DEPUIS ",TABLEAU!$V$106)))))))</f>
        <v/>
      </c>
      <c r="T106" s="2510"/>
      <c r="U106" s="1115" t="str">
        <f ca="1">IF(TABLEAU!$P$106="","",IF(HEURE.MAINTENANT-HEURE.5,TABLEAU!$R$106,IF(TABLEAU!$O$106&lt;&gt;"","",IF(TABLEAU!$R$106="","",IF(TABLEAU!$R$106&lt;10,CONCATENATE("0",TABLEAU!$R$106),TABLEAU!$R$106)))))</f>
        <v/>
      </c>
      <c r="V106" s="1116" t="str">
        <f ca="1">IF(AND(TABLEAU!$Q$106=0,TABLEAU!$R$106&lt;&gt;0),CONCATENATE(TABLEAU!$R$106," MIN"),IF(AND(TABLEAU!$Q$106="",TABLEAU!$R$106=""),"",IF(AND(TABLEAU!$Q$106&gt;0,TABLEAU!$R$106&lt;&gt;""),CONCATENATE(TABLEAU!$Q$106,TABLEAU!$R$106),IF(AND(TABLEAU!$Q$106&lt;&gt;0,TABLEAU!$R$106=0),"1H00",IF(AND(TABLEAU!$Q$106=0,TABLEAU!$R$106&lt;&gt;""),CONCATENATE(TABLEAU!$R$106," MIN"))))))</f>
        <v/>
      </c>
      <c r="W106" s="1833"/>
      <c r="X106" s="1834"/>
      <c r="Y106" s="1834"/>
      <c r="Z106" s="1834"/>
      <c r="AA106" s="1762"/>
      <c r="AB106" s="1763"/>
      <c r="AC106" s="1763"/>
      <c r="AD106" s="1763"/>
      <c r="AE106" s="1764"/>
      <c r="AF106" s="1696"/>
      <c r="AG106" s="1697"/>
      <c r="AH106" s="1697"/>
      <c r="AI106" s="1698"/>
      <c r="AJ106" s="1477"/>
      <c r="AK106" s="1477"/>
      <c r="AL106" s="1611"/>
      <c r="AM106" s="1739"/>
      <c r="AN106" s="2013"/>
      <c r="AO106" s="1763"/>
      <c r="AP106" s="1763"/>
      <c r="AQ106" s="1763"/>
      <c r="AR106" s="1763"/>
      <c r="AS106" s="1763"/>
      <c r="AT106" s="1763"/>
      <c r="AU106" s="1763"/>
      <c r="AV106" s="1763"/>
      <c r="AW106" s="1763"/>
      <c r="AX106" s="1764"/>
      <c r="AY106" s="1489"/>
      <c r="AZ106" s="1527"/>
      <c r="BA106" s="1489"/>
    </row>
    <row r="107" spans="1:53" ht="11.1" hidden="1" customHeight="1" thickTop="1">
      <c r="A107" s="72" t="str">
        <f ca="1">IF(OR(DATE.2="",DATE.2&lt;&gt;A,HEURE.2="",TYPE.2=""),"",IF(MONTH(DATE.2)&lt;10,CONCATENATE("0",MONTH(DATE.2)),MONTH(DATE.2)))</f>
        <v/>
      </c>
      <c r="B107" s="497" t="str">
        <f>IF(OR(DATE.2="",HEURE.2="",TYPE.2=""),"",IF(OR(MINUTE(HEURE.2)&lt;9,MINUTE(HEURE.2)=9),CONCATENATE("0",MINUTE(HEURE.2)),MINUTE(HEURE.2)))</f>
        <v/>
      </c>
      <c r="C107" s="498" t="str">
        <f ca="1">UPPER(IF(RDV2.2&lt;&gt;"AUJOURDHUI","",IF(OR(DATE.2="",DATE.2&lt;&gt;A,HEURE.2="",TYPE.2="",RDV.2="DEPASSE"),"",IF(HOUR(DIFFERENCE.2)&lt;1,CONCATENATE("DANS ",MIN.DIF.2," MIN"),IF(DATE.2=TODAY(),CONCATENATE("DANS ",HOUR(DIFFERENCE.2),"H",MIN.DIFFERENCE.2,""),IF(HOUR(DIFFERENCE.2)&lt;1,CONCATENATE("DANS ",MINUTE(DIFFERENCE.2)," MIN"),CONCATENATE("DANS ",HOUR(DIFFERENCE.2),"H",MIN.DIFFERENCE.2,"")))))))</f>
        <v/>
      </c>
      <c r="D107" s="499" t="str">
        <f ca="1">IF(TABLEAU!$E$107="DEPASSE","",IF(RDV.2="DEPASSE","",IF(OR(DATE.2="",DATE.2&lt;&gt;A,HEURE.2="",TYPE.2="",DIFFERENCE.2=""),"",IF(OR(MINUTE(DIFFERENCE.2)=9,MINUTE(DIFFERENCE.2)&lt;9),CONCATENATE("0",MINUTE(DIFFERENCE.2)),MINUTE(DIFFERENCE.2)))))</f>
        <v/>
      </c>
      <c r="E107" s="942" t="str">
        <f ca="1">IF(TABLEAU!$K$103&lt;&gt;"",TABLEAU!$K$103,IF(OR(DATE.2="",DATE.2&lt;&gt;A,HEURE.2="",TYPE.2=""),"",IF(DATE.2=A,HEURE.2-H.M,"")))</f>
        <v/>
      </c>
      <c r="F107" s="933" t="str">
        <f>IF(TABLEAU!$C$104="","",IF(MINUTE(TABLEAU!$F$109)&gt;9,MINUTE(TABLEAU!$F$109),CONCATENATE("0",MINUTE(TABLEAU!$F$109))))</f>
        <v/>
      </c>
      <c r="G107" s="2543"/>
      <c r="H107" s="2544"/>
      <c r="I107" s="978"/>
      <c r="J107" s="105"/>
      <c r="K107" s="105"/>
      <c r="L107" s="105"/>
      <c r="M107" s="105"/>
      <c r="N107" s="1093"/>
      <c r="O107" s="105"/>
      <c r="P107" s="523"/>
      <c r="Q107" s="524" t="str">
        <f ca="1">IF(TABLEAU!$Q$103="","",IF(TABLEAU!$Q$103=0,"",CONCATENATE(TABLEAU!$Q$103,"H")))</f>
        <v/>
      </c>
      <c r="R107" s="524" t="str">
        <f ca="1">IF(TABLEAU!$Q$103="","",IF(MINUTE(TABLEAU!$P$103)&lt;10,CONCATENATE("0",MINUTE(TABLEAU!$P$103)),MINUTE(TABLEAU!$P$103)))</f>
        <v/>
      </c>
      <c r="S107" s="524"/>
      <c r="T107" s="524"/>
      <c r="U107" s="15"/>
      <c r="V107" s="537"/>
      <c r="W107" s="1833"/>
      <c r="X107" s="1834"/>
      <c r="Y107" s="1834"/>
      <c r="Z107" s="1834"/>
      <c r="AA107" s="1762"/>
      <c r="AB107" s="1763"/>
      <c r="AC107" s="1763"/>
      <c r="AD107" s="1763"/>
      <c r="AE107" s="1764"/>
      <c r="AF107" s="1696"/>
      <c r="AG107" s="1697"/>
      <c r="AH107" s="1697"/>
      <c r="AI107" s="1698"/>
      <c r="AJ107" s="1477"/>
      <c r="AK107" s="1477"/>
      <c r="AL107" s="1611"/>
      <c r="AM107" s="1739"/>
      <c r="AN107" s="2013"/>
      <c r="AO107" s="1763"/>
      <c r="AP107" s="1763"/>
      <c r="AQ107" s="1763"/>
      <c r="AR107" s="1763"/>
      <c r="AS107" s="1763"/>
      <c r="AT107" s="1763"/>
      <c r="AU107" s="1763"/>
      <c r="AV107" s="1763"/>
      <c r="AW107" s="1763"/>
      <c r="AX107" s="1764"/>
      <c r="AY107" s="1489"/>
      <c r="AZ107" s="1527"/>
      <c r="BA107" s="1489"/>
    </row>
    <row r="108" spans="1:53" ht="11.1" hidden="1" customHeight="1">
      <c r="A108" s="72" t="str">
        <f ca="1">IF(OR(DATE.2="",DATE.2&lt;&gt;A,HEURE.2="",TYPE.2=""),"",IF(AND(DATE.2=A,MAINTENANT&gt;HOUR(HEURE.2)),CONCATENATE("DEPASSE (A ",HOUR(HEURE.2),"H",RDV.2.MIN,")= [",TABLEAU!$E$105,"]"),IF(AND(DATE.2&lt;&gt;"",DATE.2=A,HOUR(HEURE.2)&lt;MAINTENANT),CONCATENATE("DEPASSE (A ",HOUR(HEURE.2),"H",RDV.2.MIN,")= [",TABLEAU!$E$105,"]"),IF(AND(DATE.2=A,MAINTENANT=HOUR(HEURE.2),MINUTE(MAINTENANT)&gt;MINUTE(HEURE.2)),CONCATENATE("DEPASSE (A ",HOUR(HEURE.2),"H",RDV.2.MIN,")= [",TABLEAU!$E$105,"]"),IF(DATE.2&lt;A,CONCATENATE("LA DATE EST DEPASSEE (",LOOKUP(WEEKDAY(DATE.2),SEMAINE)," ",DAY(DATE.2)," ",LOOKUP(MONTH(DATE.2),MOIS)," A ",HOUR(HEURE.2),"H",RDV.2.MIN,")= [",TABLEAU!$E$105,"]"),"")))))</f>
        <v/>
      </c>
      <c r="B108" s="500" t="str">
        <f ca="1">UPPER(IF(TABLEAU!$K$103&lt;&gt;"","",IF(RDV.2="DEPASSE",RDV.2,IF(OR(DATE.2="",DATE.2&lt;&gt;A,HEURE.2="",TYPE.2=""),"",IF(HOUR(DIFFERENCE.2)&lt;1,CONCATENATE(MIN.DIF.2," MIN"),0)))))</f>
        <v/>
      </c>
      <c r="C108" s="495" t="str">
        <f ca="1">UPPER(IF(OR(DATE.2="",DATE.2&lt;&gt;A,HEURE.2="",TYPE.2=""),"",SUBSTITUTE(IF(OR(DATE.2="",DATE.2&lt;&gt;TODAY()),"",TABLEAU!$C$107),"DANS 00 MIN","MAINTENANT")))</f>
        <v/>
      </c>
      <c r="D108" s="645" t="str">
        <f ca="1">UPPER(IF(DATE.2&lt;&gt;TODAY(),"",IF(DATE.2=TODAY(),"AUJOURD'HUI",HOUR(DIFFERENCE.2))))</f>
        <v/>
      </c>
      <c r="E108" s="1448" t="str">
        <f ca="1">IF(DATE.2="","",IF(AND(DATE.2=TODAY(),HEURE.2&lt;H.M)," ",IF(OR(DATE.2&gt;A,HEURE.2="",TYPE.2="",DATE.2=""),"",IF(OR(TABLEAU!$F$105&lt;0,DATE.2&lt;A),"DEPASSE",IF(AND(DATE.2=A,MAINTENANT&gt;HOUR(HEURE.2)),"DEPASSE",IF(AND(DATE.2&lt;&gt;"",DATE.2=A,HOUR(HEURE.2)&lt;MAINTENANT),"DEPASSE",IF(AND(DATE.2=A,MAINTENANT=HOUR(HEURE.2),MINUTE(MAINTENANT)&gt;MINUTE(HEURE.2)),"DEPASSE",IF(AND(DATE.2=TODAY(),HOUR(DIFFERENCE.2)&lt;1,MINUTE(DIFFERENCE.2)&lt;30,DIFFERENCE.2&lt;&gt;"",DIFFERENCE.2&lt;&gt;0),"BIENTOT",""))))))))</f>
        <v/>
      </c>
      <c r="F108" s="934" t="str">
        <f>IF(TABLEAU!$C$104="","",IF(HEURE.MAINTENANT-TABLEAU!$C$104&lt;0,"",HEURE.MAINTENANT-TABLEAU!$C$104))</f>
        <v/>
      </c>
      <c r="G108" s="2543"/>
      <c r="H108" s="2544"/>
      <c r="I108" s="979"/>
      <c r="J108" s="105"/>
      <c r="K108" s="105"/>
      <c r="L108" s="105"/>
      <c r="M108" s="105"/>
      <c r="N108" s="621" t="str">
        <f ca="1">IF(TABLEAU!$N$104="","",IF(TABLEAU!$N$104&gt;9,TABLEAU!$N$104,CONCATENATE("0",TABLEAU!$N$104)))</f>
        <v/>
      </c>
      <c r="O108" s="105"/>
      <c r="P108" s="523"/>
      <c r="Q108" s="524" t="str">
        <f ca="1">IF(TABLEAU!$Q$104="","",IF(TABLEAU!$Q$104=0,"",CONCATENATE(TABLEAU!$Q$104,"H")))</f>
        <v/>
      </c>
      <c r="R108" s="524" t="str">
        <f ca="1">IF(TABLEAU!$Q$104="","",IF(MINUTE(TABLEAU!$P$104)&lt;10,CONCATENATE("0",MINUTE(TABLEAU!$P$104)),MINUTE(TABLEAU!$P$104)))</f>
        <v/>
      </c>
      <c r="S108" s="524"/>
      <c r="T108" s="524"/>
      <c r="U108" s="15"/>
      <c r="V108" s="537"/>
      <c r="W108" s="1833"/>
      <c r="X108" s="1834"/>
      <c r="Y108" s="1834"/>
      <c r="Z108" s="1834"/>
      <c r="AA108" s="1762"/>
      <c r="AB108" s="1763"/>
      <c r="AC108" s="1763"/>
      <c r="AD108" s="1763"/>
      <c r="AE108" s="1764"/>
      <c r="AF108" s="1696"/>
      <c r="AG108" s="1697"/>
      <c r="AH108" s="1697"/>
      <c r="AI108" s="1698"/>
      <c r="AJ108" s="1477"/>
      <c r="AK108" s="1477"/>
      <c r="AL108" s="1611"/>
      <c r="AM108" s="1739"/>
      <c r="AN108" s="2013"/>
      <c r="AO108" s="1763"/>
      <c r="AP108" s="1763"/>
      <c r="AQ108" s="1763"/>
      <c r="AR108" s="1763"/>
      <c r="AS108" s="1763"/>
      <c r="AT108" s="1763"/>
      <c r="AU108" s="1763"/>
      <c r="AV108" s="1763"/>
      <c r="AW108" s="1763"/>
      <c r="AX108" s="1764"/>
      <c r="AY108" s="1489"/>
      <c r="AZ108" s="1527"/>
      <c r="BA108" s="1489"/>
    </row>
    <row r="109" spans="1:53" ht="21.95" hidden="1" customHeight="1" thickBot="1">
      <c r="A109" s="471" t="str">
        <f>IF(DATE.2="","",IF(DAY(DATE.2)=1,"1ER",DAY(DATE.2)))</f>
        <v/>
      </c>
      <c r="B109" s="501" t="str">
        <f ca="1">IF(DATE.2&lt;&gt;TODAY(),"",IF(TABLEAU!$J$103="","",IF(OR(DATE.2="",DATE.2&lt;&gt;A,HEURE.2="",DIFFERENCE.2=""),"",IF(OR(MINUTE(DIFFERENCE.2)=9,MINUTE(DIFFERENCE.2)&lt;9),CONCATENATE("",MINUTE(DIFFERENCE.2)),MINUTE(DIFFERENCE.2)))))</f>
        <v/>
      </c>
      <c r="C109" s="502" t="str">
        <f ca="1">IF(DATE.2&lt;&gt;NOW(),"",IF(HEURE.2&lt;H.M,"DEPASSE",IF(OR(DATE.2="",DATE.2&lt;&gt;A,HEURE.2="",DIFFERENCE.2=""),"",IF(OR(MINUTE(DIFFERENCE.2)=9,MINUTE(DIFFERENCE.2)&lt;9),CONCATENATE("0",MINUTE(DIFFERENCE.2)),MINUTE(DIFFERENCE.2)))))</f>
        <v/>
      </c>
      <c r="D109" s="650" t="str">
        <f>IF(DATE.2="","",SUBSTITUTE(CONCATENATE("(",LOOKUP(WEEKDAY(DATE.2),SEMAINE)," ",TABLEAU!$A$109," ",LOOKUP(MONTH(DATE.2),MOIS)," ",YEAR(DATE.2)," A ",TABLEAU!$D$104,"H",RDV.2.MIN,"): ")," 1ER "," 1 "))</f>
        <v/>
      </c>
      <c r="E109" s="943" t="str">
        <f>IF(DATE.2="","",SUBSTITUTE(CONCATENATE("(",LOOKUP(WEEKDAY(DATE.2),SEMAINE)," ",TABLEAU!$A$109," ",LOOKUP(MONTH(DATE.2),MOIS)," ",YEAR(DATE.2)," A ",TABLEAU!$D$104,"H",RDV.2.MIN,"): [(",LOOKUP(WEEKDAY(DATE.2),SEMAINE)," ",TABLEAU!$A$109," ",LOOKUP(MONTH(DATE.2),MOIS)," ",YEAR(DATE.2)," A ",TABLEAU!$D$104,"H",RDV.2.MIN,"): ")," 1ER "," 1 "))</f>
        <v/>
      </c>
      <c r="F109" s="935" t="str">
        <f>IF(TABLEAU!$C$104="","",IF(MINUTE(TABLEAU!$C$104)&lt;10,CONCATENATE("0",MINUTE(TABLEAU!$C$104)),MINUTE(TABLEAU!$C$104)))</f>
        <v/>
      </c>
      <c r="G109" s="2545"/>
      <c r="H109" s="2546"/>
      <c r="I109" s="2247" t="str">
        <f ca="1">SUBSTITUTE(SUBSTITUTE(SUBSTITUTE(SUBSTITUTE(SUBSTITUTE(SUBSTITUTE(SUBSTITUTE(SUBSTITUTE(SUBSTITUTE(SUBSTITUTE(SUBSTITUTE(SUBSTITUTE(SUBSTITUTE(SUBSTITUTE(SUBSTITUTE(SUBSTITUTE(SUBSTITUTE(SUBSTITUTE(IF([4]!DPASC&lt;&gt;"",[4]TABLEAU!$E$25,SUBSTITUTE(SUBSTITUTE(SUBSTITUTE(SUBSTITUTE(SUBSTITUTE(SUBSTITUTE(SUBSTITUTE(SUBSTITUTE(SUBSTITUTE([4]TABLEAU!$E$25,"&gt;","#"),"&lt;","#"),"DANS 1 SEMAINE","DANS 7 JOURS"),[4]!JHMD,SUBSTITUTE([4]!JHMD,"''","''")),"'' (","'' (")," ~ ("," ("),"]{","] ~ {"),"'' (","'' ~ ("),"JOURS''","JOURS= ''")),"DEMAIN''","DEMAIN= ''"),"''DANS ","DANS ''"),"DANS''","DANS= ''"),"AAA",CONCATENATE("= ",HEURE.ENVIE.1," ~")),"HIER (","HIER ~ ("),"1 (","1 ~ ("),"2 (","2 ~ ("),"3 (","3 ~ ("),"4 (","4 ~ ("),"5 (","5 ~ ("),"6 (","6 ~ ("),"7 (","7 ~ ("),"8 (","8 ~ ("),"9 (","9 ~ ("),"0 (","0 ~ ("),"}","}= "),"'' ~ (",CONCATENATE("'' OU ",TABLEAU!$M$127," ~ (")),"'' OU  ~","'' ~ ")</f>
        <v/>
      </c>
      <c r="J109" s="2248"/>
      <c r="K109" s="2248"/>
      <c r="L109" s="2248"/>
      <c r="M109" s="2248"/>
      <c r="N109" s="2248"/>
      <c r="O109" s="2249"/>
      <c r="P109" s="523"/>
      <c r="Q109" s="524" t="str">
        <f ca="1">IF(TABLEAU!$Q$105="","",IF(TABLEAU!$Q$105=0,"",CONCATENATE(TABLEAU!$Q$105,"H")))</f>
        <v/>
      </c>
      <c r="R109" s="524" t="str">
        <f ca="1">IF(TABLEAU!$Q$105="","",IF(MINUTE(TABLEAU!$P$105)&lt;10,CONCATENATE("0",MINUTE(TABLEAU!$P$105)),MINUTE(TABLEAU!$P$105)))</f>
        <v/>
      </c>
      <c r="S109" s="524"/>
      <c r="T109" s="524"/>
      <c r="U109" s="15"/>
      <c r="V109" s="537"/>
      <c r="W109" s="1833"/>
      <c r="X109" s="1834"/>
      <c r="Y109" s="1834"/>
      <c r="Z109" s="1834"/>
      <c r="AA109" s="1762"/>
      <c r="AB109" s="1763"/>
      <c r="AC109" s="1763"/>
      <c r="AD109" s="1763"/>
      <c r="AE109" s="1764"/>
      <c r="AF109" s="1696"/>
      <c r="AG109" s="1697"/>
      <c r="AH109" s="1697"/>
      <c r="AI109" s="1698"/>
      <c r="AJ109" s="1477"/>
      <c r="AK109" s="1477"/>
      <c r="AL109" s="1611"/>
      <c r="AM109" s="1739"/>
      <c r="AN109" s="2013"/>
      <c r="AO109" s="1763"/>
      <c r="AP109" s="1763"/>
      <c r="AQ109" s="1763"/>
      <c r="AR109" s="1763"/>
      <c r="AS109" s="1763"/>
      <c r="AT109" s="1763"/>
      <c r="AU109" s="1763"/>
      <c r="AV109" s="1763"/>
      <c r="AW109" s="1763"/>
      <c r="AX109" s="1764"/>
      <c r="AY109" s="1489"/>
      <c r="AZ109" s="1527"/>
      <c r="BA109" s="1489"/>
    </row>
    <row r="110" spans="1:53" ht="11.1" hidden="1" customHeight="1" thickTop="1">
      <c r="A110" s="925" t="str">
        <f ca="1">UPPER(TRIM(SUBSTITUTE(SUBSTITUTE(SUBSTITUTE(TABLEAU!$A$45,CONCATENATE(" ",YEAR(TODAY())),""),CONCATENATE("(",LOOKUP(WEEKDAY(A),SEMAINE)," ",DAY(A)," ",MOIS.MAINTENANT.2," "),"("),"# &amp;","#")))</f>
        <v>#DANS 7H45 (A 20H45): [CHAMPIONNAT]# #DANS 7H40 (A 20H40 SUR AB1): [SMACKDOWN]#</v>
      </c>
      <c r="B110" s="526" t="str">
        <f>IF(RDV.3.DATE&lt;&gt;"",RDV.3.DATE,"")</f>
        <v/>
      </c>
      <c r="C110" s="527" t="str">
        <f>IF(RDV.3.HEURE&lt;&gt;"",RDV.3.HEURE,"")</f>
        <v/>
      </c>
      <c r="D110" s="528" t="str">
        <f>IF(HEURE.3="","",CONCATENATE("",HOUR(HEURE.3)))</f>
        <v/>
      </c>
      <c r="E110" s="944" t="str">
        <f ca="1">IF(RDV.3="DEPASSE",NOW()-HEURE.3,"")</f>
        <v/>
      </c>
      <c r="F110" s="936" t="str">
        <f>IF(TABLEAU!$C$110="","",TABLEAU!$C$110-HEURE.MAINTENANT)</f>
        <v/>
      </c>
      <c r="G110" s="2250" t="str">
        <f ca="1">UPPER(TRIM(RDV.SUITE))</f>
        <v/>
      </c>
      <c r="H110" s="2251"/>
      <c r="I110" s="2251"/>
      <c r="J110" s="2251"/>
      <c r="K110" s="2251"/>
      <c r="L110" s="2251"/>
      <c r="M110" s="2251"/>
      <c r="N110" s="2251"/>
      <c r="O110" s="2252"/>
      <c r="P110" s="523"/>
      <c r="Q110" s="524"/>
      <c r="R110" s="524"/>
      <c r="S110" s="524"/>
      <c r="T110" s="524"/>
      <c r="U110" s="524"/>
      <c r="V110" s="537"/>
      <c r="W110" s="1833"/>
      <c r="X110" s="1834"/>
      <c r="Y110" s="1834"/>
      <c r="Z110" s="1834"/>
      <c r="AA110" s="1762"/>
      <c r="AB110" s="1763"/>
      <c r="AC110" s="1763"/>
      <c r="AD110" s="1763"/>
      <c r="AE110" s="1764"/>
      <c r="AF110" s="1696"/>
      <c r="AG110" s="1697"/>
      <c r="AH110" s="1697"/>
      <c r="AI110" s="1698"/>
      <c r="AJ110" s="1477"/>
      <c r="AK110" s="1477"/>
      <c r="AL110" s="1611"/>
      <c r="AM110" s="1739"/>
      <c r="AN110" s="2013"/>
      <c r="AO110" s="1763"/>
      <c r="AP110" s="1763"/>
      <c r="AQ110" s="1763"/>
      <c r="AR110" s="1763"/>
      <c r="AS110" s="1763"/>
      <c r="AT110" s="1763"/>
      <c r="AU110" s="1763"/>
      <c r="AV110" s="1763"/>
      <c r="AW110" s="1763"/>
      <c r="AX110" s="1764"/>
      <c r="AY110" s="1489"/>
      <c r="AZ110" s="1527"/>
      <c r="BA110" s="1489"/>
    </row>
    <row r="111" spans="1:53" ht="11.1" hidden="1" customHeight="1">
      <c r="A111" s="72"/>
      <c r="B111" s="2504" t="str">
        <f ca="1">SUBSTITUTE(SUBSTITUTE(SUBSTITUTE(SUBSTITUTE(SUBSTITUTE(IF(DATE.3="","",SUBSTITUTE(SUBSTITUTE(SUBSTITUTE(SUBSTITUTE(IF(OR(DATE.3="",HEURE.3=""),"",IF(DATE.3&lt;A,"DEPASSE",IF(DATE.3-TODAY()=1,CONCATENATE("DEMAIN (",LOOKUP(WEEKDAY(DATE.3),SEMAINE)," ",DAY(DATE.3)," ",LOOKUP(MONTH(DATE.3),MOIS)," ",YEAR(DATE.3)," A ",TABLEAU!$D$110,"H",RDV.3.MIN,"): [",TABLEAU!$E$111),IF(DATE.3-TODAY()=0,PHRASE.RDV.3,CONCATENATE("DANS ",DATE.3-TODAY()," JOURS [",TABLEAU!$E$111,"]"))))),"[[","["),"]]","]"),"JOURS [",CONCATENATE("JOURS (",LOOKUP(WEEKDAY(DATE.3),SEMAINE)," ",DAY(DATE.3)," ",LOOKUP(MONTH(DATE.3),MOIS)," ",YEAR(DATE.3)," A ",TABLEAU!$D$110,"H",RDV.3.MIN,"): [")),TABLEAU!$E$115,TABLEAU!$D$115)),CONCATENATE(TRIM(TABLEAU!$D$115)," [",TRIM(TABLEAU!$E$111)),TRIM(TABLEAU!$E$111)),CONCATENATE("DEMAIN ",TABLEAU!$E$111,"]"),CONCATENATE("DEMAIN ",TABLEAU!$D$115,"[",TABLEAU!$E$111,"]")),CONCATENATE("JOURS ",TABLEAU!$E$111),CONCATENATE("JOURS ",DEP.DATE.3,"[",TABLEAU!$E$111)),"EUROS]","EUROS"),CONCATENATE("DEMAIN ",TABLEAU!$E$111),CONCATENATE("DEMAIN ",DEP.DATE.3,"[",TABLEAU!$E$111,"]"))</f>
        <v/>
      </c>
      <c r="C111" s="529" t="str">
        <f ca="1">IF(RDV.3="DEPASSE","",TABLEAU!$C$112)</f>
        <v/>
      </c>
      <c r="D111" s="530" t="str">
        <f ca="1">UPPER(SUBSTITUTE(SUBSTITUTE(SUBSTITUTE(SUBSTITUTE(SUBSTITUTE(SUBSTITUTE(IF(DATE.3&lt;NOW(),CONCATENATE(TABLEAU!$C$114," (A ",TABLEAU!$D$110,"H",TABLEAU!$B$113,"): [",TYPE.3,"]"),IF(DATE.3&gt;TODAY(),"",IF(HEURE.3&lt;H.M,"DEPASSE",SUBSTITUTE(SUBSTITUTE(IF(OR(DATE.3="",DATE.3&lt;&gt;A,HEURE.3="",TYPE.3="",RDV.3="DEPASSE"),"",IF(TABLEAU!$A$114&lt;&gt;"",TABLEAU!$A$114,IF(DATE.3=A,CONCATENATE(TABLEAU!$C$114," (A ",TABLEAU!$D$110,"H",TABLEAU!$B$113,"): ",TYPE.3,"]"),CONCATENATE(DANS.3,"(",LOOKUP(WEEKDAY(DATE.3),SEMAINE)," ",TABLEAU!$D$112," ",LOOKUP(MONTH(DATE.3),MOIS)," A ",TABLEAU!$D$110,"H",TABLEAU!$B$113,"): [",TYPE.3,"]")))),CONCATENATE("DANS 0"),"DANS ")," [0]"," [MANQUE LE RDV]")))),"H)","H00)"),"[[","["),"]]","]"),"[(","("),CONCATENATE("(A ",TABLEAU!$D$110,"H",TABLEAU!$B$113,"): "),""),"EUROS]","EUROS"))</f>
        <v/>
      </c>
      <c r="E111" s="2513" t="str">
        <f>UPPER(SUBSTITUTE(IF(OR(DATE.3="",HEURE.3=""),"",IF(DATE.3&lt;A,"DEPASSE",TYPE.3))," 1ER "," 1 "))</f>
        <v/>
      </c>
      <c r="F111" s="937" t="str">
        <f ca="1">IF(DATE.3="","",DATE.3-TODAY())</f>
        <v/>
      </c>
      <c r="G111" s="1119"/>
      <c r="H111" s="1118"/>
      <c r="I111" s="1118" t="str">
        <f ca="1">IF(AND(PROCHAIN.1=[4]!PROCHAIN,TABLEAU!$R$102&lt;&gt;""),TABLEAU!$R$102,IF(AND(PROCHAIN.2=[4]!PROCHAIN,TABLEAU!$R$103&lt;&gt;""),TABLEAU!$R$103,IF(AND(PROCHAIN.3=[4]!PROCHAIN,TABLEAU!$R$104&lt;&gt;""),TABLEAU!$R$104,IF(AND(PROCHAIN.4=[4]!PROCHAIN,TABLEAU!$R$105&lt;&gt;""),TABLEAU!$R$105,IF(AND(PROCHAIN.5=[4]!PROCHAIN,TABLEAU!$R$106&lt;&gt;""),TABLEAU!$R$106,"''")))))</f>
        <v>''</v>
      </c>
      <c r="J111" s="1118"/>
      <c r="K111" s="1118"/>
      <c r="L111" s="1118"/>
      <c r="M111" s="1118"/>
      <c r="N111" s="1118"/>
      <c r="O111" s="1120"/>
      <c r="P111" s="523"/>
      <c r="Q111" s="524"/>
      <c r="R111" s="524"/>
      <c r="S111" s="524"/>
      <c r="T111" s="524"/>
      <c r="U111" s="524"/>
      <c r="V111" s="537"/>
      <c r="W111" s="1833"/>
      <c r="X111" s="1834"/>
      <c r="Y111" s="1834"/>
      <c r="Z111" s="1834"/>
      <c r="AA111" s="1762"/>
      <c r="AB111" s="1763"/>
      <c r="AC111" s="1763"/>
      <c r="AD111" s="1763"/>
      <c r="AE111" s="1764"/>
      <c r="AF111" s="1696"/>
      <c r="AG111" s="1697"/>
      <c r="AH111" s="1697"/>
      <c r="AI111" s="1698"/>
      <c r="AJ111" s="1477"/>
      <c r="AK111" s="1477"/>
      <c r="AL111" s="1611"/>
      <c r="AM111" s="1739"/>
      <c r="AN111" s="2013"/>
      <c r="AO111" s="1763"/>
      <c r="AP111" s="1763"/>
      <c r="AQ111" s="1763"/>
      <c r="AR111" s="1763"/>
      <c r="AS111" s="1763"/>
      <c r="AT111" s="1763"/>
      <c r="AU111" s="1763"/>
      <c r="AV111" s="1763"/>
      <c r="AW111" s="1763"/>
      <c r="AX111" s="1764"/>
      <c r="AY111" s="1489"/>
      <c r="AZ111" s="1527"/>
      <c r="BA111" s="1489"/>
    </row>
    <row r="112" spans="1:53" ht="11.1" hidden="1" customHeight="1">
      <c r="A112" s="80" t="str">
        <f ca="1">IF(TABLEAU!$A$95&lt;&gt;"",TABLEAU!$A$95,IF(TABLEAU!$R$70="BIENTOT",TABLEAU!$I$70,IF(TABLEAU!$R$71="BIENTOT",TABLEAU!$I$71,IF(TABLEAU!$R$72="BIENTOT",TABLEAU!$I$72,IF(TABLEAU!$R$73="BIENTOT",TABLEAU!$I$73,IF(TABLEAU!$R$74="BIENTOT",TABLEAU!$I$74,IF(TABLEAU!$R$75="BIENTOT",TABLEAU!$I$75,IF(TABLEAU!$R$76="BIENTOT",TABLEAU!$I$76,""))))))))</f>
        <v/>
      </c>
      <c r="B112" s="2505"/>
      <c r="C112" s="529" t="str">
        <f ca="1">UPPER(IF(DATE.3&lt;NOW(),"",IF(RDV.3="DEPASSE","",IF(DATE.3&lt;&gt;A,"",IF(HOUR(DIFFERENCE.3)&lt;1,CONCATENATE("DANS ",TABLEAU!$B$115," MIN"),IF(DATE.3=A,CONCATENATE("DANS ",HOUR(DIFFERENCE.3),"H",MIN.DIFFERENCE.3,""),IF(HOUR(DIFFERENCE.3)&lt;1,CONCATENATE("DANS ",MINUTE(DIFFERENCE.3)," MIN"),CONCATENATE("DANS ",HOUR(DIFFERENCE.3),"H",MIN.DIFFERENCE.3,""))))))))</f>
        <v/>
      </c>
      <c r="D112" s="529" t="str">
        <f ca="1">IF(OR(DATE.3="",DATE.3&lt;&gt;A,HEURE.3=""),"",IF(DAY(DATE.3)=1,"1ER",IF(DAY(DATE.3)&lt;10,CONCATENATE("0",DAY(DATE.3)),DAY(DATE.3))))</f>
        <v/>
      </c>
      <c r="E112" s="2514"/>
      <c r="F112" s="938" t="str">
        <f>UPPER(IF(TABLEAU!$C$110="","",IF(HEURE.MAINTENANT-TABLEAU!$C$110&lt;0,"",IF(AND(HOUR(TABLEAU!$F$114)&gt;0,MINUTE(TABLEAU!$F$114)&gt;9),CONCATENATE(HOUR(TABLEAU!$F$114),"H",MINUTE(TABLEAU!$F$114)),IF(AND(HOUR(TABLEAU!$F$114)&gt;0,MINUTE(TABLEAU!$F$114)&lt;10),CONCATENATE(HOUR(TABLEAU!$F$114),"H0",MINUTE(TABLEAU!$F$114)),CONCATENATE(MINUTE(TABLEAU!$F$114)," MIN"))))))</f>
        <v/>
      </c>
      <c r="G112" s="1118"/>
      <c r="H112" s="1118"/>
      <c r="I112" s="1118"/>
      <c r="J112" s="1118"/>
      <c r="K112" s="1121"/>
      <c r="L112" s="1118"/>
      <c r="M112" s="1118"/>
      <c r="N112" s="1122"/>
      <c r="O112" s="1118"/>
      <c r="P112" s="523"/>
      <c r="Q112" s="524"/>
      <c r="R112" s="524"/>
      <c r="S112" s="524"/>
      <c r="T112" s="524"/>
      <c r="U112" s="524"/>
      <c r="V112" s="537"/>
      <c r="W112" s="1833"/>
      <c r="X112" s="1834"/>
      <c r="Y112" s="1834"/>
      <c r="Z112" s="1834"/>
      <c r="AA112" s="1762"/>
      <c r="AB112" s="1763"/>
      <c r="AC112" s="1763"/>
      <c r="AD112" s="1763"/>
      <c r="AE112" s="1764"/>
      <c r="AF112" s="1696"/>
      <c r="AG112" s="1697"/>
      <c r="AH112" s="1697"/>
      <c r="AI112" s="1698"/>
      <c r="AJ112" s="1477"/>
      <c r="AK112" s="1477"/>
      <c r="AL112" s="1611"/>
      <c r="AM112" s="1739"/>
      <c r="AN112" s="2013"/>
      <c r="AO112" s="1763"/>
      <c r="AP112" s="1763"/>
      <c r="AQ112" s="1763"/>
      <c r="AR112" s="1763"/>
      <c r="AS112" s="1763"/>
      <c r="AT112" s="1763"/>
      <c r="AU112" s="1763"/>
      <c r="AV112" s="1763"/>
      <c r="AW112" s="1763"/>
      <c r="AX112" s="1764"/>
      <c r="AY112" s="1489"/>
      <c r="AZ112" s="1527"/>
      <c r="BA112" s="1489"/>
    </row>
    <row r="113" spans="1:53" ht="11.1" hidden="1" customHeight="1">
      <c r="A113" s="72" t="str">
        <f ca="1">IF(OR(DATE.3="",DATE.3&lt;&gt;A,HEURE.3="",TYPE.3=""),"",IF(MONTH(DATE.3)&lt;10,CONCATENATE("0",MONTH(DATE.3)),MONTH(DATE.3)))</f>
        <v/>
      </c>
      <c r="B113" s="531" t="str">
        <f>IF(OR(DATE.3="",HEURE.3="",TYPE.3=""),"",IF(OR(MINUTE(HEURE.3)&lt;9,MINUTE(HEURE.3)=9),CONCATENATE("0",MINUTE(HEURE.3)),MINUTE(HEURE.3)))</f>
        <v/>
      </c>
      <c r="C113" s="532" t="str">
        <f ca="1">UPPER(IF(RDV2.3&lt;&gt;"AUJOURDHUI","",IF(OR(DATE.3="",DATE.3&lt;&gt;A,HEURE.3="",TYPE.3="",RDV.3="DEPASSE"),"",IF(HOUR(DIFFERENCE.3)&lt;1,CONCATENATE("DANS ",MIN.DIF.3," MIN"),IF(DATE.3=TODAY(),CONCATENATE("DANS ",HOUR(DIFFERENCE.3),"H",MIN.DIFFERENCE.3,""),IF(HOUR(DIFFERENCE.3)&lt;1,CONCATENATE("DANS ",MINUTE(DIFFERENCE.3)," MIN"),CONCATENATE("DANS ",HOUR(DIFFERENCE.3),"H",MIN.DIFFERENCE.3,"")))))))</f>
        <v/>
      </c>
      <c r="D113" s="533" t="str">
        <f ca="1">IF(TABLEAU!$E$113="DEPASSE","",IF(RDV.3="DEPASSE","",IF(OR(DATE.3="",DATE.3&lt;&gt;A,HEURE.3="",TYPE.3="",DIFFERENCE.3=""),"",IF(OR(MINUTE(DIFFERENCE.3)=9,MINUTE(DIFFERENCE.3)&lt;9),CONCATENATE("0",MINUTE(DIFFERENCE.3)),MINUTE(DIFFERENCE.3)))))</f>
        <v/>
      </c>
      <c r="E113" s="945" t="str">
        <f ca="1">IF(TABLEAU!$K$104&lt;&gt;"",TABLEAU!$K$104,IF(OR(DATE.3="",DATE.3&lt;&gt;A,HEURE.3="",TYPE.3=""),"",IF(DATE.3=A,HEURE.3-H.M,"")))</f>
        <v/>
      </c>
      <c r="F113" s="938" t="str">
        <f>IF(TABLEAU!$C$110="","",IF(MINUTE(TABLEAU!$F$115)&gt;9,MINUTE(TABLEAU!$F$115),CONCATENATE("0",MINUTE(TABLEAU!$F$115))))</f>
        <v/>
      </c>
      <c r="G113" s="1118"/>
      <c r="H113" s="1118"/>
      <c r="I113" s="1118"/>
      <c r="J113" s="1118"/>
      <c r="K113" s="1118"/>
      <c r="L113" s="1118"/>
      <c r="M113" s="1118"/>
      <c r="N113" s="1122"/>
      <c r="O113" s="1118"/>
      <c r="P113" s="523"/>
      <c r="Q113" s="524"/>
      <c r="R113" s="524"/>
      <c r="S113" s="524"/>
      <c r="T113" s="524"/>
      <c r="U113" s="524"/>
      <c r="V113" s="537"/>
      <c r="W113" s="1833"/>
      <c r="X113" s="1834"/>
      <c r="Y113" s="1834"/>
      <c r="Z113" s="1834"/>
      <c r="AA113" s="1762"/>
      <c r="AB113" s="1763"/>
      <c r="AC113" s="1763"/>
      <c r="AD113" s="1763"/>
      <c r="AE113" s="1764"/>
      <c r="AF113" s="1696"/>
      <c r="AG113" s="1697"/>
      <c r="AH113" s="1697"/>
      <c r="AI113" s="1698"/>
      <c r="AJ113" s="1477"/>
      <c r="AK113" s="1477"/>
      <c r="AL113" s="1611"/>
      <c r="AM113" s="1739"/>
      <c r="AN113" s="2013"/>
      <c r="AO113" s="1763"/>
      <c r="AP113" s="1763"/>
      <c r="AQ113" s="1763"/>
      <c r="AR113" s="1763"/>
      <c r="AS113" s="1763"/>
      <c r="AT113" s="1763"/>
      <c r="AU113" s="1763"/>
      <c r="AV113" s="1763"/>
      <c r="AW113" s="1763"/>
      <c r="AX113" s="1764"/>
      <c r="AY113" s="1489"/>
      <c r="AZ113" s="1527"/>
      <c r="BA113" s="1489"/>
    </row>
    <row r="114" spans="1:53" ht="11.1" hidden="1" customHeight="1">
      <c r="A114" s="72" t="str">
        <f ca="1">IF(OR(DATE.3="",DATE.3&lt;&gt;A,HEURE.3="",TYPE.3=""),"",IF(AND(DATE.3=A,MAINTENANT&gt;HOUR(HEURE.3)),CONCATENATE("DEPASSE (A ",HOUR(HEURE.3),"H",RDV.3.MIN,")= [",TABLEAU!$E$111,"]"),IF(AND(DATE.3&lt;&gt;"",DATE.3=A,HOUR(HEURE.3)&lt;MAINTENANT),CONCATENATE("DEPASSE (A ",HOUR(HEURE.3),"H",RDV.3.MIN,")= [",TABLEAU!$E$111,"]"),IF(AND(DATE.3=A,MAINTENANT=HOUR(HEURE.3),MINUTE(MAINTENANT)&gt;MINUTE(HEURE.3)),CONCATENATE("DEPASSE (A ",HOUR(HEURE.3),"H",RDV.3.MIN,")= [",TABLEAU!$E$111,"]"),IF(DATE.3&lt;A,CONCATENATE("LA DATE EST DEPASSEE (",LOOKUP(WEEKDAY(DATE.3),SEMAINE)," ",DAY(DATE.3)," ",LOOKUP(MONTH(DATE.3),MOIS)," A ",HOUR(HEURE.3),"H",RDV.3.MIN,")= [",TABLEAU!$E$111,"]"),"")))))</f>
        <v/>
      </c>
      <c r="B114" s="534" t="str">
        <f ca="1">UPPER(IF(TABLEAU!$K$104&lt;&gt;"","",IF(RDV.3="DEPASSE",RDV.3,IF(OR(DATE.3="",DATE.3&lt;&gt;A,HEURE.3="",TYPE.3=""),"",IF(HOUR(DIFFERENCE.3)&lt;1,CONCATENATE(MIN.DIF.3," MIN"),0)))))</f>
        <v/>
      </c>
      <c r="C114" s="529" t="str">
        <f ca="1">UPPER(IF(OR(DATE.3="",DATE.3&lt;&gt;A,HEURE.3="",TYPE.3=""),"",SUBSTITUTE(IF(OR(DATE.3="",DATE.3&lt;&gt;TODAY()),"",TABLEAU!$C$113),"DANS 00 MIN","MAINTENANT")))</f>
        <v/>
      </c>
      <c r="D114" s="646" t="str">
        <f ca="1">UPPER(IF(DATE.3&lt;&gt;TODAY(),"",IF(DATE.3=TODAY(),"AUJOURD'HUI",HOUR(DIFFERENCE.3))))</f>
        <v/>
      </c>
      <c r="E114" s="1449" t="str">
        <f ca="1">IF(DATE.3="","",IF(AND(DATE.3=TODAY(),HEURE.3&lt;H.M)," ",IF(OR(DATE.3&gt;A,HEURE.3="",TYPE.3="",DATE.3=""),"",IF(OR(TABLEAU!$F$111&lt;0,DATE.3&lt;A),"DEPASSE",IF(AND(DATE.3=A,MAINTENANT&gt;HOUR(HEURE.3)),"DEPASSE",IF(AND(DATE.3&lt;&gt;"",DATE.3=A,HOUR(HEURE.3)&lt;MAINTENANT),"DEPASSE",IF(AND(DATE.3=A,MAINTENANT=HOUR(HEURE.3),MINUTE(MAINTENANT)&gt;MINUTE(HEURE.3)),"DEPASSE",IF(AND(DATE.3=TODAY(),HOUR(DIFFERENCE.3)&lt;1,MINUTE(DIFFERENCE.3)&lt;30,DIFFERENCE.3&lt;&gt;"",DIFFERENCE.3&lt;&gt;0),"BIENTOT",""))))))))</f>
        <v/>
      </c>
      <c r="F114" s="939" t="str">
        <f>IF(TABLEAU!$C$110="","",IF(HEURE.MAINTENANT-TABLEAU!$C$110&lt;0,"",HEURE.MAINTENANT-TABLEAU!$C$110))</f>
        <v/>
      </c>
      <c r="G114" s="1118"/>
      <c r="H114" s="1118"/>
      <c r="I114" s="1118"/>
      <c r="J114" s="1118"/>
      <c r="K114" s="1118"/>
      <c r="L114" s="1123"/>
      <c r="M114" s="1118"/>
      <c r="N114" s="1118"/>
      <c r="O114" s="1118"/>
      <c r="P114" s="523"/>
      <c r="Q114" s="524"/>
      <c r="R114" s="524"/>
      <c r="S114" s="524"/>
      <c r="T114" s="524"/>
      <c r="U114" s="524"/>
      <c r="V114" s="537"/>
      <c r="W114" s="1833"/>
      <c r="X114" s="1834"/>
      <c r="Y114" s="1834"/>
      <c r="Z114" s="1834"/>
      <c r="AA114" s="1762"/>
      <c r="AB114" s="1763"/>
      <c r="AC114" s="1763"/>
      <c r="AD114" s="1763"/>
      <c r="AE114" s="1764"/>
      <c r="AF114" s="1696"/>
      <c r="AG114" s="1697"/>
      <c r="AH114" s="1697"/>
      <c r="AI114" s="1698"/>
      <c r="AJ114" s="1477"/>
      <c r="AK114" s="1477"/>
      <c r="AL114" s="1611"/>
      <c r="AM114" s="1739"/>
      <c r="AN114" s="2013"/>
      <c r="AO114" s="1763"/>
      <c r="AP114" s="1763"/>
      <c r="AQ114" s="1763"/>
      <c r="AR114" s="1763"/>
      <c r="AS114" s="1763"/>
      <c r="AT114" s="1763"/>
      <c r="AU114" s="1763"/>
      <c r="AV114" s="1763"/>
      <c r="AW114" s="1763"/>
      <c r="AX114" s="1764"/>
      <c r="AY114" s="1489"/>
      <c r="AZ114" s="1527"/>
      <c r="BA114" s="1489"/>
    </row>
    <row r="115" spans="1:53" ht="21.95" hidden="1" customHeight="1" thickBot="1">
      <c r="A115" s="471" t="str">
        <f>IF(DATE.3="","",IF(DAY(DATE.3)=1,"1ER",DAY(DATE.3)))</f>
        <v/>
      </c>
      <c r="B115" s="535" t="str">
        <f ca="1">IF(DATE.3&lt;&gt;TODAY(),"",IF(TABLEAU!$J$109="","",IF(OR(DATE.3="",DATE.3&lt;&gt;A,HEURE.3="",DIFFERENCE.3=""),"",IF(OR(MINUTE(DIFFERENCE.3)=9,MINUTE(DIFFERENCE.3)&lt;9),CONCATENATE("",MINUTE(DIFFERENCE.3)),MINUTE(DIFFERENCE.3)))))</f>
        <v/>
      </c>
      <c r="C115" s="536" t="str">
        <f ca="1">IF(DATE.3&lt;&gt;NOW(),"",IF(HEURE.3&lt;H.M,"DEPASSE",IF(OR(DATE.3="",DATE.3&lt;&gt;A,HEURE.3="",DIFFERENCE.3=""),"",IF(OR(MINUTE(DIFFERENCE.3)=9,MINUTE(DIFFERENCE.3)&lt;9),CONCATENATE("0",MINUTE(DIFFERENCE.3)),MINUTE(DIFFERENCE.3)))))</f>
        <v/>
      </c>
      <c r="D115" s="649" t="str">
        <f>IF(DATE.3="","",SUBSTITUTE(CONCATENATE("(",LOOKUP(WEEKDAY(DATE.3),SEMAINE)," ",TABLEAU!$A$115," ",LOOKUP(MONTH(DATE.3),MOIS)," ",YEAR(DATE.3)," A ",TABLEAU!$D$110,"H",RDV.3.MIN,"): ")," 1ER "," 1 "))</f>
        <v/>
      </c>
      <c r="E115" s="946" t="str">
        <f>IF(DATE.3="","",SUBSTITUTE(CONCATENATE("(",LOOKUP(WEEKDAY(DATE.3),SEMAINE)," ",TABLEAU!$A$115," ",LOOKUP(MONTH(DATE.3),MOIS)," ",YEAR(DATE.3)," A ",TABLEAU!$D$110,"H",RDV.3.MIN,"): [(",LOOKUP(WEEKDAY(DATE.3),SEMAINE)," ",TABLEAU!$A$115," ",LOOKUP(MONTH(DATE.3),MOIS)," ",YEAR(DATE.3)," A ",TABLEAU!$D$110,"H",RDV.3.MIN,"): ")," 1ER "," 1 "))</f>
        <v/>
      </c>
      <c r="F115" s="940" t="str">
        <f>IF(TABLEAU!$C$110="","",IF(MINUTE(TABLEAU!$C$110)&lt;10,CONCATENATE("0",MINUTE(TABLEAU!$C$110)),MINUTE(TABLEAU!$C$110)))</f>
        <v/>
      </c>
      <c r="G115" s="1118"/>
      <c r="H115" s="1118"/>
      <c r="I115" s="1118"/>
      <c r="J115" s="1118"/>
      <c r="K115" s="1118"/>
      <c r="L115" s="1118"/>
      <c r="M115" s="1118"/>
      <c r="N115" s="1118"/>
      <c r="O115" s="1118"/>
      <c r="P115" s="523"/>
      <c r="Q115" s="524"/>
      <c r="R115" s="524"/>
      <c r="S115" s="524"/>
      <c r="T115" s="524"/>
      <c r="U115" s="524"/>
      <c r="V115" s="537"/>
      <c r="W115" s="1833"/>
      <c r="X115" s="1834"/>
      <c r="Y115" s="1834"/>
      <c r="Z115" s="1834"/>
      <c r="AA115" s="1762"/>
      <c r="AB115" s="1763"/>
      <c r="AC115" s="1763"/>
      <c r="AD115" s="1763"/>
      <c r="AE115" s="1764"/>
      <c r="AF115" s="1696"/>
      <c r="AG115" s="1697"/>
      <c r="AH115" s="1697"/>
      <c r="AI115" s="1698"/>
      <c r="AJ115" s="1477"/>
      <c r="AK115" s="1477"/>
      <c r="AL115" s="1611"/>
      <c r="AM115" s="1739"/>
      <c r="AN115" s="2013"/>
      <c r="AO115" s="1763"/>
      <c r="AP115" s="1763"/>
      <c r="AQ115" s="1763"/>
      <c r="AR115" s="1763"/>
      <c r="AS115" s="1763"/>
      <c r="AT115" s="1763"/>
      <c r="AU115" s="1763"/>
      <c r="AV115" s="1763"/>
      <c r="AW115" s="1763"/>
      <c r="AX115" s="1764"/>
      <c r="AY115" s="1489"/>
      <c r="AZ115" s="1527"/>
      <c r="BA115" s="1489"/>
    </row>
    <row r="116" spans="1:53" ht="11.1" hidden="1" customHeight="1" thickTop="1">
      <c r="A116" s="925"/>
      <c r="B116" s="481" t="str">
        <f>IF(RDV.4.DATE&lt;&gt;"",RDV.4.DATE,"")</f>
        <v/>
      </c>
      <c r="C116" s="482" t="str">
        <f>IF(RDV.4.HEURE&lt;&gt;"",RDV.4.HEURE,"")</f>
        <v/>
      </c>
      <c r="D116" s="483" t="str">
        <f>IF(HEURE.4="","",CONCATENATE("",HOUR(HEURE.4)))</f>
        <v/>
      </c>
      <c r="E116" s="947" t="str">
        <f ca="1">IF(RDV.4="DEPASSE",NOW()-HEURE.4,"")</f>
        <v/>
      </c>
      <c r="F116" s="937"/>
      <c r="G116" s="1118"/>
      <c r="H116" s="1118"/>
      <c r="I116" s="1118"/>
      <c r="J116" s="1118"/>
      <c r="K116" s="1118"/>
      <c r="L116" s="1118"/>
      <c r="M116" s="1118"/>
      <c r="N116" s="1118"/>
      <c r="O116" s="1118"/>
      <c r="P116" s="523"/>
      <c r="Q116" s="524"/>
      <c r="R116" s="524"/>
      <c r="S116" s="524"/>
      <c r="T116" s="524"/>
      <c r="U116" s="524"/>
      <c r="V116" s="537"/>
      <c r="W116" s="1833"/>
      <c r="X116" s="1834"/>
      <c r="Y116" s="1834"/>
      <c r="Z116" s="1834"/>
      <c r="AA116" s="1762"/>
      <c r="AB116" s="1763"/>
      <c r="AC116" s="1763"/>
      <c r="AD116" s="1763"/>
      <c r="AE116" s="1764"/>
      <c r="AF116" s="1696"/>
      <c r="AG116" s="1697"/>
      <c r="AH116" s="1697"/>
      <c r="AI116" s="1698"/>
      <c r="AJ116" s="1477"/>
      <c r="AK116" s="1477"/>
      <c r="AL116" s="1611"/>
      <c r="AM116" s="1739"/>
      <c r="AN116" s="2013"/>
      <c r="AO116" s="1763"/>
      <c r="AP116" s="1763"/>
      <c r="AQ116" s="1763"/>
      <c r="AR116" s="1763"/>
      <c r="AS116" s="1763"/>
      <c r="AT116" s="1763"/>
      <c r="AU116" s="1763"/>
      <c r="AV116" s="1763"/>
      <c r="AW116" s="1763"/>
      <c r="AX116" s="1764"/>
      <c r="AY116" s="1489"/>
      <c r="AZ116" s="1527"/>
      <c r="BA116" s="1489"/>
    </row>
    <row r="117" spans="1:53" ht="11.1" hidden="1" customHeight="1">
      <c r="A117" s="72"/>
      <c r="B117" s="2360" t="str">
        <f ca="1">SUBSTITUTE(SUBSTITUTE(SUBSTITUTE(SUBSTITUTE(SUBSTITUTE(IF(DATE.4="","",SUBSTITUTE(SUBSTITUTE(SUBSTITUTE(SUBSTITUTE(IF(OR(DATE.4="",HEURE.4=""),"",IF(DATE.4&lt;A,"DEPASSE",IF(DATE.4-TODAY()=1,CONCATENATE("DEMAIN (",LOOKUP(WEEKDAY(DATE.4),SEMAINE)," ",DAY(DATE.4)," ",LOOKUP(MONTH(DATE.4),MOIS)," ",YEAR(DATE.4)," A ",TABLEAU!$D$116,"H",RDV.4.MIN,"): [",TABLEAU!$E$117),IF(DATE.4-TODAY()=0,PHRASE.RDV.4,CONCATENATE("DANS ",DATE.4-TODAY()," JOURS [",TABLEAU!$E$117,"]"))))),"[[","["),"]]","]"),"JOURS [",CONCATENATE("JOURS (",LOOKUP(WEEKDAY(DATE.4),SEMAINE)," ",DAY(DATE.4)," ",LOOKUP(MONTH(DATE.4),MOIS)," ",YEAR(DATE.4)," A ",TABLEAU!$D$116,"H",RDV.4.MIN,"): [")),TABLEAU!$E$121,TABLEAU!$D$121)),CONCATENATE(TRIM(TABLEAU!$D$121)," [",TRIM(TABLEAU!$E$117)),TRIM(TABLEAU!$E$117)),CONCATENATE("DEMAIN ",TABLEAU!$E$117,"]"),CONCATENATE("DEMAIN ",TABLEAU!$D$121,"[",TABLEAU!$E$117,"]")),CONCATENATE("JOURS ",TABLEAU!$E$117),CONCATENATE("JOURS ",DEP.DATE.4,"[",TABLEAU!$E$117)),"EUROS]","EUROS"),CONCATENATE("DEMAIN ",TABLEAU!$E$117),CONCATENATE("DEMAIN ",DEP.DATE.4,"[",TABLEAU!$E$117,"]"))</f>
        <v/>
      </c>
      <c r="C117" s="484" t="str">
        <f ca="1">IF(RDV.4="DEPASSE","",TABLEAU!$C$118)</f>
        <v/>
      </c>
      <c r="D117" s="485" t="str">
        <f ca="1">UPPER(SUBSTITUTE(SUBSTITUTE(SUBSTITUTE(SUBSTITUTE(SUBSTITUTE(SUBSTITUTE(IF(DATE.4&lt;NOW(),CONCATENATE(TABLEAU!$C$120," (A ",TABLEAU!$D$116,"H",TABLEAU!$B$119,"): [",TYPE.4,"]"),IF(DATE.4&gt;TODAY(),"",IF(HEURE.4&lt;H.M,"DEPASSE",SUBSTITUTE(SUBSTITUTE(IF(OR(DATE.4="",DATE.4&lt;&gt;A,HEURE.4="",TYPE.4="",RDV.4="DEPASSE"),"",IF(TABLEAU!$A$120&lt;&gt;"",TABLEAU!$A$120,IF(DATE.4=A,CONCATENATE(TABLEAU!$C$120," (A ",TABLEAU!$D$116,"H",TABLEAU!$B$119,"): ",TYPE.4,"]"),CONCATENATE(DANS.4,"(",LOOKUP(WEEKDAY(DATE.4),SEMAINE)," ",TABLEAU!$D$118," ",LOOKUP(MONTH(DATE.4),MOIS)," A ",TABLEAU!$D$116,"H",TABLEAU!$B$119,"): [",TYPE.4,"]")))),CONCATENATE("DANS 0"),"DANS ")," [0]"," [MANQUE LE RDV]")))),"H)","H00)"),"[[","["),"]]","]"),"[(","("),CONCATENATE("(A ",TABLEAU!$D$116,"H",TABLEAU!$B$119,"): "),""),"EUROS]","EUROS"))</f>
        <v/>
      </c>
      <c r="E117" s="2524" t="str">
        <f>UPPER(SUBSTITUTE(IF(OR(DATE.4="",HEURE.4=""),"",IF(DATE.4&lt;A,"DEPASSE",TYPE.4))," 1ER "," 1 "))</f>
        <v/>
      </c>
      <c r="F117" s="937"/>
      <c r="G117" s="1118"/>
      <c r="H117" s="1118"/>
      <c r="I117" s="1118"/>
      <c r="J117" s="1118"/>
      <c r="K117" s="1118"/>
      <c r="L117" s="1118"/>
      <c r="M117" s="1118"/>
      <c r="N117" s="1118"/>
      <c r="O117" s="1118"/>
      <c r="P117" s="523"/>
      <c r="Q117" s="524"/>
      <c r="R117" s="524"/>
      <c r="S117" s="524"/>
      <c r="T117" s="524"/>
      <c r="U117" s="524"/>
      <c r="V117" s="537"/>
      <c r="W117" s="1833"/>
      <c r="X117" s="1834"/>
      <c r="Y117" s="1834"/>
      <c r="Z117" s="1834"/>
      <c r="AA117" s="1762"/>
      <c r="AB117" s="1763"/>
      <c r="AC117" s="1763"/>
      <c r="AD117" s="1763"/>
      <c r="AE117" s="1764"/>
      <c r="AF117" s="1696"/>
      <c r="AG117" s="1697"/>
      <c r="AH117" s="1697"/>
      <c r="AI117" s="1698"/>
      <c r="AJ117" s="1477"/>
      <c r="AK117" s="1477"/>
      <c r="AL117" s="1611"/>
      <c r="AM117" s="1739"/>
      <c r="AN117" s="2013"/>
      <c r="AO117" s="1763"/>
      <c r="AP117" s="1763"/>
      <c r="AQ117" s="1763"/>
      <c r="AR117" s="1763"/>
      <c r="AS117" s="1763"/>
      <c r="AT117" s="1763"/>
      <c r="AU117" s="1763"/>
      <c r="AV117" s="1763"/>
      <c r="AW117" s="1763"/>
      <c r="AX117" s="1764"/>
      <c r="AY117" s="1489"/>
      <c r="AZ117" s="1527"/>
      <c r="BA117" s="1489"/>
    </row>
    <row r="118" spans="1:53" ht="11.1" hidden="1" customHeight="1">
      <c r="A118" s="72"/>
      <c r="B118" s="2361"/>
      <c r="C118" s="484" t="str">
        <f ca="1">UPPER(IF(DATE.4&lt;NOW(),"",IF(RDV.4="DEPASSE","",IF(DATE.4&lt;&gt;A,"",IF(HOUR(DIFFERENCE.4)&lt;1,CONCATENATE("DANS ",TABLEAU!$B$121," MIN"),IF(DATE.4=A,CONCATENATE("DANS ",HOUR(DIFFERENCE.4),"H",MIN.DIFFERENCE.4,""),IF(HOUR(DIFFERENCE.4)&lt;1,CONCATENATE("DANS ",MINUTE(DIFFERENCE.4)," MIN"),CONCATENATE("DANS ",HOUR(DIFFERENCE.4),"H",MIN.DIFFERENCE.4,""))))))))</f>
        <v/>
      </c>
      <c r="D118" s="484" t="str">
        <f ca="1">IF(OR(DATE.4="",DATE.4&lt;&gt;A,HEURE.4=""),"",IF(DAY(DATE.4)=1,"1ER",IF(DAY(DATE.4)&lt;10,CONCATENATE("0",DAY(DATE.4)),DAY(DATE.4))))</f>
        <v/>
      </c>
      <c r="E118" s="2525"/>
      <c r="F118" s="937"/>
      <c r="G118" s="1118"/>
      <c r="H118" s="1118"/>
      <c r="I118" s="1118"/>
      <c r="J118" s="1118"/>
      <c r="K118" s="1118"/>
      <c r="L118" s="1118"/>
      <c r="M118" s="1118"/>
      <c r="N118" s="1118"/>
      <c r="O118" s="1118"/>
      <c r="P118" s="523"/>
      <c r="Q118" s="524"/>
      <c r="R118" s="524"/>
      <c r="S118" s="524"/>
      <c r="T118" s="524"/>
      <c r="U118" s="524"/>
      <c r="V118" s="537"/>
      <c r="W118" s="1833"/>
      <c r="X118" s="1834"/>
      <c r="Y118" s="1834"/>
      <c r="Z118" s="1834"/>
      <c r="AA118" s="1762"/>
      <c r="AB118" s="1763"/>
      <c r="AC118" s="1763"/>
      <c r="AD118" s="1763"/>
      <c r="AE118" s="1764"/>
      <c r="AF118" s="1696"/>
      <c r="AG118" s="1697"/>
      <c r="AH118" s="1697"/>
      <c r="AI118" s="1698"/>
      <c r="AJ118" s="1477"/>
      <c r="AK118" s="1477"/>
      <c r="AL118" s="1611"/>
      <c r="AM118" s="1739"/>
      <c r="AN118" s="2013"/>
      <c r="AO118" s="1763"/>
      <c r="AP118" s="1763"/>
      <c r="AQ118" s="1763"/>
      <c r="AR118" s="1763"/>
      <c r="AS118" s="1763"/>
      <c r="AT118" s="1763"/>
      <c r="AU118" s="1763"/>
      <c r="AV118" s="1763"/>
      <c r="AW118" s="1763"/>
      <c r="AX118" s="1764"/>
      <c r="AY118" s="1489"/>
      <c r="AZ118" s="1527"/>
      <c r="BA118" s="1489"/>
    </row>
    <row r="119" spans="1:53" ht="11.1" hidden="1" customHeight="1">
      <c r="A119" s="72" t="str">
        <f ca="1">IF(OR(DATE.4="",DATE.4&lt;&gt;A,HEURE.4="",TYPE.4=""),"",IF(MONTH(DATE.4)&lt;10,CONCATENATE("0",MONTH(DATE.4)),MONTH(DATE.4)))</f>
        <v/>
      </c>
      <c r="B119" s="486" t="str">
        <f>IF(OR(DATE.4="",HEURE.4="",TYPE.4=""),"",IF(OR(MINUTE(HEURE.4)&lt;9,MINUTE(HEURE.4)=9),CONCATENATE("0",MINUTE(HEURE.4)),MINUTE(HEURE.4)))</f>
        <v/>
      </c>
      <c r="C119" s="487" t="str">
        <f ca="1">UPPER(IF(RDV2.4&lt;&gt;"AUJOURDHUI","",IF(OR(DATE.4="",DATE.4&lt;&gt;A,HEURE.4="",TYPE.4="",RDV.4="DEPASSE"),"",IF(HOUR(DIFFERENCE.4)&lt;1,CONCATENATE("DANS ",MIN.DIF.4," MIN"),IF(DATE.4=TODAY(),CONCATENATE("DANS ",HOUR(DIFFERENCE.4),"H",MIN.DIFFERENCE.4,""),IF(HOUR(DIFFERENCE.4)&lt;1,CONCATENATE("DANS ",MINUTE(DIFFERENCE.4)," MIN"),CONCATENATE("DANS ",HOUR(DIFFERENCE.4),"H",MIN.DIFFERENCE.4,"")))))))</f>
        <v/>
      </c>
      <c r="D119" s="488" t="str">
        <f ca="1">IF(TABLEAU!$E$119="DEPASSE","",IF(RDV.4="DEPASSE","",IF(OR(DATE.4="",DATE.4&lt;&gt;A,HEURE.4="",TYPE.4="",DIFFERENCE.4=""),"",IF(OR(MINUTE(DIFFERENCE.4)=9,MINUTE(DIFFERENCE.4)&lt;9),CONCATENATE("0",MINUTE(DIFFERENCE.4)),MINUTE(DIFFERENCE.4)))))</f>
        <v/>
      </c>
      <c r="E119" s="948" t="str">
        <f ca="1">IF(TABLEAU!$K$105&lt;&gt;"",TABLEAU!$K$105,IF(OR(DATE.4="",DATE.4&lt;&gt;A,HEURE.4="",TYPE.4=""),"",IF(DATE.4=A,HEURE.4-H.M,"")))</f>
        <v/>
      </c>
      <c r="F119" s="937"/>
      <c r="G119" s="1118"/>
      <c r="H119" s="1118"/>
      <c r="I119" s="1118"/>
      <c r="J119" s="1118"/>
      <c r="K119" s="1118"/>
      <c r="L119" s="1118"/>
      <c r="M119" s="1118"/>
      <c r="N119" s="1118"/>
      <c r="O119" s="1118"/>
      <c r="P119" s="523"/>
      <c r="Q119" s="524"/>
      <c r="R119" s="524"/>
      <c r="S119" s="524"/>
      <c r="T119" s="524"/>
      <c r="U119" s="524"/>
      <c r="V119" s="537"/>
      <c r="W119" s="1833"/>
      <c r="X119" s="1834"/>
      <c r="Y119" s="1834"/>
      <c r="Z119" s="1834"/>
      <c r="AA119" s="1762"/>
      <c r="AB119" s="1763"/>
      <c r="AC119" s="1763"/>
      <c r="AD119" s="1763"/>
      <c r="AE119" s="1764"/>
      <c r="AF119" s="1696"/>
      <c r="AG119" s="1697"/>
      <c r="AH119" s="1697"/>
      <c r="AI119" s="1698"/>
      <c r="AJ119" s="1477"/>
      <c r="AK119" s="1477"/>
      <c r="AL119" s="1611"/>
      <c r="AM119" s="1739"/>
      <c r="AN119" s="2013"/>
      <c r="AO119" s="1763"/>
      <c r="AP119" s="1763"/>
      <c r="AQ119" s="1763"/>
      <c r="AR119" s="1763"/>
      <c r="AS119" s="1763"/>
      <c r="AT119" s="1763"/>
      <c r="AU119" s="1763"/>
      <c r="AV119" s="1763"/>
      <c r="AW119" s="1763"/>
      <c r="AX119" s="1764"/>
      <c r="AY119" s="1489"/>
      <c r="AZ119" s="1527"/>
      <c r="BA119" s="1489"/>
    </row>
    <row r="120" spans="1:53" ht="11.1" hidden="1" customHeight="1">
      <c r="A120" s="72" t="str">
        <f ca="1">IF(OR(DATE.4="",DATE.4&lt;&gt;A,HEURE.4="",TYPE.4=""),"",IF(AND(DATE.4=A,MAINTENANT&gt;HOUR(HEURE.4)),CONCATENATE("DEPASSE (A ",HOUR(HEURE.4),"H",RDV.4.MIN,")= [",TABLEAU!$E$111,"]"),IF(AND(DATE.4&lt;&gt;"",DATE.4=A,HOUR(HEURE.4)&lt;MAINTENANT),CONCATENATE("DEPASSE (A ",HOUR(HEURE.4),"H",RDV.4.MIN,")= [",TABLEAU!$E$111,"]"),IF(AND(DATE.4=A,MAINTENANT=HOUR(HEURE.4),MINUTE(MAINTENANT)&gt;MINUTE(HEURE.4)),CONCATENATE("DEPASSE (A ",HOUR(HEURE.4),"H",RDV.4.MIN,")= [",TABLEAU!$E$111,"]"),IF(DATE.4&lt;A,CONCATENATE("LA DATE EST DEPASSEE (",LOOKUP(WEEKDAY(DATE.4),SEMAINE)," ",DAY(DATE.4)," ",LOOKUP(MONTH(DATE.4),MOIS)," A ",HOUR(HEURE.4),"H",RDV.4.MIN,")= [",TABLEAU!$E$111,"]"),"")))))</f>
        <v/>
      </c>
      <c r="B120" s="489" t="str">
        <f ca="1">UPPER(IF(TABLEAU!$K$105&lt;&gt;"","",IF(RDV.4="DEPASSE",RDV.4,IF(OR(DATE.4="",DATE.4&lt;&gt;A,HEURE.4="",TYPE.4=""),"",IF(HOUR(DIFFERENCE.4)&lt;1,CONCATENATE(MIN.DIF.4," MIN"),0)))))</f>
        <v/>
      </c>
      <c r="C120" s="484" t="str">
        <f ca="1">UPPER(IF(OR(DATE.4="",DATE.4&lt;&gt;A,HEURE.4="",TYPE.4=""),"",SUBSTITUTE(IF(OR(DATE.4="",DATE.4&lt;&gt;TODAY()),"",TABLEAU!$C$119),"DANS 00 MIN","MAINTENANT")))</f>
        <v/>
      </c>
      <c r="D120" s="647" t="str">
        <f ca="1">UPPER(IF(DATE.4&lt;&gt;TODAY(),"",IF(DATE.4=TODAY(),"AUJOURD'HUI",HOUR(DIFFERENCE.4))))</f>
        <v/>
      </c>
      <c r="E120" s="1450" t="str">
        <f ca="1">IF(DATE.4="","",IF(AND(DATE.4=TODAY(),HEURE.4&lt;H.M)," ",IF(OR(DATE.4&gt;A,HEURE.4="",TYPE.4="",DATE.4=""),"",IF(OR(TABLEAU!$F$117&lt;0,DATE.4&lt;A),"DEPASSE",IF(AND(DATE.4=A,MAINTENANT&gt;HOUR(HEURE.4)),"DEPASSE",IF(AND(DATE.4&lt;&gt;"",DATE.4=A,HOUR(HEURE.4)&lt;MAINTENANT),"DEPASSE",IF(AND(DATE.4=A,MAINTENANT=HOUR(HEURE.4),MINUTE(MAINTENANT)&gt;MINUTE(HEURE.4)),"DEPASSE",IF(AND(DATE.4=TODAY(),HOUR(DIFFERENCE.4)&lt;1,MINUTE(DIFFERENCE.4)&lt;30,DIFFERENCE.4&lt;&gt;"",DIFFERENCE.4&lt;&gt;0),"BIENTOT",""))))))))</f>
        <v/>
      </c>
      <c r="F120" s="937"/>
      <c r="G120" s="1118"/>
      <c r="H120" s="1118"/>
      <c r="I120" s="1118"/>
      <c r="J120" s="1118"/>
      <c r="K120" s="1118"/>
      <c r="L120" s="1118"/>
      <c r="M120" s="1118"/>
      <c r="N120" s="1118"/>
      <c r="O120" s="1118"/>
      <c r="P120" s="523"/>
      <c r="Q120" s="524"/>
      <c r="R120" s="524"/>
      <c r="S120" s="524"/>
      <c r="T120" s="524"/>
      <c r="U120" s="524"/>
      <c r="V120" s="537"/>
      <c r="W120" s="1833"/>
      <c r="X120" s="1834"/>
      <c r="Y120" s="1834"/>
      <c r="Z120" s="1834"/>
      <c r="AA120" s="1762"/>
      <c r="AB120" s="1763"/>
      <c r="AC120" s="1763"/>
      <c r="AD120" s="1763"/>
      <c r="AE120" s="1764"/>
      <c r="AF120" s="1696"/>
      <c r="AG120" s="1697"/>
      <c r="AH120" s="1697"/>
      <c r="AI120" s="1698"/>
      <c r="AJ120" s="1477"/>
      <c r="AK120" s="1477"/>
      <c r="AL120" s="1611"/>
      <c r="AM120" s="1739"/>
      <c r="AN120" s="2013"/>
      <c r="AO120" s="1763"/>
      <c r="AP120" s="1763"/>
      <c r="AQ120" s="1763"/>
      <c r="AR120" s="1763"/>
      <c r="AS120" s="1763"/>
      <c r="AT120" s="1763"/>
      <c r="AU120" s="1763"/>
      <c r="AV120" s="1763"/>
      <c r="AW120" s="1763"/>
      <c r="AX120" s="1764"/>
      <c r="AY120" s="1489"/>
      <c r="AZ120" s="1527"/>
      <c r="BA120" s="1489"/>
    </row>
    <row r="121" spans="1:53" ht="21.95" hidden="1" customHeight="1" thickBot="1">
      <c r="A121" s="472" t="str">
        <f>IF(DATE.4="","",IF(DAY(DATE.4)=1,"1ER",DAY(DATE.4)))</f>
        <v/>
      </c>
      <c r="B121" s="490" t="str">
        <f ca="1">IF(DATE.4&lt;&gt;TODAY(),"",IF(TABLEAU!$J$115="","",IF(OR(DATE.4="",DATE.4&lt;&gt;A,HEURE.4="",DIFFERENCE.4=""),"",IF(OR(MINUTE(DIFFERENCE.4)=9,MINUTE(DIFFERENCE.4)&lt;9),CONCATENATE("",MINUTE(DIFFERENCE.4)),MINUTE(DIFFERENCE.4)))))</f>
        <v/>
      </c>
      <c r="C121" s="491" t="str">
        <f ca="1">IF(DATE.4&lt;&gt;NOW(),"",IF(HEURE.4&lt;H.M,"DEPASSE",IF(OR(DATE.4="",DATE.4&lt;&gt;A,HEURE.4="",DIFFERENCE.4=""),"",IF(OR(MINUTE(DIFFERENCE.4)=9,MINUTE(DIFFERENCE.4)&lt;9),CONCATENATE("0",MINUTE(DIFFERENCE.4)),MINUTE(DIFFERENCE.4)))))</f>
        <v/>
      </c>
      <c r="D121" s="648" t="str">
        <f>IF(DATE.4="","",SUBSTITUTE(CONCATENATE("(",LOOKUP(WEEKDAY(DATE.4),SEMAINE)," ",TABLEAU!$A$121," ",LOOKUP(MONTH(DATE.4),MOIS)," ",YEAR(DATE.4)," A ",TABLEAU!$D$116,"H",RDV.4.MIN,"): ")," 1ER "," 1 "))</f>
        <v/>
      </c>
      <c r="E121" s="949" t="str">
        <f>IF(DATE.4="","",SUBSTITUTE(CONCATENATE("(",LOOKUP(WEEKDAY(DATE.4),SEMAINE)," ",TABLEAU!$A$121," ",LOOKUP(MONTH(DATE.4),MOIS)," ",YEAR(DATE.4)," A ",TABLEAU!$D$116,"H",RDV.4.MIN,"): [(",LOOKUP(WEEKDAY(DATE.4),SEMAINE)," ",TABLEAU!$A$121," ",LOOKUP(MONTH(DATE.4),MOIS)," ",YEAR(DATE.4)," A ",TABLEAU!$D$116,"H",RDV.4.MIN,"): ")," 1ER "," 1 "))</f>
        <v/>
      </c>
      <c r="F121" s="937"/>
      <c r="G121" s="1118"/>
      <c r="H121" s="1118"/>
      <c r="I121" s="1118"/>
      <c r="J121" s="1118"/>
      <c r="K121" s="1118"/>
      <c r="L121" s="1118"/>
      <c r="M121" s="1118"/>
      <c r="N121" s="1118"/>
      <c r="O121" s="1118"/>
      <c r="P121" s="523"/>
      <c r="Q121" s="524"/>
      <c r="R121" s="524"/>
      <c r="S121" s="524"/>
      <c r="T121" s="524"/>
      <c r="U121" s="524"/>
      <c r="V121" s="537"/>
      <c r="W121" s="1833"/>
      <c r="X121" s="1834"/>
      <c r="Y121" s="1834"/>
      <c r="Z121" s="1834"/>
      <c r="AA121" s="1762"/>
      <c r="AB121" s="1763"/>
      <c r="AC121" s="1763"/>
      <c r="AD121" s="1763"/>
      <c r="AE121" s="1764"/>
      <c r="AF121" s="1696"/>
      <c r="AG121" s="1697"/>
      <c r="AH121" s="1697"/>
      <c r="AI121" s="1698"/>
      <c r="AJ121" s="1477"/>
      <c r="AK121" s="1477"/>
      <c r="AL121" s="1611"/>
      <c r="AM121" s="1739"/>
      <c r="AN121" s="2013"/>
      <c r="AO121" s="1763"/>
      <c r="AP121" s="1763"/>
      <c r="AQ121" s="1763"/>
      <c r="AR121" s="1763"/>
      <c r="AS121" s="1763"/>
      <c r="AT121" s="1763"/>
      <c r="AU121" s="1763"/>
      <c r="AV121" s="1763"/>
      <c r="AW121" s="1763"/>
      <c r="AX121" s="1764"/>
      <c r="AY121" s="1489"/>
      <c r="AZ121" s="1527"/>
      <c r="BA121" s="1489"/>
    </row>
    <row r="122" spans="1:53" ht="11.1" hidden="1" customHeight="1" thickTop="1">
      <c r="A122" s="925"/>
      <c r="B122" s="912" t="str">
        <f>IF(RDV.5.DATE&lt;&gt;"",RDV.5.DATE,"")</f>
        <v/>
      </c>
      <c r="C122" s="913" t="str">
        <f>IF(RDV.5.HEURE&lt;&gt;"",RDV.5.HEURE,"")</f>
        <v/>
      </c>
      <c r="D122" s="914" t="str">
        <f>IF(HEURE.5="","",CONCATENATE("",HOUR(HEURE.5)))</f>
        <v/>
      </c>
      <c r="E122" s="950" t="str">
        <f ca="1">IF(RDV.5="DEPASSE",NOW()-HEURE.5,"")</f>
        <v/>
      </c>
      <c r="F122" s="955"/>
      <c r="G122" s="1124"/>
      <c r="H122" s="1124"/>
      <c r="I122" s="1124"/>
      <c r="J122" s="1118"/>
      <c r="K122" s="1118"/>
      <c r="L122" s="1118"/>
      <c r="M122" s="1118"/>
      <c r="N122" s="1118"/>
      <c r="O122" s="1118"/>
      <c r="P122" s="523"/>
      <c r="Q122" s="524"/>
      <c r="R122" s="524"/>
      <c r="S122" s="524"/>
      <c r="T122" s="524"/>
      <c r="U122" s="524"/>
      <c r="V122" s="537"/>
      <c r="W122" s="1833"/>
      <c r="X122" s="1834"/>
      <c r="Y122" s="1834"/>
      <c r="Z122" s="1834"/>
      <c r="AA122" s="1762"/>
      <c r="AB122" s="1763"/>
      <c r="AC122" s="1763"/>
      <c r="AD122" s="1763"/>
      <c r="AE122" s="1764"/>
      <c r="AF122" s="1696"/>
      <c r="AG122" s="1697"/>
      <c r="AH122" s="1697"/>
      <c r="AI122" s="1698"/>
      <c r="AJ122" s="1477"/>
      <c r="AK122" s="1477"/>
      <c r="AL122" s="1611"/>
      <c r="AM122" s="1739"/>
      <c r="AN122" s="2013"/>
      <c r="AO122" s="1763"/>
      <c r="AP122" s="1763"/>
      <c r="AQ122" s="1763"/>
      <c r="AR122" s="1763"/>
      <c r="AS122" s="1763"/>
      <c r="AT122" s="1763"/>
      <c r="AU122" s="1763"/>
      <c r="AV122" s="1763"/>
      <c r="AW122" s="1763"/>
      <c r="AX122" s="1764"/>
      <c r="AY122" s="1489"/>
      <c r="AZ122" s="1527"/>
      <c r="BA122" s="1489"/>
    </row>
    <row r="123" spans="1:53" ht="11.1" hidden="1" customHeight="1">
      <c r="A123" s="72"/>
      <c r="B123" s="2506" t="str">
        <f ca="1">SUBSTITUTE(SUBSTITUTE(SUBSTITUTE(SUBSTITUTE(SUBSTITUTE(IF(DATE.5="","",SUBSTITUTE(SUBSTITUTE(SUBSTITUTE(SUBSTITUTE(IF(OR(DATE.5="",HEURE.5=""),"",IF(DATE.5&lt;A,"DEPASSE",IF(DATE.5-TODAY()=1,CONCATENATE("DEMAIN (",LOOKUP(WEEKDAY(DATE.5),SEMAINE)," ",DAY(DATE.5)," ",LOOKUP(MONTH(DATE.5),MOIS)," ",YEAR(DATE.5)," A ",TABLEAU!$D$122,"H",RDV.5.MIN,"): [",TABLEAU!$E$123),IF(DATE.5-TODAY()=0,PHRASE.RDV.5,CONCATENATE("DANS ",DATE.5-TODAY()," JOURS [",TABLEAU!$E$123,"]"))))),"[[","["),"]]","]"),"JOURS [",CONCATENATE("JOURS (",LOOKUP(WEEKDAY(DATE.5),SEMAINE)," ",DAY(DATE.5)," ",LOOKUP(MONTH(DATE.5),MOIS)," ",YEAR(DATE.5)," A ",TABLEAU!$D$122,"H",RDV.5.MIN,"): [")),TABLEAU!$E$127,TABLEAU!$D$127)),CONCATENATE(TRIM(TABLEAU!$D$127)," [",TRIM(TABLEAU!$E$123)),TRIM(TABLEAU!$E$123)),CONCATENATE("DEMAIN ",TABLEAU!$E$123,"]"),CONCATENATE("DEMAIN ",TABLEAU!$D$127,"[",TABLEAU!$E$123,"]")),CONCATENATE("JOURS ",TABLEAU!$E$123),CONCATENATE("JOURS ",DEP.DATE.5,"[",TABLEAU!$E$123)),"EUROS]","EUROS"),CONCATENATE("DEMAIN ",TABLEAU!$E$123),CONCATENATE("DEMAIN ",DEP.DATE.5,"[",TABLEAU!$E$123,"]"))</f>
        <v/>
      </c>
      <c r="C123" s="915" t="str">
        <f ca="1">IF(RDV.5="DEPASSE","",TABLEAU!$C$124)</f>
        <v/>
      </c>
      <c r="D123" s="916" t="str">
        <f ca="1">UPPER(SUBSTITUTE(SUBSTITUTE(SUBSTITUTE(SUBSTITUTE(SUBSTITUTE(SUBSTITUTE(SUBSTITUTE(IF(DATE.5&lt;NOW(),CONCATENATE(TABLEAU!$C$126," (A ",TABLEAU!$D$122,"H",TABLEAU!$B$125,"): [",TYPE.5,"]"),IF(DATE.5&gt;TODAY(),"",IF(HEURE.5&lt;H.M,"DEPASSE",SUBSTITUTE(SUBSTITUTE(IF(OR(DATE.5="",DATE.5&lt;&gt;A,HEURE.5="",TYPE.5="",RDV.5="DEPASSE"),"",IF(TABLEAU!$A$126&lt;&gt;"",TABLEAU!$A$126,IF(DATE.5=A,CONCATENATE(TABLEAU!$C$126," (A ",TABLEAU!$D$122,"H",TABLEAU!$B$125,"): ",TYPE.5,"]"),CONCATENATE(DANS.5,"(",LOOKUP(WEEKDAY(DATE.5),SEMAINE)," ",TABLEAU!$D$124," ",LOOKUP(MONTH(DATE.5),MOIS)," A ",TABLEAU!$D$122,"H",TABLEAU!$B$125,"): [",TYPE.5,"]")))),CONCATENATE("DANS 0"),"DANS ")," [0]"," [MANQUE LE RDV]")))),"H)","H00)"),"[[","["),"]]","]"),"[(","("),CONCATENATE("(A ",TABLEAU!$D$122,"H",TABLEAU!$B$125,"): "),""),"EUROS]","EUROS"),"€}= ","}= RESTERA: "))</f>
        <v/>
      </c>
      <c r="E123" s="2508" t="str">
        <f>UPPER(SUBSTITUTE(IF(OR(DATE.5="",HEURE.5=""),"",IF(DATE.5&lt;A,"DEPASSE",TYPE.5))," 1ER "," 1 "))</f>
        <v/>
      </c>
      <c r="F123" s="955"/>
      <c r="G123" s="1124"/>
      <c r="H123" s="1124"/>
      <c r="I123" s="1124"/>
      <c r="J123" s="1118"/>
      <c r="K123" s="1118"/>
      <c r="L123" s="1118"/>
      <c r="M123" s="1118"/>
      <c r="N123" s="1118"/>
      <c r="O123" s="1118"/>
      <c r="P123" s="523"/>
      <c r="Q123" s="524"/>
      <c r="R123" s="524"/>
      <c r="S123" s="524"/>
      <c r="T123" s="524"/>
      <c r="U123" s="524"/>
      <c r="V123" s="537"/>
      <c r="W123" s="1833"/>
      <c r="X123" s="1834"/>
      <c r="Y123" s="1834"/>
      <c r="Z123" s="1834"/>
      <c r="AA123" s="1762"/>
      <c r="AB123" s="1763"/>
      <c r="AC123" s="1763"/>
      <c r="AD123" s="1763"/>
      <c r="AE123" s="1764"/>
      <c r="AF123" s="1696"/>
      <c r="AG123" s="1697"/>
      <c r="AH123" s="1697"/>
      <c r="AI123" s="1698"/>
      <c r="AJ123" s="1477"/>
      <c r="AK123" s="1477"/>
      <c r="AL123" s="1611"/>
      <c r="AM123" s="1739"/>
      <c r="AN123" s="2013"/>
      <c r="AO123" s="1763"/>
      <c r="AP123" s="1763"/>
      <c r="AQ123" s="1763"/>
      <c r="AR123" s="1763"/>
      <c r="AS123" s="1763"/>
      <c r="AT123" s="1763"/>
      <c r="AU123" s="1763"/>
      <c r="AV123" s="1763"/>
      <c r="AW123" s="1763"/>
      <c r="AX123" s="1764"/>
      <c r="AY123" s="1489"/>
      <c r="AZ123" s="1527"/>
      <c r="BA123" s="1489"/>
    </row>
    <row r="124" spans="1:53" ht="11.1" hidden="1" customHeight="1">
      <c r="A124" s="72"/>
      <c r="B124" s="2507"/>
      <c r="C124" s="915" t="str">
        <f ca="1">UPPER(IF(DATE.5&lt;NOW(),"",IF(RDV.5="DEPASSE","",IF(DATE.5&lt;&gt;A,"",IF(HOUR(DIFFERENCE.5)&lt;1,CONCATENATE("DANS ",TABLEAU!$B$127," MIN"),IF(DATE.5=A,CONCATENATE("DANS ",HOUR(DIFFERENCE.5),"H",MIN.DIFFERENCE.5,""),IF(HOUR(DIFFERENCE.5)&lt;1,CONCATENATE("DANS ",MINUTE(DIFFERENCE.5)," MIN"),CONCATENATE("DANS ",HOUR(DIFFERENCE.5),"H",MIN.DIFFERENCE.5,""))))))))</f>
        <v/>
      </c>
      <c r="D124" s="915" t="str">
        <f ca="1">IF(OR(DATE.5="",DATE.5&lt;&gt;A,HEURE.5=""),"",IF(DAY(DATE.5)=1,"1ER",IF(DAY(DATE.5)&lt;10,CONCATENATE("0",DAY(DATE.5)),DAY(DATE.5))))</f>
        <v/>
      </c>
      <c r="E124" s="2509"/>
      <c r="F124" s="955"/>
      <c r="G124" s="1124"/>
      <c r="H124" s="1124"/>
      <c r="I124" s="1124"/>
      <c r="J124" s="1118"/>
      <c r="K124" s="1118"/>
      <c r="L124" s="1118"/>
      <c r="M124" s="1118"/>
      <c r="N124" s="1118"/>
      <c r="O124" s="1118"/>
      <c r="P124" s="523"/>
      <c r="Q124" s="524"/>
      <c r="R124" s="524"/>
      <c r="S124" s="524"/>
      <c r="T124" s="524"/>
      <c r="U124" s="524"/>
      <c r="V124" s="537"/>
      <c r="W124" s="1833"/>
      <c r="X124" s="1834"/>
      <c r="Y124" s="1834"/>
      <c r="Z124" s="1834"/>
      <c r="AA124" s="1762"/>
      <c r="AB124" s="1763"/>
      <c r="AC124" s="1763"/>
      <c r="AD124" s="1763"/>
      <c r="AE124" s="1764"/>
      <c r="AF124" s="1696"/>
      <c r="AG124" s="1697"/>
      <c r="AH124" s="1697"/>
      <c r="AI124" s="1698"/>
      <c r="AJ124" s="1477"/>
      <c r="AK124" s="1477"/>
      <c r="AL124" s="1611"/>
      <c r="AM124" s="1739"/>
      <c r="AN124" s="2013"/>
      <c r="AO124" s="1763"/>
      <c r="AP124" s="1763"/>
      <c r="AQ124" s="1763"/>
      <c r="AR124" s="1763"/>
      <c r="AS124" s="1763"/>
      <c r="AT124" s="1763"/>
      <c r="AU124" s="1763"/>
      <c r="AV124" s="1763"/>
      <c r="AW124" s="1763"/>
      <c r="AX124" s="1764"/>
      <c r="AY124" s="1489"/>
      <c r="AZ124" s="1527"/>
      <c r="BA124" s="1489"/>
    </row>
    <row r="125" spans="1:53" ht="11.1" hidden="1" customHeight="1">
      <c r="A125" s="72" t="str">
        <f ca="1">IF(OR(DATE.5="",DATE.5&lt;&gt;A,HEURE.5="",TYPE.5=""),"",IF(MONTH(DATE.5)&lt;10,CONCATENATE("0",MONTH(DATE.5)),MONTH(DATE.5)))</f>
        <v/>
      </c>
      <c r="B125" s="917" t="str">
        <f>IF(OR(DATE.5="",HEURE.5="",TYPE.5=""),"",IF(OR(MINUTE(HEURE.5)&lt;9,MINUTE(HEURE.5)=9),CONCATENATE("0",MINUTE(HEURE.5)),MINUTE(HEURE.5)))</f>
        <v/>
      </c>
      <c r="C125" s="918" t="str">
        <f ca="1">UPPER(IF(RDV2.5&lt;&gt;"AUJOURDHUI","",IF(OR(DATE.5="",DATE.5&lt;&gt;A,HEURE.5="",TYPE.5="",RDV.5="DEPASSE"),"",IF(HOUR(DIFFERENCE.5)&lt;1,CONCATENATE("DANS ",MIN.DIF.5," MIN"),IF(DATE.5=TODAY(),CONCATENATE("DANS ",HOUR(DIFFERENCE.5),"H",MIN.DIFFERENCE.5,""),IF(HOUR(DIFFERENCE.5)&lt;1,CONCATENATE("DANS ",MINUTE(DIFFERENCE.5)," MIN"),CONCATENATE("DANS ",HOUR(DIFFERENCE.5),"H",MIN.DIFFERENCE.5,"")))))))</f>
        <v/>
      </c>
      <c r="D125" s="919" t="str">
        <f ca="1">IF(TABLEAU!$E$125="DEPASSE","",IF(RDV.5="DEPASSE","",IF(OR(DATE.5="",DATE.5&lt;&gt;A,HEURE.5="",TYPE.5="",DIFFERENCE.5=""),"",IF(OR(MINUTE(DIFFERENCE.5)=9,MINUTE(DIFFERENCE.5)&lt;9),CONCATENATE("0",MINUTE(DIFFERENCE.5)),MINUTE(DIFFERENCE.5)))))</f>
        <v/>
      </c>
      <c r="E125" s="951" t="str">
        <f ca="1">IF(TABLEAU!$K$106&lt;&gt;"",TABLEAU!$K$106,IF(OR(DATE.5="",DATE.5&lt;&gt;A,HEURE.5="",TYPE.5=""),"",IF(DATE.5=A,HEURE.5-H.M,"")))</f>
        <v/>
      </c>
      <c r="F125" s="955"/>
      <c r="G125" s="1124"/>
      <c r="H125" s="1124"/>
      <c r="I125" s="1124"/>
      <c r="J125" s="1125"/>
      <c r="K125" s="1125"/>
      <c r="L125" s="1126"/>
      <c r="M125" s="1125"/>
      <c r="N125" s="1125"/>
      <c r="O125" s="1127"/>
      <c r="P125" s="523"/>
      <c r="Q125" s="524"/>
      <c r="R125" s="524"/>
      <c r="S125" s="524"/>
      <c r="T125" s="524"/>
      <c r="U125" s="524"/>
      <c r="V125" s="537"/>
      <c r="W125" s="1833"/>
      <c r="X125" s="1834"/>
      <c r="Y125" s="1834"/>
      <c r="Z125" s="1834"/>
      <c r="AA125" s="1762"/>
      <c r="AB125" s="1763"/>
      <c r="AC125" s="1763"/>
      <c r="AD125" s="1763"/>
      <c r="AE125" s="1764"/>
      <c r="AF125" s="1696"/>
      <c r="AG125" s="1697"/>
      <c r="AH125" s="1697"/>
      <c r="AI125" s="1698"/>
      <c r="AJ125" s="1477"/>
      <c r="AK125" s="1477"/>
      <c r="AL125" s="1611"/>
      <c r="AM125" s="1739"/>
      <c r="AN125" s="2013"/>
      <c r="AO125" s="1763"/>
      <c r="AP125" s="1763"/>
      <c r="AQ125" s="1763"/>
      <c r="AR125" s="1763"/>
      <c r="AS125" s="1763"/>
      <c r="AT125" s="1763"/>
      <c r="AU125" s="1763"/>
      <c r="AV125" s="1763"/>
      <c r="AW125" s="1763"/>
      <c r="AX125" s="1764"/>
      <c r="AY125" s="1489"/>
      <c r="AZ125" s="1527"/>
      <c r="BA125" s="1489"/>
    </row>
    <row r="126" spans="1:53" ht="11.1" hidden="1" customHeight="1">
      <c r="A126" s="72" t="str">
        <f ca="1">IF(OR(DATE.5="",DATE.5&lt;&gt;A,HEURE.5="",TYPE.5=""),"",IF(AND(DATE.5=A,MAINTENANT&gt;HOUR(HEURE.5)),CONCATENATE("DEPASSE (A ",HOUR(HEURE.5),"H",RDV.5.MIN,")= [",TABLEAU!$E$117,"]"),IF(AND(DATE.5&lt;&gt;"",DATE.5=A,HOUR(HEURE.5)&lt;MAINTENANT),CONCATENATE("DEPASSE (A ",HOUR(HEURE.5),"H",RDV.5.MIN,")= [",TABLEAU!$E$117,"]"),IF(AND(DATE.5=A,MAINTENANT=HOUR(HEURE.5),MINUTE(MAINTENANT)&gt;MINUTE(HEURE.5)),CONCATENATE("DEPASSE (A ",HOUR(HEURE.5),"H",RDV.5.MIN,")= [",TABLEAU!$E$117,"]"),IF(DATE.5&lt;A,CONCATENATE("LA DATE EST DEPASSEE (",LOOKUP(WEEKDAY(DATE.5),SEMAINE)," ",DAY(DATE.5)," ",LOOKUP(MONTH(DATE.5),MOIS)," A ",HOUR(HEURE.5),"H",RDV.5.MIN,")= [",TABLEAU!$E$117,"]"),"")))))</f>
        <v/>
      </c>
      <c r="B126" s="920" t="str">
        <f ca="1">UPPER(IF(TABLEAU!$K$106&lt;&gt;"","",IF(RDV.5="DEPASSE",RDV.5,IF(OR(DATE.5="",DATE.5&lt;&gt;A,HEURE.5="",TYPE.5=""),"",IF(HOUR(DIFFERENCE.5)&lt;1,CONCATENATE(MIN.DIF.5," MIN"),0)))))</f>
        <v/>
      </c>
      <c r="C126" s="915" t="str">
        <f ca="1">UPPER(IF(OR(DATE.5="",DATE.5&lt;&gt;A,HEURE.5="",TYPE.5=""),"",SUBSTITUTE(IF(OR(DATE.5="",DATE.5&lt;&gt;TODAY()),"",TABLEAU!$C$125),"DANS 00 MIN","MAINTENANT")))</f>
        <v/>
      </c>
      <c r="D126" s="921" t="str">
        <f ca="1">UPPER(IF(DATE.5&lt;&gt;TODAY(),"",IF(DATE.5=TODAY(),"AUJOURD'HUI",HOUR(DIFFERENCE.5))))</f>
        <v/>
      </c>
      <c r="E126" s="1447" t="str">
        <f ca="1">IF(DATE.5="","",IF(AND(DATE.5=TODAY(),HEURE.5&lt;H.M)," ",IF(OR(DATE.5&gt;A,HEURE.5="",TYPE.5="",DATE.5=""),"",IF(OR(TABLEAU!$F$123&lt;0,DATE.5&lt;A),"DEPASSE",IF(AND(DATE.5=A,MAINTENANT&gt;HOUR(HEURE.5)),"DEPASSE",IF(AND(DATE.5&lt;&gt;"",DATE.5=A,HOUR(HEURE.5)&lt;MAINTENANT),"DEPASSE",IF(AND(DATE.5=A,MAINTENANT=HOUR(HEURE.5),MINUTE(MAINTENANT)&gt;MINUTE(HEURE.5)),"DEPASSE",IF(AND(DATE.5=TODAY(),HOUR(DIFFERENCE.5)&lt;1,MINUTE(DIFFERENCE.5)&lt;30,DIFFERENCE.5&lt;&gt;"",DIFFERENCE.5&lt;&gt;0),"BIENTOT",""))))))))</f>
        <v/>
      </c>
      <c r="F126" s="955"/>
      <c r="G126" s="1124"/>
      <c r="H126" s="1124"/>
      <c r="I126" s="1124"/>
      <c r="J126" s="1125"/>
      <c r="K126" s="1125"/>
      <c r="L126" s="1126"/>
      <c r="M126" s="1128"/>
      <c r="N126" s="1128"/>
      <c r="O126" s="1127"/>
      <c r="P126" s="523"/>
      <c r="Q126" s="524"/>
      <c r="R126" s="524"/>
      <c r="S126" s="524"/>
      <c r="T126" s="524"/>
      <c r="U126" s="524"/>
      <c r="V126" s="537"/>
      <c r="W126" s="1833"/>
      <c r="X126" s="1834"/>
      <c r="Y126" s="1834"/>
      <c r="Z126" s="1834"/>
      <c r="AA126" s="1762"/>
      <c r="AB126" s="1763"/>
      <c r="AC126" s="1763"/>
      <c r="AD126" s="1763"/>
      <c r="AE126" s="1764"/>
      <c r="AF126" s="1696"/>
      <c r="AG126" s="1697"/>
      <c r="AH126" s="1697"/>
      <c r="AI126" s="1698"/>
      <c r="AJ126" s="1477"/>
      <c r="AK126" s="1477"/>
      <c r="AL126" s="1611"/>
      <c r="AM126" s="1739"/>
      <c r="AN126" s="2013"/>
      <c r="AO126" s="1763"/>
      <c r="AP126" s="1763"/>
      <c r="AQ126" s="1763"/>
      <c r="AR126" s="1763"/>
      <c r="AS126" s="1763"/>
      <c r="AT126" s="1763"/>
      <c r="AU126" s="1763"/>
      <c r="AV126" s="1763"/>
      <c r="AW126" s="1763"/>
      <c r="AX126" s="1764"/>
      <c r="AY126" s="1489"/>
      <c r="AZ126" s="1527"/>
      <c r="BA126" s="1489"/>
    </row>
    <row r="127" spans="1:53" ht="21" hidden="1" customHeight="1" thickBot="1">
      <c r="A127" s="472" t="str">
        <f>IF(DATE.5="","",IF(DAY(DATE.5)=1,"1ER",DAY(DATE.5)))</f>
        <v/>
      </c>
      <c r="B127" s="922" t="str">
        <f ca="1">IF(DATE.5&lt;&gt;TODAY(),"",IF(TABLEAU!$J$121="","",IF(OR(DATE.5="",DATE.5&lt;&gt;A,HEURE.5="",DIFFERENCE.5=""),"",IF(OR(MINUTE(DIFFERENCE.5)=9,MINUTE(DIFFERENCE.5)&lt;9),CONCATENATE("",MINUTE(DIFFERENCE.5)),MINUTE(DIFFERENCE.5)))))</f>
        <v/>
      </c>
      <c r="C127" s="923" t="str">
        <f ca="1">IF(DATE.5&lt;&gt;NOW(),"",IF(HEURE.5&lt;H.M,"DEPASSE",IF(OR(DATE.5="",DATE.5&lt;&gt;A,HEURE.5="",DIFFERENCE.5=""),"",IF(OR(MINUTE(DIFFERENCE.5)=9,MINUTE(DIFFERENCE.5)&lt;9),CONCATENATE("0",MINUTE(DIFFERENCE.5)),MINUTE(DIFFERENCE.5)))))</f>
        <v/>
      </c>
      <c r="D127" s="924" t="str">
        <f>IF(DATE.5="","",SUBSTITUTE(CONCATENATE("(",LOOKUP(WEEKDAY(DATE.5),SEMAINE)," ",TABLEAU!$A$127," ",LOOKUP(MONTH(DATE.5),MOIS)," ",YEAR(DATE.5)," A ",TABLEAU!$D$122,"H",RDV.5.MIN,"): ")," 1ER "," 1 "))</f>
        <v/>
      </c>
      <c r="E127" s="952" t="str">
        <f>IF(DATE.5="","",SUBSTITUTE(CONCATENATE("(",LOOKUP(WEEKDAY(DATE.5),SEMAINE)," ",TABLEAU!$A$127," ",LOOKUP(MONTH(DATE.5),MOIS)," ",YEAR(DATE.5)," A ",TABLEAU!$D$122,"H",RDV.5.MIN,"): [(",LOOKUP(WEEKDAY(DATE.5),SEMAINE)," ",TABLEAU!$A$127," ",LOOKUP(MONTH(DATE.5),MOIS)," ",YEAR(DATE.5)," A ",TABLEAU!$D$122,"H",RDV.5.MIN,"): ")," 1ER "," 1 "))</f>
        <v/>
      </c>
      <c r="F127" s="955"/>
      <c r="G127" s="1124"/>
      <c r="H127" s="1124"/>
      <c r="I127" s="1124"/>
      <c r="J127" s="1129"/>
      <c r="K127" s="1129"/>
      <c r="L127" s="1130"/>
      <c r="M127" s="1129"/>
      <c r="N127" s="1129"/>
      <c r="O127" s="1131"/>
      <c r="P127" s="538"/>
      <c r="Q127" s="539"/>
      <c r="R127" s="539"/>
      <c r="S127" s="539"/>
      <c r="T127" s="539"/>
      <c r="U127" s="539"/>
      <c r="V127" s="540"/>
      <c r="W127" s="1835"/>
      <c r="X127" s="1836"/>
      <c r="Y127" s="1836"/>
      <c r="Z127" s="1836"/>
      <c r="AA127" s="1690"/>
      <c r="AB127" s="1691"/>
      <c r="AC127" s="1691"/>
      <c r="AD127" s="1691"/>
      <c r="AE127" s="1692"/>
      <c r="AF127" s="1699"/>
      <c r="AG127" s="1700"/>
      <c r="AH127" s="1700"/>
      <c r="AI127" s="1701"/>
      <c r="AJ127" s="1478"/>
      <c r="AK127" s="1478"/>
      <c r="AL127" s="1612"/>
      <c r="AM127" s="1740"/>
      <c r="AN127" s="2014"/>
      <c r="AO127" s="1691"/>
      <c r="AP127" s="1691"/>
      <c r="AQ127" s="1691"/>
      <c r="AR127" s="1691"/>
      <c r="AS127" s="1691"/>
      <c r="AT127" s="1691"/>
      <c r="AU127" s="1691"/>
      <c r="AV127" s="1691"/>
      <c r="AW127" s="1691"/>
      <c r="AX127" s="1692"/>
      <c r="AY127" s="1489"/>
      <c r="AZ127" s="1527"/>
      <c r="BA127" s="1489"/>
    </row>
    <row r="128" spans="1:53" ht="90.95" hidden="1" customHeight="1" thickTop="1">
      <c r="A128" s="72" t="str">
        <f ca="1">IF(TABLEAU!$D$128="#DEPASSE#",CONCATENATE("#",TABLEAU!$B$128,"#"),TABLEAU!$B$128)</f>
        <v>#DANS 7H45 (A 20H45): [CHAMPIONNAT]#</v>
      </c>
      <c r="B128" s="854" t="str">
        <f ca="1">SUBSTITUTE(SUBSTITUTE(SUBSTITUTE(SUBSTITUTE(IF(DATE.RDV.TV=TABLEAU!$K$3,TABLEAU!$B$55,IF(DATE.RDV.TV="MARDI",TABLEAU!$B$59,IF(DATE.RDV.TV="MERCREDI",TABLEAU!$B$63,IF(DATE.RDV.TV="JEUDI",TABLEAU!$B$67,IF(DATE.RDV.TV="VENDREDI",TABLEAU!$B$71,IF(DATE.RDV.TV="SAMEDI",TABLEAU!$B$75,IF(DATE.RDV.TV="DIMANCHE",TABLEAU!$B$79))))))),"&amp; #","&amp; "),"] &amp; D","]# &amp; #D"),"]#D","]# &amp; #D"),"&amp; D"," &amp; #D")</f>
        <v>#DANS 7H45 (A 20H45): [CHAMPIONNAT]#</v>
      </c>
      <c r="C128" s="855"/>
      <c r="D128" s="856" t="str">
        <f ca="1">SUBSTITUTE(IF(DATE.RDV.TV=TABLEAU!$K$3,TABLEAU!$AJ$55,IF(DATE.RDV.TV="MARDI",TABLEAU!$AJ$59,IF(DATE.RDV.TV="MERCREDI",TABLEAU!$AJ$63,IF(DATE.RDV.TV="JEUDI",TABLEAU!$AJ$67,IF(DATE.RDV.TV="VENDREDI",TABLEAU!$AJ$71,IF(DATE.RDV.TV="SAMEDI",TABLEAU!$AJ$75,IF(DATE.RDV.TV="DIMANCHE",TABLEAU!$AJ$79))))))),"&amp; #","&amp; ")</f>
        <v/>
      </c>
      <c r="E128" s="857">
        <f ca="1">IF(TABLEAU!$B$128="","23:59",IF(DATE.RDV.TV=TABLEAU!$K$3,TABLEAU!$D$55,IF(DATE.RDV.TV="MARDI",TABLEAU!$D$59,IF(DATE.RDV.TV="MERCREDI",TABLEAU!$D$63,IF(DATE.RDV.TV="JEUDI",TABLEAU!$D$67,IF(DATE.RDV.TV="VENDREDI",TABLEAU!$D$71,IF(DATE.RDV.TV="SAMEDI",TABLEAU!$D$75,IF(DATE.RDV.TV="DIMANCHE",TABLEAU!$D$79))))))))</f>
        <v>0.86458333333333337</v>
      </c>
      <c r="F128" s="106">
        <f ca="1">IF(TABLEAU!$B$128="","23:59",IF(DATE.RDV.TV=TABLEAU!$K$3,TABLEAU!$I$55,IF(DATE.RDV.TV="MARDI",TABLEAU!$I$59,IF(DATE.RDV.TV="MERCREDI",TABLEAU!$I$63,IF(DATE.RDV.TV="JEUDI",TABLEAU!$I$67,IF(DATE.RDV.TV="VENDREDI",TABLEAU!$I$71,IF(DATE.RDV.TV="SAMEDI",TABLEAU!$I$75,IF(DATE.RDV.TV="DIMANCHE",TABLEAU!$I$79))))))))</f>
        <v>0.32291666666666674</v>
      </c>
      <c r="G128" s="1222" t="str">
        <f ca="1">SUBSTITUTE(IF(DATE.RDV.TV=TABLEAU!$K$3,TABLEAU!$B$55,IF(DATE.RDV.TV="MARDI",TABLEAU!$B$59,IF(DATE.RDV.TV="MERCREDI",TABLEAU!$B$63,IF(DATE.RDV.TV="JEUDI",TABLEAU!$B$67,IF(DATE.RDV.TV="VENDREDI",TABLEAU!$B$71,IF(DATE.RDV.TV="SAMEDI",TABLEAU!$B$75,IF(DATE.RDV.TV="DIMANCHE",TABLEAU!$B$79))))))),"&amp; #","&amp; ")</f>
        <v>#DANS 7H45 (A 20H45): [CHAMPIONNAT]#</v>
      </c>
      <c r="H128" s="107"/>
      <c r="I128" s="107"/>
      <c r="J128" s="107"/>
      <c r="K128" s="107"/>
      <c r="L128" s="107"/>
      <c r="M128" s="107"/>
      <c r="N128" s="108"/>
      <c r="O128" s="109"/>
      <c r="P128" s="2532"/>
      <c r="Q128" s="2533"/>
      <c r="R128" s="2533"/>
      <c r="S128" s="2533"/>
      <c r="T128" s="2533"/>
      <c r="U128" s="2533"/>
      <c r="V128" s="2534"/>
      <c r="W128" s="828"/>
      <c r="X128" s="457"/>
      <c r="Y128" s="829">
        <f ca="1">IF(TABLEAU!$B$128="","23:59",IF(DATE.RDV.TV=TABLEAU!$K$3,TABLEAU!$I$55,IF(DATE.RDV.TV="MARDI",TABLEAU!$I$59,IF(DATE.RDV.TV="MERCREDI",TABLEAU!$I$63,IF(DATE.RDV.TV="JEUDI",TABLEAU!$I$67,IF(DATE.RDV.TV="VENDREDI",TABLEAU!$I$71,IF(DATE.RDV.TV="SAMEDI",TABLEAU!$I$75,IF(DATE.RDV.TV="DIMANCHE",TABLEAU!$I$79))))))))</f>
        <v>0.32291666666666674</v>
      </c>
      <c r="Z128" s="1605">
        <f ca="1">IF(TABLEAU!$Y$128&lt;&gt;0,TABLEAU!$Y$128,IF(TABLEAU!$Y$129&lt;&gt;0,TABLEAU!$Y$129,IF(TABLEAU!$Y$130&lt;&gt;0,TABLEAU!$Y$130,IF(TABLEAU!$Y$131&lt;&gt;0,TABLEAU!$Y$131,""))))</f>
        <v>0.32291666666666674</v>
      </c>
      <c r="AA128" s="1851" t="str">
        <f ca="1">IF(AND(DATE.RDV.TV=TABLEAU!$K$3,LUNDI.TV.1=""),"",IF(AND(DATE.RDV.TV="MARDI",MARDI.TV.1=""),"",IF(AND(DATE.RDV.TV="MERCREDI",MERCREDI.TV.1=""),"",IF(AND(DATE.RDV.TV="JEUDI",JEUDI.TV.1=""),"",IF(AND(DATE.RDV.TV="VENDREDI",VENDREDI.TV.1=""),"",IF(AND(DATE.RDV.TV="SAMEDI",SAMEDI.TV.1=""),"",IF(AND(DATE.RDV.TV="DIMANCHE",DIMANCHE.TV.1=""),"",IF(COUNTBLANK(TABLEAU!$Q$55:'TABLEAU'!$Q$82)=28,"",IF(28-COUNTBLANK(TABLEAU!$Q$55:'TABLEAU'!$Q$82)=1,"#1 PROG EST DEPASSE#",IF(28-COUNTBLANK(TABLEAU!$Q$55:'TABLEAU'!$Q$82)&gt;1,CONCATENATE("#",28-COUNTBLANK((TABLEAU!$Q$55:'TABLEAU'!$Q$82))," PROG SONT DEPASSE#")))))))))))</f>
        <v/>
      </c>
      <c r="AB128" s="1851"/>
      <c r="AC128" s="1851"/>
      <c r="AD128" s="1851"/>
      <c r="AE128" s="1852"/>
      <c r="AF128" s="1596"/>
      <c r="AG128" s="1597"/>
      <c r="AH128" s="1597"/>
      <c r="AI128" s="1598"/>
      <c r="AJ128" s="1456"/>
      <c r="AK128" s="1456"/>
      <c r="AL128" s="1747"/>
      <c r="AM128" s="1748"/>
      <c r="AN128" s="1748"/>
      <c r="AO128" s="1748"/>
      <c r="AP128" s="1748"/>
      <c r="AQ128" s="1748"/>
      <c r="AR128" s="1748"/>
      <c r="AS128" s="1748"/>
      <c r="AT128" s="1748"/>
      <c r="AU128" s="1748"/>
      <c r="AV128" s="1748"/>
      <c r="AW128" s="1748"/>
      <c r="AX128" s="1749"/>
      <c r="AY128" s="1489"/>
      <c r="AZ128" s="1527"/>
      <c r="BA128" s="1489"/>
    </row>
    <row r="129" spans="1:53" ht="90.95" hidden="1" customHeight="1">
      <c r="A129" s="72" t="str">
        <f ca="1">IF(TABLEAU!$D$129="#DEPASSE#",CONCATENATE("#",TABLEAU!$B$129,"#"),TABLEAU!$B$129)</f>
        <v/>
      </c>
      <c r="B129" s="1018" t="str">
        <f ca="1">SUBSTITUTE(SUBSTITUTE(SUBSTITUTE(SUBSTITUTE(IF(DATE.RDV.TV=TABLEAU!$K$3,TABLEAU!$B$56,IF(DATE.RDV.TV="MARDI",TABLEAU!$B$60,IF(DATE.RDV.TV="MERCREDI",TABLEAU!$B$64,IF(DATE.RDV.TV="JEUDI",TABLEAU!$B$68,IF(DATE.RDV.TV="VENDREDI",TABLEAU!$B$72,IF(DATE.RDV.TV="SAMEDI",TABLEAU!$B$76,IF(DATE.RDV.TV="DIMANCHE",TABLEAU!$B$80))))))),"&amp; #","&amp; "),"] &amp; D","]# &amp; #D"),"]#D","]# &amp; #D"),"&amp; D"," &amp; #D")</f>
        <v/>
      </c>
      <c r="C129" s="1019"/>
      <c r="D129" s="1020" t="str">
        <f ca="1">SUBSTITUTE(IF(DATE.RDV.TV=TABLEAU!$K$3,TABLEAU!$AJ$56,IF(DATE.RDV.TV="MARDI",TABLEAU!$AJ$60,IF(DATE.RDV.TV="MERCREDI",TABLEAU!$AJ$64,IF(DATE.RDV.TV="JEUDI",TABLEAU!$AJ$68,IF(DATE.RDV.TV="VENDREDI",TABLEAU!$AJ$72,IF(DATE.RDV.TV="SAMEDI",TABLEAU!$AJ$76,IF(DATE.RDV.TV="DIMANCHE",TABLEAU!$AJ$80))))))),"&amp; #","&amp; ")</f>
        <v/>
      </c>
      <c r="E129" s="1021" t="str">
        <f ca="1">IF(TABLEAU!$B$129="","23:59",IF(DATE.RDV.TV=TABLEAU!$K$3,TABLEAU!$D$56,IF(DATE.RDV.TV="MARDI",TABLEAU!$D$60,IF(DATE.RDV.TV="MERCREDI",TABLEAU!$D$64,IF(DATE.RDV.TV="JEUDI",TABLEAU!$D$68,IF(DATE.RDV.TV="VENDREDI",TABLEAU!$D$72,IF(DATE.RDV.TV="SAMEDI",TABLEAU!$D$76,IF(DATE.RDV.TV="DIMANCHE",TABLEAU!$D$80))))))))</f>
        <v>23:59</v>
      </c>
      <c r="F129" s="110" t="str">
        <f ca="1">IF(TABLEAU!$B$129="","23:59",IF(DATE.RDV.TV=TABLEAU!$K$3,TABLEAU!$I$56,IF(DATE.RDV.TV="MARDI",TABLEAU!$I$60,IF(DATE.RDV.TV="MERCREDI",TABLEAU!$I$64,IF(DATE.RDV.TV="JEUDI",TABLEAU!$I$68,IF(DATE.RDV.TV="VENDREDI",TABLEAU!$I$72,IF(DATE.RDV.TV="SAMEDI",TABLEAU!$I$76,IF(DATE.RDV.TV="DIMANCHE",TABLEAU!$I$80))))))))</f>
        <v>23:59</v>
      </c>
      <c r="G129" s="1223" t="str">
        <f ca="1">SUBSTITUTE(IF(DATE.RDV.TV=TABLEAU!$K$3,TABLEAU!$B$56,IF(DATE.RDV.TV="MARDI",TABLEAU!$B$60,IF(DATE.RDV.TV="MERCREDI",TABLEAU!$B$64,IF(DATE.RDV.TV="JEUDI",TABLEAU!$B$68,IF(DATE.RDV.TV="VENDREDI",TABLEAU!$B$72,IF(DATE.RDV.TV="SAMEDI",TABLEAU!$B$76,IF(DATE.RDV.TV="DIMANCHE",TABLEAU!$B$80))))))),"&amp; #","&amp; ")</f>
        <v/>
      </c>
      <c r="H129" s="111"/>
      <c r="I129" s="719"/>
      <c r="J129" s="719"/>
      <c r="K129" s="719"/>
      <c r="L129" s="719"/>
      <c r="M129" s="719"/>
      <c r="N129" s="720"/>
      <c r="O129" s="721"/>
      <c r="P129" s="2535"/>
      <c r="Q129" s="2536"/>
      <c r="R129" s="2536"/>
      <c r="S129" s="2536"/>
      <c r="T129" s="2536"/>
      <c r="U129" s="2536"/>
      <c r="V129" s="2537"/>
      <c r="W129" s="1026"/>
      <c r="X129" s="1027"/>
      <c r="Y129" s="1028" t="str">
        <f ca="1">IF(TABLEAU!$B$129="","23:59",IF(DATE.RDV.TV=TABLEAU!$K$3,TABLEAU!$I$56,IF(DATE.RDV.TV="MARDI",TABLEAU!$I$60,IF(DATE.RDV.TV="MERCREDI",TABLEAU!$I$64,IF(DATE.RDV.TV="JEUDI",TABLEAU!$I$68,IF(DATE.RDV.TV="VENDREDI",TABLEAU!$I$72,IF(DATE.RDV.TV="SAMEDI",TABLEAU!$I$76,IF(DATE.RDV.TV="DIMANCHE",TABLEAU!$I$80))))))))</f>
        <v>23:59</v>
      </c>
      <c r="Z129" s="1606"/>
      <c r="AA129" s="1853"/>
      <c r="AB129" s="1853"/>
      <c r="AC129" s="1853"/>
      <c r="AD129" s="1853"/>
      <c r="AE129" s="1854"/>
      <c r="AF129" s="1599"/>
      <c r="AG129" s="1600"/>
      <c r="AH129" s="1600"/>
      <c r="AI129" s="1601"/>
      <c r="AJ129" s="1457"/>
      <c r="AK129" s="1457"/>
      <c r="AL129" s="1750"/>
      <c r="AM129" s="1751"/>
      <c r="AN129" s="1751"/>
      <c r="AO129" s="1751"/>
      <c r="AP129" s="1751"/>
      <c r="AQ129" s="1751"/>
      <c r="AR129" s="1751"/>
      <c r="AS129" s="1751"/>
      <c r="AT129" s="1751"/>
      <c r="AU129" s="1751"/>
      <c r="AV129" s="1751"/>
      <c r="AW129" s="1751"/>
      <c r="AX129" s="1752"/>
      <c r="AY129" s="1489"/>
      <c r="AZ129" s="1527"/>
      <c r="BA129" s="1489"/>
    </row>
    <row r="130" spans="1:53" ht="90.95" hidden="1" customHeight="1">
      <c r="A130" s="72" t="str">
        <f ca="1">IF(TABLEAU!$D$130="#DEPASSE#",CONCATENATE("#",TABLEAU!$B$130,"#"),TABLEAU!$B$130)</f>
        <v/>
      </c>
      <c r="B130" s="858" t="str">
        <f ca="1">SUBSTITUTE(SUBSTITUTE(SUBSTITUTE(SUBSTITUTE(IF(DATE.RDV.TV=TABLEAU!$K$3,TABLEAU!$B$57,IF(DATE.RDV.TV="MARDI",TABLEAU!$B$61,IF(DATE.RDV.TV="MERCREDI",TABLEAU!$B$65,IF(DATE.RDV.TV="JEUDI",TABLEAU!$B$69,IF(DATE.RDV.TV="VENDREDI",TABLEAU!$B$73,IF(DATE.RDV.TV="SAMEDI",TABLEAU!$B$77,IF(DATE.RDV.TV="DIMANCHE",TABLEAU!$B$81))))))),"&amp; #","&amp; "),"] &amp; D","]# &amp; #D"),"]#D","]# &amp; #D"),"&amp; D"," &amp; #D")</f>
        <v/>
      </c>
      <c r="C130" s="859"/>
      <c r="D130" s="860" t="str">
        <f ca="1">SUBSTITUTE(IF(DATE.RDV.TV=TABLEAU!$K$3,TABLEAU!$AJ$57,IF(DATE.RDV.TV="MARDI",TABLEAU!$AJ$61,IF(DATE.RDV.TV="MERCREDI",TABLEAU!$AJ$65,IF(DATE.RDV.TV="JEUDI",TABLEAU!$AJ$69,IF(DATE.RDV.TV="VENDREDI",TABLEAU!$AJ$73,IF(DATE.RDV.TV="SAMEDI",TABLEAU!$AJ$77,IF(DATE.RDV.TV="DIMANCHE",TABLEAU!$AJ$81))))))),"&amp; #","&amp; ")</f>
        <v/>
      </c>
      <c r="E130" s="861" t="str">
        <f ca="1">IF(TABLEAU!$B$130="","23:59",IF(DATE.RDV.TV=TABLEAU!$K$3,TABLEAU!$D$57,IF(DATE.RDV.TV="MARDI",TABLEAU!$D$61,IF(DATE.RDV.TV="MERCREDI",TABLEAU!$D$65,IF(DATE.RDV.TV="JEUDI",TABLEAU!$D$69,IF(DATE.RDV.TV="VENDREDI",TABLEAU!$D$73,IF(DATE.RDV.TV="SAMEDI",TABLEAU!$D$77,IF(DATE.RDV.TV="DIMANCHE",TABLEAU!$D$81))))))))</f>
        <v>23:59</v>
      </c>
      <c r="F130" s="110" t="str">
        <f ca="1">IF(TABLEAU!$B$130="","23:59",IF(DATE.RDV.TV=TABLEAU!$K$3,TABLEAU!$I$57,IF(DATE.RDV.TV="MARDI",TABLEAU!$I$61,IF(DATE.RDV.TV="MERCREDI",TABLEAU!$I$65,IF(DATE.RDV.TV="JEUDI",TABLEAU!$I$69,IF(DATE.RDV.TV="VENDREDI",TABLEAU!$I$73,IF(DATE.RDV.TV="SAMEDI",TABLEAU!$I$77,IF(DATE.RDV.TV="DIMANCHE",TABLEAU!$I$81))))))))</f>
        <v>23:59</v>
      </c>
      <c r="G130" s="1224" t="str">
        <f ca="1">SUBSTITUTE(IF(DATE.RDV.TV=TABLEAU!$K$3,TABLEAU!$B$57,IF(DATE.RDV.TV="MARDI",TABLEAU!$B$61,IF(DATE.RDV.TV="MERCREDI",TABLEAU!$B$65,IF(DATE.RDV.TV="JEUDI",TABLEAU!$B$69,IF(DATE.RDV.TV="VENDREDI",TABLEAU!$B$73,IF(DATE.RDV.TV="SAMEDI",TABLEAU!$B$77,IF(DATE.RDV.TV="DIMANCHE",TABLEAU!$B$81))))))),"&amp; #","&amp; ")</f>
        <v/>
      </c>
      <c r="H130" s="112"/>
      <c r="I130" s="112"/>
      <c r="J130" s="112"/>
      <c r="K130" s="112"/>
      <c r="L130" s="112"/>
      <c r="M130" s="112"/>
      <c r="N130" s="113"/>
      <c r="O130" s="114"/>
      <c r="P130" s="2535"/>
      <c r="Q130" s="2536"/>
      <c r="R130" s="2536"/>
      <c r="S130" s="2536"/>
      <c r="T130" s="2536"/>
      <c r="U130" s="2536"/>
      <c r="V130" s="2537"/>
      <c r="W130" s="831"/>
      <c r="X130" s="457"/>
      <c r="Y130" s="830" t="str">
        <f ca="1">IF(TABLEAU!$B$130="","23:59",IF(DATE.RDV.TV=TABLEAU!$K$3,TABLEAU!$I$57,IF(DATE.RDV.TV="MARDI",TABLEAU!$I$61,IF(DATE.RDV.TV="MERCREDI",TABLEAU!$I$65,IF(DATE.RDV.TV="JEUDI",TABLEAU!$I$69,IF(DATE.RDV.TV="VENDREDI",TABLEAU!$I$73,IF(DATE.RDV.TV="SAMEDI",TABLEAU!$I$77,IF(DATE.RDV.TV="DIMANCHE",TABLEAU!$I$81))))))))</f>
        <v>23:59</v>
      </c>
      <c r="Z130" s="1606"/>
      <c r="AA130" s="1853"/>
      <c r="AB130" s="1853"/>
      <c r="AC130" s="1853"/>
      <c r="AD130" s="1853"/>
      <c r="AE130" s="1854"/>
      <c r="AF130" s="1599"/>
      <c r="AG130" s="1600"/>
      <c r="AH130" s="1600"/>
      <c r="AI130" s="1601"/>
      <c r="AJ130" s="1457"/>
      <c r="AK130" s="1457"/>
      <c r="AL130" s="1750"/>
      <c r="AM130" s="1751"/>
      <c r="AN130" s="1751"/>
      <c r="AO130" s="1751"/>
      <c r="AP130" s="1751"/>
      <c r="AQ130" s="1751"/>
      <c r="AR130" s="1751"/>
      <c r="AS130" s="1751"/>
      <c r="AT130" s="1751"/>
      <c r="AU130" s="1751"/>
      <c r="AV130" s="1751"/>
      <c r="AW130" s="1751"/>
      <c r="AX130" s="1752"/>
      <c r="AY130" s="1489"/>
      <c r="AZ130" s="1527"/>
      <c r="BA130" s="1489"/>
    </row>
    <row r="131" spans="1:53" ht="92.1" hidden="1" customHeight="1" thickBot="1">
      <c r="A131" s="72" t="str">
        <f ca="1">IF(TABLEAU!$D$131="#DEPASSE#",CONCATENATE("#",TABLEAU!$B$131,"#"),TABLEAU!$B$131)</f>
        <v>#DANS 7H40 (A 20H40 SUR AB1): [SMACKDOWN]#</v>
      </c>
      <c r="B131" s="1022" t="str">
        <f ca="1">SUBSTITUTE(SUBSTITUTE(SUBSTITUTE(SUBSTITUTE(IF(DATE.RDV.TV=TABLEAU!$K$3,TABLEAU!$B$58,IF(DATE.RDV.TV="MARDI",TABLEAU!$B$62,IF(DATE.RDV.TV="MERCREDI",TABLEAU!$B$66,IF(DATE.RDV.TV="JEUDI",TABLEAU!$B$70,IF(DATE.RDV.TV="VENDREDI",TABLEAU!$B$74,IF(DATE.RDV.TV="SAMEDI",TABLEAU!$B$78,IF(DATE.RDV.TV="DIMANCHE",TABLEAU!$B$82))))))),"&amp; #","&amp; "),"] &amp; D","]# &amp; #D"),"]#D","]# &amp; #D"),"&amp; D"," &amp; #D")</f>
        <v>#DANS 7H40 (A 20H40 SUR AB1): [SMACKDOWN]#</v>
      </c>
      <c r="C131" s="1023"/>
      <c r="D131" s="1024" t="str">
        <f ca="1">SUBSTITUTE(IF(DATE.RDV.TV=TABLEAU!$K$3,TABLEAU!$AJ$58,IF(DATE.RDV.TV="MARDI",TABLEAU!$AJ$62,IF(DATE.RDV.TV="MERCREDI",TABLEAU!$AJ$66,IF(DATE.RDV.TV="JEUDI",TABLEAU!$AJ$70,IF(DATE.RDV.TV="VENDREDI",TABLEAU!$AJ$74,IF(DATE.RDV.TV="SAMEDI",TABLEAU!$AJ$78,IF(DATE.RDV.TV="DIMANCHE",TABLEAU!$AJ$82))))))),"&amp; #","&amp; ")</f>
        <v/>
      </c>
      <c r="E131" s="1025">
        <f ca="1">IF(TABLEAU!$B$131="","23:59",IF(DATE.RDV.TV=TABLEAU!$K$3,TABLEAU!$D$58,IF(DATE.RDV.TV="MARDI",TABLEAU!$D$62,IF(DATE.RDV.TV="MERCREDI",TABLEAU!$D$66,IF(DATE.RDV.TV="JEUDI",TABLEAU!$D$70,IF(DATE.RDV.TV="VENDREDI",TABLEAU!$D$74,IF(DATE.RDV.TV="SAMEDI",TABLEAU!$D$78,IF(DATE.RDV.TV="DIMANCHE",TABLEAU!$D$82))))))))</f>
        <v>0.86111111111111116</v>
      </c>
      <c r="F131" s="110">
        <f ca="1">IF(TABLEAU!$B$131="","23:59",IF(DATE.RDV.TV=TABLEAU!$K$3,TABLEAU!$I$58,IF(DATE.RDV.TV="MARDI",TABLEAU!$I$62,IF(DATE.RDV.TV="MERCREDI",TABLEAU!$I$66,IF(DATE.RDV.TV="JEUDI",TABLEAU!$I$70,IF(DATE.RDV.TV="VENDREDI",TABLEAU!$I$74,IF(DATE.RDV.TV="SAMEDI",TABLEAU!$I$78,IF(DATE.RDV.TV="DIMANCHE",TABLEAU!$I$82))))))))</f>
        <v>0.31944444444444453</v>
      </c>
      <c r="G131" s="1223" t="str">
        <f ca="1">SUBSTITUTE(IF(DATE.RDV.TV=TABLEAU!$K$3,TABLEAU!$B$58,IF(DATE.RDV.TV="MARDI",TABLEAU!$B$62,IF(DATE.RDV.TV="MERCREDI",TABLEAU!$B$66,IF(DATE.RDV.TV="JEUDI",TABLEAU!$B$70,IF(DATE.RDV.TV="VENDREDI",TABLEAU!$B$74,IF(DATE.RDV.TV="SAMEDI",TABLEAU!$B$78,IF(DATE.RDV.TV="DIMANCHE",TABLEAU!$B$82))))))),"&amp; #","&amp; ")</f>
        <v>#DANS 7H40 (A 20H40 SUR AB1): [SMACKDOWN]#</v>
      </c>
      <c r="H131" s="111"/>
      <c r="I131" s="719"/>
      <c r="J131" s="719"/>
      <c r="K131" s="719"/>
      <c r="L131" s="719"/>
      <c r="M131" s="719"/>
      <c r="N131" s="720"/>
      <c r="O131" s="721"/>
      <c r="P131" s="2538"/>
      <c r="Q131" s="2539"/>
      <c r="R131" s="2539"/>
      <c r="S131" s="2539"/>
      <c r="T131" s="2539"/>
      <c r="U131" s="2539"/>
      <c r="V131" s="2540"/>
      <c r="W131" s="1029"/>
      <c r="X131" s="1027"/>
      <c r="Y131" s="1028">
        <f ca="1">IF(TABLEAU!$B$131="","23:59",IF(DATE.RDV.TV=TABLEAU!$K$3,TABLEAU!$I$58,IF(DATE.RDV.TV="MARDI",TABLEAU!$I$62,IF(DATE.RDV.TV="MERCREDI",TABLEAU!$I$66,IF(DATE.RDV.TV="JEUDI",TABLEAU!$I$70,IF(DATE.RDV.TV="VENDREDI",TABLEAU!$I$74,IF(DATE.RDV.TV="SAMEDI",TABLEAU!$I$78,IF(DATE.RDV.TV="DIMANCHE",TABLEAU!$I$82))))))))</f>
        <v>0.31944444444444453</v>
      </c>
      <c r="Z131" s="1606"/>
      <c r="AA131" s="1853"/>
      <c r="AB131" s="1853"/>
      <c r="AC131" s="1853"/>
      <c r="AD131" s="1853"/>
      <c r="AE131" s="1854"/>
      <c r="AF131" s="1602"/>
      <c r="AG131" s="1603"/>
      <c r="AH131" s="1603"/>
      <c r="AI131" s="1604"/>
      <c r="AJ131" s="1458"/>
      <c r="AK131" s="1458"/>
      <c r="AL131" s="1753"/>
      <c r="AM131" s="1754"/>
      <c r="AN131" s="1754"/>
      <c r="AO131" s="1754"/>
      <c r="AP131" s="1754"/>
      <c r="AQ131" s="1754"/>
      <c r="AR131" s="1754"/>
      <c r="AS131" s="1754"/>
      <c r="AT131" s="1754"/>
      <c r="AU131" s="1754"/>
      <c r="AV131" s="1754"/>
      <c r="AW131" s="1754"/>
      <c r="AX131" s="1755"/>
      <c r="AY131" s="1489"/>
      <c r="AZ131" s="1527"/>
      <c r="BA131" s="1489"/>
    </row>
    <row r="132" spans="1:53" ht="33" customHeight="1" thickTop="1">
      <c r="A132" s="430">
        <f>HEURE.L1</f>
        <v>0.86458333333333337</v>
      </c>
      <c r="B132" s="2414" t="str">
        <f ca="1">UPPER(SUBSTITUTE(SUBSTITUTE(SUBSTITUTE(SUBSTITUTE(SUBSTITUTE(SUBSTITUTE(SUBSTITUTE(SUBSTITUTE(SUBSTITUTE(SUBSTITUTE(SUBSTITUTE(SUBSTITUTE(SUBSTITUTE(SUBSTITUTE(TABLEAU!$I$132,"#(",CONCATENATE("#",DANS.L1," (")),"# (",CONCATENATE("#",DANS.L1," (")),"##","#"),CONCATENATE(DANS.L1," (1ER")," (1ER"),"BUTS)","BUTS)#"),"JOURS (",CONCATENATE("JOURS= ",TABLEAU!$M$132," ~ (")),"=  ~ "," "),"JOURS (",CONCATENATE("JOURS= ",DIF.L1," (")),"DEMAIN (",CONCATENATE("DEMAIN= ",DIF.L1," ~ (")),"= #DEPASSE#",""),"'' (","'' ~ ("),"##","#"),CONCATENATE("(",CVB),"("),"~ ~","~"))</f>
        <v>#DANS 7H45 ~ (SAMEDI A 20H45): [CHAMPIONNAT DE FRANCE]#</v>
      </c>
      <c r="C132" s="2415"/>
      <c r="D132" s="2415"/>
      <c r="E132" s="2416"/>
      <c r="F132" s="1504" t="str">
        <f ca="1">IF(INT(DATE.L1)&lt;0,"#DEPASSE#",DANS.L1.VERIFIER)</f>
        <v>7:45</v>
      </c>
      <c r="G132" s="2245" t="s">
        <v>129</v>
      </c>
      <c r="H132" s="2246"/>
      <c r="I132" s="2527" t="str">
        <f ca="1">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IF(AND(DATE.L1=0,HEURE.L1.VERIFIER=HEURE.MAINTENANT.2),"#MATCH(S) DE L1 EN COURS#",IF(DANS.L1.VERIFIER="#DEPASSE#",CONCATENATE(DANS.L1," (",LOOKUP(WEEKDAY(JOUR.L1),SEMAINE)," ",DAY(JOUR.L1)," ",LOOKUP(MONTH(JOUR.L1),MOIS)," A ",HEURE.L1.VERIFIER,"): [CHAMPIONNAT]#"),SUBSTITUTE(SUBSTITUTE(SUBSTITUTE(SUBSTITUTE(SUBSTITUTE(SUBSTITUTE(SUBSTITUTE(SUBSTITUTE(SUBSTITUTE(SUBSTITUTE(SUBSTITUTE(CONCATENATE("#",DANS.L1," ~ (",LOOKUP(WEEKDAY(JOUR.L1),SEMAINE)," ",DAY(JOUR.L1)," ",LOOKUP(MONTH(JOUR.L1),MOIS)," A ",HEURE.L1.VERIFIER,")= [CHAMPIONNAT DE FRANCE]#"),[3]!GGG,DANS.JOUR.L1)," #1ER","= 1ER"),")= [","): ["),"&amp; DEPASSE","#DEPASSE"),"DANS.L1",DANS.L1),"#(",CONCATENATE("#",DANS.L1," (")),"] #","]= "),"##","#"),CONCATENATE(" ",YEAR(A)," ")," "),"DEP.L1",DEP.L1),"#DEPASSE  (",CONCATENATE(DANS.L1," (")))),"##","#"),"NOUVELLE SAISON","NOUVELLE SAISON DE L1"),"]} (","] ("),"DANS 1 SEMAINE","DANS 7 JOURS"),"JOURS (",CONCATENATE("JOURS= ",DIF.L1," ~ (")),CONCATENATE(DANS.L1,"#",DANS.L1),DANS.L1),"= #DEPASSE#",""),"= #DEPASSE#",""),"HIER (","HIER ~ ("),"1 (","1 ~ ("),"2 (","2 ~ ("),"3 (","3 ~ ("),"4 (","4 ~ ("),"5 (","5 ~ ("),"6 (","6 ~ ("),"7 (","7 ~ ("),"8 (","8 ~ ("),"9 (","9 ~ ("),"0 (","0 ~ ("),"'' ~ (",CONCATENATE("'' OU ",TABLEAU!$M$133," ~ (")),"'' OU  ~","'' ~ "),"] (","] ~ (")," 1 JOURS"," 1 JOUR"),CONCATENATE(" OU [",DATE.L1," JOURS] ~"),""),CONCATENATE(" OU [",DATE.L1," JOUR] ~"),""),"DANS 0 JOURS","DANS"),CONCATENATE("# (A ",HEURE.L1.VERIFIER,"): [LIGUE 1]"),""),"BUTS)","BUTS)#"),"##","#"),"DEMAIN (",CONCATENATE(DANS.L1," (")),"{NOUVELLE SAISON DE L1}","[NOUVELLE SAISON DE CHAMPIONNAT]"),AN.4,""),CVB,CONCATENATE(LOOKUP(WEEKDAY(JOUR.L1),SEMAINE)," ")))</f>
        <v>#DANS 7H45 ~ (SAMEDI A 20H45): [CHAMPIONNAT DE FRANCE]#</v>
      </c>
      <c r="J132" s="2528"/>
      <c r="K132" s="2528"/>
      <c r="L132" s="2529"/>
      <c r="M132" s="2530" t="str">
        <f ca="1">UPPER(IF(INT(TABLEAU!$O$133)&lt;32,"",SUBSTITUTE(SUBSTITUTE(SUBSTITUTE(SUBSTITUTE(SUBSTITUTE(SUBSTITUTE(SUBSTITUTE(SUBSTITUTE(SUBSTITUTE(SUBSTITUTE(CONCATENATE("[",DATEDIF(NOW(),JOUR.L1,"Y")&amp;" ANS &amp; "&amp;DATEDIF(NOW(),JOUR.L1,"YM")&amp;" MOIS &amp; "&amp;DATEDIF(NOW(),JOUR.L1,"MD")&amp;" JOURS]")," 0 MOIS","")," , ET ",", "),"[0 ANS &amp; ","[")," &amp; 0 JOURS",""),"0 ANS , ",""),"[&amp; ","[")," &amp; &amp; "," &amp; ")," 1 JOURS"," 1 JOUR"),"[1 ANS","[1 AN")," &amp;]","]")))</f>
        <v/>
      </c>
      <c r="N132" s="2531"/>
      <c r="O132" s="1505">
        <f ca="1">INT(DATE.L1)</f>
        <v>0</v>
      </c>
      <c r="P132" s="2515" t="str">
        <f ca="1">SUBSTITUTE(SUBSTITUTE(SUBSTITUTE(SUBSTITUTE(SUBSTITUTE(SUBSTITUTE(SUBSTITUTE(SUBSTITUTE(SUBSTITUTE(SUBSTITUTE(SUBSTITUTE(SUBSTITUTE(SUBSTITUTE(SUBSTITUTE(SUBSTITUTE(SUBSTITUTE(SUBSTITUTE(TABLEAU!$AN$1,CONCATENATE(" &amp; ",TABLEAU!$AM$15),""),"#DEPASSE= &amp; #DEPASSE","#DEPASSE")," ~)",""),"( ","("),"##","# &amp; #"),CONCATENATE(DATE.RDV.TV," A "),"A "),CONCATENATE(DAY(A)," ",LOOKUP(MONTH(A),MOIS)," "),""),"EN 1 VS 8","EN 1/8"),"EN 1 VS 4","EN 1/4"),"EN 1 VS 2","EN 1/2"),CONCATENATE(DATE.RDV.TV," A "),"A "),CONCATENATE(" ",YEAR(A)),""),"]#D","]# &amp; #D"),"COURS#DANS","COURS# &amp; #DANS"),"]#COURSE","]# &amp; #COURSE"),"#DEPASSE#MATCH","#MATCH"),"]#M","]# &amp; #M")</f>
        <v/>
      </c>
      <c r="Q132" s="2516"/>
      <c r="R132" s="2516"/>
      <c r="S132" s="2516"/>
      <c r="T132" s="2516"/>
      <c r="U132" s="2516"/>
      <c r="V132" s="2517"/>
      <c r="W132" s="1621"/>
      <c r="X132" s="1622"/>
      <c r="Y132" s="1622"/>
      <c r="Z132" s="1623"/>
      <c r="AA132" s="1803"/>
      <c r="AB132" s="1804"/>
      <c r="AC132" s="1804"/>
      <c r="AD132" s="1804"/>
      <c r="AE132" s="1805"/>
      <c r="AF132" s="1702" t="str">
        <f ca="1">UPPER(SUBSTITUTE(SUBSTITUTE(SUBSTITUTE(SUBSTITUTE(SUBSTITUTE(SUBSTITUTE(SUBSTITUTE(SUBSTITUTE(TRIM(SUBSTITUTE(IF(TABLEAU!$AL$54=0,"",IF(TABLEAU!$AL$54=1,CONCATENATE("#1 PROG EST DEPASSE= ",TABLEAU!$AC$58,TABLEAU!$AC$62,TABLEAU!$AC$66,TABLEAU!$AC$70,TABLEAU!$AC$74,TABLEAU!$AC$78,TABLEAU!$AC$82),CONCATENATE("#",TABLEAU!$AL$54," PROG SONT DEPASSE= ",TABLEAU!$AC$58,TABLEAU!$AC$62,TABLEAU!$AC$66,TABLEAU!$AC$70,TABLEAU!$AC$74,TABLEAU!$AC$78,TABLEAU!$AC$82))),"= #DEPASSE","")),"##","# &amp; #"),"#1 PROG EST DEPASSE= 00",""),"#&amp; #","# &amp; #"),"# &amp; # &amp; #","# &amp; #"),"# #ALLEZ L'OM#","#"),CONCATENATE(TABLEAU!$AM$1," &amp; ",TABLEAU!$B$33),TABLEAU!$B$33),"DEPASSE= #DEPASSE","DEPASSE"),CONCATENATE("(",DATE.RDV.TV,"A"),CONCATENATE("(",DATE.RDV.TV," A")))</f>
        <v/>
      </c>
      <c r="AG132" s="1703"/>
      <c r="AH132" s="1703"/>
      <c r="AI132" s="1704"/>
      <c r="AJ132" s="825"/>
      <c r="AK132" s="825"/>
      <c r="AL132" s="1717" t="str">
        <f ca="1">IF(DATE.DEPASSE&gt;0,TABLEAU!$B$33,"")</f>
        <v/>
      </c>
      <c r="AM132" s="1718"/>
      <c r="AN132" s="1718"/>
      <c r="AO132" s="1718"/>
      <c r="AP132" s="1718"/>
      <c r="AQ132" s="1718"/>
      <c r="AR132" s="1718"/>
      <c r="AS132" s="1718"/>
      <c r="AT132" s="1718"/>
      <c r="AU132" s="1718"/>
      <c r="AV132" s="1718"/>
      <c r="AW132" s="1718"/>
      <c r="AX132" s="1719"/>
      <c r="AY132" s="1489"/>
      <c r="AZ132" s="1762"/>
      <c r="BA132" s="1764"/>
    </row>
    <row r="133" spans="1:53" ht="33" customHeight="1">
      <c r="A133" s="431" t="str">
        <f>HEURE.F1</f>
        <v>17:00</v>
      </c>
      <c r="B133" s="1876" t="str">
        <f ca="1">UPPER(SUBSTITUTE(SUBSTITUTE(SUBSTITUTE(SUBSTITUTE(SUBSTITUTE(SUBSTITUTE(SUBSTITUTE(SUBSTITUTE(SUBSTITUTE(SUBSTITUTE(SUBSTITUTE(SUBSTITUTE(SUBSTITUTE(SUBSTITUTE(TABLEAU!$I$133,"#(",CONCATENATE("#",DANS.GP," (")),"# (",CONCATENATE("#",DANS.GP," (")),"##","#"),"HIER","DEPASSE DEPUIS HIER"),CONCATENATE(" ",YEAR(A)),""),CONCATENATE("(",CVB),"("),"DEPASSE DEPUIS DEPASSE","DEPASSE"),"JOURS (",CONCATENATE("JOURS= ",TABLEAU!$M$133," ~ (")),"=  ~ "," "),"JOURS (","JOURS= ("),"JOURS (",CONCATENATE("JOURS= ",DIF.GP," (")),"DEMAIN (",CONCATENATE("DEMAIN= ",DIF.GP," ~ (")),"= #DEPASSE#",""),"'' (","'' ~ ("))</f>
        <v>#DEMAIN= ''28H00'' ~ (DIMANCHE 3 NOVEMBRE A 17H00): [GP DES USA]#</v>
      </c>
      <c r="C133" s="1877"/>
      <c r="D133" s="1877"/>
      <c r="E133" s="1878"/>
      <c r="F133" s="433" t="str">
        <f ca="1">IF(INT(DATE.GP)&lt;0,"#DEPASSE#",DANS.GP.VERIFIER)</f>
        <v/>
      </c>
      <c r="G133" s="1884" t="s">
        <v>122</v>
      </c>
      <c r="H133" s="1885"/>
      <c r="I133" s="1903" t="str">
        <f ca="1">TRIM(SUBSTITUTE(SUBSTITUTE(SUBSTITUTE(SUBSTITUTE(SUBSTITUTE(SUBSTITUTE(SUBSTITUTE(SUBSTITUTE(SUBSTITUTE(SUBSTITUTE(SUBSTITUTE(SUBSTITUTE(SUBSTITUTE(SUBSTITUTE(SUBSTITUTE(SUBSTITUTE(SUBSTITUTE(SUBSTITUTE(SUBSTITUTE(SUBSTITUTE(SUBSTITUTE(SUBSTITUTE(SUBSTITUTE(SUBSTITUTE(SUBSTITUTE(SUBSTITUTE(IF(AND(DATE.GP=0,HEURE.GP.VERIFIER=HEURE.MAINTENANT.2),"#COURSE DE FORMULE 1 EN COURS#",IF(DANS.GP.VERIFIER="#DEPASSE#",CONCATENATE(DANS.GP," (",LOOKUP(WEEKDAY(JOUR.GP),SEMAINE)," ",DAY(JOUR.GP)," ",LOOKUP(MONTH(JOUR.GP),MOIS)," A ",HEURE.GP.VERIFIER,"): [FORMULE 1]#"),SUBSTITUTE(SUBSTITUTE(CONCATENATE(TABLEAU!$J$24,"#"),"DEP.GP",DEP.GP),"#DEPASSE  (",CONCATENATE(DANS.GP," (")))),"DANS 1 SEMAINE","DANS 7 JOURS"),"US A","USA"),"JOURS (",CONCATENATE("JOURS= ",DIF.GP," ~ (")),CONCATENATE(DANS.GP,"#",DANS.GP),DANS.GP),"= #DEPASSE#",""),"HIER (","HIER ~ ("),"1 (","1 ~ ("),"2 (","2 ~ ("),"3 (","3 ~ ("),"4 (","4 ~ ("),"5 (","5 ~ ("),"6 (","6 ~ ("),"7 (","7 ~ ("),"8 (","8 ~ ("),"9 (","9 ~ ("),"0 (","0 ~ ("),"'' ~ (",CONCATENATE("'' OU ",TABLEAU!$M$135," ~ (")),"'' OU  ~","'' ~ "),"] (","] ~ (")," 1 JOURS"," 1 JOUR"),CONCATENATE(" OU [",DATE.GP," JOURS] ~"),""),CONCATENATE(" OU [",DATE.GP," JOUR] ~"),""),"DANS 0 JOURS","DANS"),CONCATENATE(YEAR(A)," "),""),AN.4,""),"##","#"))</f>
        <v>#DEMAIN= ''28H00'' ~ (DIMANCHE 3 NOVEMBRE A 17H00): [GP DES USA]#</v>
      </c>
      <c r="J133" s="1904"/>
      <c r="K133" s="1904"/>
      <c r="L133" s="1905"/>
      <c r="M133" s="2195" t="str">
        <f ca="1">UPPER(IF(INT(TABLEAU!$O$135)&lt;32,"",SUBSTITUTE(SUBSTITUTE(SUBSTITUTE(SUBSTITUTE(SUBSTITUTE(SUBSTITUTE(SUBSTITUTE(SUBSTITUTE(SUBSTITUTE(SUBSTITUTE(CONCATENATE("[",DATEDIF(NOW(),JOUR.GP,"Y")&amp;" ANS &amp; "&amp;DATEDIF(NOW(),JOUR.GP,"YM")&amp;" MOIS &amp; "&amp;DATEDIF(NOW(),JOUR.GP,"MD")&amp;" JOURS]")," 0 MOIS","")," , ET ",", "),"[0 ANS &amp; ","[")," &amp; 0 JOURS",""),"0 ANS , ",""),"[&amp; ","[")," &amp; &amp; "," &amp; ")," 1 JOURS"," 1 JOUR"),"[1 ANS","[1 AN")," &amp;]","]")))</f>
        <v/>
      </c>
      <c r="N133" s="2196"/>
      <c r="O133" s="779">
        <f ca="1">INT(DATE.GP)</f>
        <v>1</v>
      </c>
      <c r="P133" s="2518"/>
      <c r="Q133" s="2519"/>
      <c r="R133" s="2519"/>
      <c r="S133" s="2519"/>
      <c r="T133" s="2519"/>
      <c r="U133" s="2519"/>
      <c r="V133" s="2520"/>
      <c r="W133" s="1624"/>
      <c r="X133" s="1625"/>
      <c r="Y133" s="1625"/>
      <c r="Z133" s="1626"/>
      <c r="AA133" s="1806"/>
      <c r="AB133" s="1807"/>
      <c r="AC133" s="1807"/>
      <c r="AD133" s="1807"/>
      <c r="AE133" s="1808"/>
      <c r="AF133" s="1705"/>
      <c r="AG133" s="1706"/>
      <c r="AH133" s="1706"/>
      <c r="AI133" s="1707"/>
      <c r="AJ133" s="826"/>
      <c r="AK133" s="826"/>
      <c r="AL133" s="1720"/>
      <c r="AM133" s="1721"/>
      <c r="AN133" s="1721"/>
      <c r="AO133" s="1721"/>
      <c r="AP133" s="1721"/>
      <c r="AQ133" s="1721"/>
      <c r="AR133" s="1721"/>
      <c r="AS133" s="1721"/>
      <c r="AT133" s="1721"/>
      <c r="AU133" s="1721"/>
      <c r="AV133" s="1721"/>
      <c r="AW133" s="1721"/>
      <c r="AX133" s="1722"/>
      <c r="AY133" s="1489"/>
      <c r="AZ133" s="1762"/>
      <c r="BA133" s="1764"/>
    </row>
    <row r="134" spans="1:53" ht="33" customHeight="1">
      <c r="A134" s="431">
        <f>[4]TABLEAU!$D$14</f>
        <v>0.33333333333333331</v>
      </c>
      <c r="B134" s="1876" t="str">
        <f ca="1">TABLEAU!$I$134</f>
        <v>#DANS 3 JOURS= ''67H00'' ~ (MARDI 5 NOVEMBRE A 8H00): [COUPE OEUF]= 0,48 EUROS RESTERA: 176,29 EUROS#</v>
      </c>
      <c r="C134" s="1877"/>
      <c r="D134" s="1877"/>
      <c r="E134" s="1878"/>
      <c r="F134" s="433">
        <f ca="1">IF([4]!DATE&lt;0,"#DEPASSE#",IF([4]!DPASC&lt;&gt;"","#DEPASSE#",[4]!DATE))</f>
        <v>3</v>
      </c>
      <c r="G134" s="1884" t="s">
        <v>116</v>
      </c>
      <c r="H134" s="1885"/>
      <c r="I134" s="1903" t="str">
        <f ca="1">SUBSTITUTE(IF(SUM([4]!ENVIE)=0,"",IF(PROCHAIN.1=TABLEAU!$AL$161,TABLEAU!$B$49,IF(PROCHAIN.2=TABLEAU!$AL$161,TABLEAU!$B$50,IF(PROCHAIN.3=TABLEAU!$AL$161,TABLEAU!$B$51,IF(PROCHAIN.4=TABLEAU!$AL$161,TABLEAU!$B$52,IF(PROCHAIN.5=TABLEAU!$AL$161,TABLEAU!$B$53)))))),"JOURS (",CONCATENATE("JOURS= ",HEURE.ENVIE.1," ~ ("))</f>
        <v>#DANS 3 JOURS= ''67H00'' ~ (MARDI 5 NOVEMBRE A 8H00): [COUPE OEUF]= 0,48 EUROS RESTERA: 176,29 EUROS#</v>
      </c>
      <c r="J134" s="1904"/>
      <c r="K134" s="1904"/>
      <c r="L134" s="1905"/>
      <c r="M134" s="2195" t="str">
        <f ca="1">UPPER(IF(SUM([4]!ENVIE)=0,"",IF(INT(TABLEAU!$O$134)&lt;32,"",SUBSTITUTE(SUBSTITUTE(SUBSTITUTE(SUBSTITUTE(SUBSTITUTE(SUBSTITUTE(SUBSTITUTE(SUBSTITUTE(SUBSTITUTE(SUBSTITUTE(CONCATENATE("[",DATEDIF(NOW(),[4]!PROCHAIN.1,"Y")&amp;" ANS &amp; "&amp;DATEDIF(NOW(),[4]!PROCHAIN.1,"YM")&amp;" MOIS &amp; "&amp;DATEDIF(NOW(),[4]!PROCHAIN.1,"MD")&amp;" JOURS]")," 0 MOIS","")," , ET ",", "),"[0 ANS &amp; ","[")," &amp; 0 JOURS",""),"0 ANS , ",""),"[&amp; ","[")," &amp; &amp; "," &amp; ")," 1 JOURS"," 1 JOUR"),"[1 ANS","[1 AN")," &amp;]","]"))))</f>
        <v/>
      </c>
      <c r="N134" s="2196"/>
      <c r="O134" s="779">
        <f ca="1">IF(SUM([4]!ENVIE)=0,"",IF([4]!DPASC&lt;&gt;"",0,INT([4]!DATE)))</f>
        <v>3</v>
      </c>
      <c r="P134" s="2518"/>
      <c r="Q134" s="2519"/>
      <c r="R134" s="2519"/>
      <c r="S134" s="2519"/>
      <c r="T134" s="2519"/>
      <c r="U134" s="2519"/>
      <c r="V134" s="2520"/>
      <c r="W134" s="1624"/>
      <c r="X134" s="1625"/>
      <c r="Y134" s="1625"/>
      <c r="Z134" s="1626"/>
      <c r="AA134" s="1806"/>
      <c r="AB134" s="1807"/>
      <c r="AC134" s="1807"/>
      <c r="AD134" s="1807"/>
      <c r="AE134" s="1808"/>
      <c r="AF134" s="1705"/>
      <c r="AG134" s="1706"/>
      <c r="AH134" s="1706"/>
      <c r="AI134" s="1707"/>
      <c r="AJ134" s="826"/>
      <c r="AK134" s="826"/>
      <c r="AL134" s="1720"/>
      <c r="AM134" s="1721"/>
      <c r="AN134" s="1721"/>
      <c r="AO134" s="1721"/>
      <c r="AP134" s="1721"/>
      <c r="AQ134" s="1721"/>
      <c r="AR134" s="1721"/>
      <c r="AS134" s="1721"/>
      <c r="AT134" s="1721"/>
      <c r="AU134" s="1721"/>
      <c r="AV134" s="1721"/>
      <c r="AW134" s="1721"/>
      <c r="AX134" s="1722"/>
      <c r="AY134" s="1489"/>
      <c r="AZ134" s="1762"/>
      <c r="BA134" s="1764"/>
    </row>
    <row r="135" spans="1:53" ht="33" customHeight="1">
      <c r="A135" s="431" t="str">
        <f>HEURE.CHAMPIONS.LEAGUE</f>
        <v>18:55</v>
      </c>
      <c r="B135" s="1876" t="str">
        <f ca="1">UPPER(TRIM(SUBSTITUTE(SUBSTITUTE(SUBSTITUTE(SUBSTITUTE(SUBSTITUTE(SUBSTITUTE(SUBSTITUTE(SUBSTITUTE(SUBSTITUTE(SUBSTITUTE(SUBSTITUTE(SUBSTITUTE(TABLEAU!$I$135,"#(",CONCATENATE("#",DANS.CHAMPIONS.LEAGUE," (")),"# (",CONCATENATE("#",DANS.CHAMPIONS.LEAGUE," (")),"##","#"),"AUJOURD'HUI",DANS.CHAMPIONS.LEAGUE),CONCATENATE("(",CVB),"("),"JOURS (",CONCATENATE("JOURS= ",TABLEAU!$M$135," ~ (")),"=  ~ "," "),"JOURS (","JOURS= ("),"JOURS (",CONCATENATE("JOURS= ",DIF.LDC," (")),"DEMAIN (",CONCATENATE("DEMAIN= ",DIF.LDC," ~ (")),"= #DEPASSE#",""),"'' (","'' ~ (")))</f>
        <v>#DANS 3 JOURS= ''77H55'' ~ (MARDI 5 NOVEMBRE A 18H55): [CHAMPION'S LEAGUE= (4°J): BARCELONE VS PRAGUE {F}]#</v>
      </c>
      <c r="C135" s="1877"/>
      <c r="D135" s="1877"/>
      <c r="E135" s="1878"/>
      <c r="F135" s="433" t="str">
        <f ca="1">IF(INT(DATE.LDC)&lt;0,"#DEPASSE#",DANS.LDC.VERIFIER)</f>
        <v/>
      </c>
      <c r="G135" s="1884" t="s">
        <v>130</v>
      </c>
      <c r="H135" s="1885"/>
      <c r="I135" s="1903" t="str">
        <f ca="1">IF([1]!BMW&lt;&gt;"",[1]!PHRASE.REDUITE,TRIM(SUBSTITUTE(SUBSTITUTE(SUBSTITUTE(SUBSTITUTE(SUBSTITUTE(SUBSTITUTE(SUBSTITUTE(SUBSTITUTE(SUBSTITUTE(SUBSTITUTE(SUBSTITUTE(SUBSTITUTE(SUBSTITUTE(SUBSTITUTE(SUBSTITUTE(SUBSTITUTE(SUBSTITUTE(SUBSTITUTE(SUBSTITUTE(SUBSTITUTE(SUBSTITUTE(SUBSTITUTE(SUBSTITUTE(SUBSTITUTE(SUBSTITUTE(SUBSTITUTE(IF(AND(DATE.CHAMPIONS.LEAGUE=0,HEURE.LDC.VERIFIER=HEURE.MAINTENANT.2),"#MATCH(S) DE LA CHAMPIONS.LEAGUE EN COURS#",IF(DANS.CHAMPIONS.LEAGUE.VERIFIER="#DEPASSE#",CONCATENATE(DANS.LDC," (",LOOKUP(WEEKDAY(JOUR.LDC),SEMAINE)," ",DAY(JOUR.LDC)," ",LOOKUP(MONTH(JOUR.LDC),MOIS)," A ",HEURE.LDC.VERIFIER,"): [LDC]#"),SUBSTITUTE(SUBSTITUTE(SUBSTITUTE(SUBSTITUTE(SUBSTITUTE(SUBSTITUTE(SUBSTITUTE(SUBSTITUTE([1]!PHRASE.30,"DANS.CHAMPIONS.LEAGUE",DANS.CHAMPIONS.LEAGUE),"##","#"),[1]!GGG,DANS.JOUR.CHAMPIONS.LEAGUE),"#(",CONCATENATE("#",DANS.CHAMPIONS.LEAGUE," (")),"#[DATE","= [DATE"),"DEP.CHAMPIONS.LEAGUE",DEP.CHAMPIONS.LEAGUE),"#DEPASSE  (",CONCATENATE(DANS.LDC," ("))," 2019-20]",CONCATENATE(" 2019-20= ",[1]DATES!$A$173)))),"= (#ATTENTION#)",""),"DANS 1 SEMAINE","DANS 7 JOURS"),"JOURS (",CONCATENATE("JOURS= ",DIF.LDC," ~ (")),CONCATENATE(DANS.LDC,"#",DANS.LDC),DANS.LDC),"DEMAIN (",CONCATENATE("DEMAIN= ",DIF.LDC," ~ (")),"= #DEPASSE#",""),"HIER (","HIER ~ ("),"1 (","1 ~ ("),"2 (","2 ~ ("),"3 (","3 ~ ("),"4 (","4 ~ ("),"5 (","5 ~ ("),"6 (","6 ~ ("),"7 (","7 ~ ("),"8 (","8 ~ ("),"9 (","9 ~ ("),"0 (","0 ~ ("),"'' ~ (",CONCATENATE("'' OU ",TABLEAU!$M$132," ~ (")),"'' OU  ~","'' ~ "),"] (","] ~ (")," 1 JOURS"," 1 JOUR"),CONCATENATE(" OU [",DATE.LDC," JOURS] ~"),""),CONCATENATE(" OU [",DATE.LDC," JOUR] ~"),""),"DANS 0 JOURS","DANS"),CONCATENATE(" ",MP),""),AN.4,"")))</f>
        <v>#DANS 3 JOURS= ''77H55'' ~ (MARDI 5 NOVEMBRE A 18H55): [CHAMPION'S LEAGUE= (4°J): BARCELONE VS PRAGUE {F}]#</v>
      </c>
      <c r="J135" s="1904"/>
      <c r="K135" s="1904"/>
      <c r="L135" s="1905"/>
      <c r="M135" s="2195" t="str">
        <f ca="1">UPPER(IF(INT(TABLEAU!$O$132)&lt;32,"",SUBSTITUTE(SUBSTITUTE(SUBSTITUTE(SUBSTITUTE(SUBSTITUTE(SUBSTITUTE(SUBSTITUTE(SUBSTITUTE(SUBSTITUTE(SUBSTITUTE(CONCATENATE("[",DATEDIF(NOW(),JOUR.LDC,"Y")&amp;" ANS &amp; "&amp;DATEDIF(NOW(),JOUR.LDC,"YM")&amp;" MOIS &amp; "&amp;DATEDIF(NOW(),JOUR.LDC,"MD")&amp;" JOURS]")," 0 MOIS","")," , ET ",", "),"[0 ANS &amp; ","[")," &amp; 0 JOURS",""),"0 ANS , ",""),"[&amp; ","[")," &amp; &amp; "," &amp; ")," 1 JOURS"," 1 JOUR"),"[1 ANS","[1 AN")," &amp;]","]")))</f>
        <v/>
      </c>
      <c r="N135" s="2196"/>
      <c r="O135" s="779">
        <f ca="1">INT(DATE.CHAMPIONS.LEAGUE)</f>
        <v>3</v>
      </c>
      <c r="P135" s="2518"/>
      <c r="Q135" s="2519"/>
      <c r="R135" s="2519"/>
      <c r="S135" s="2519"/>
      <c r="T135" s="2519"/>
      <c r="U135" s="2519"/>
      <c r="V135" s="2520"/>
      <c r="W135" s="1624"/>
      <c r="X135" s="1625"/>
      <c r="Y135" s="1625"/>
      <c r="Z135" s="1626"/>
      <c r="AA135" s="1806"/>
      <c r="AB135" s="1807"/>
      <c r="AC135" s="1807"/>
      <c r="AD135" s="1807"/>
      <c r="AE135" s="1808"/>
      <c r="AF135" s="1705"/>
      <c r="AG135" s="1706"/>
      <c r="AH135" s="1706"/>
      <c r="AI135" s="1707"/>
      <c r="AJ135" s="826"/>
      <c r="AK135" s="826"/>
      <c r="AL135" s="1720"/>
      <c r="AM135" s="1721"/>
      <c r="AN135" s="1721"/>
      <c r="AO135" s="1721"/>
      <c r="AP135" s="1721"/>
      <c r="AQ135" s="1721"/>
      <c r="AR135" s="1721"/>
      <c r="AS135" s="1721"/>
      <c r="AT135" s="1721"/>
      <c r="AU135" s="1721"/>
      <c r="AV135" s="1721"/>
      <c r="AW135" s="1721"/>
      <c r="AX135" s="1722"/>
      <c r="AY135" s="1489"/>
      <c r="AZ135" s="1762"/>
      <c r="BA135" s="1764"/>
    </row>
    <row r="136" spans="1:53" ht="33" customHeight="1">
      <c r="A136" s="431" t="str">
        <f>HEURE.LIGUE</f>
        <v>21:00</v>
      </c>
      <c r="B136" s="1876" t="str">
        <f ca="1">UPPER(TRIM(SUBSTITUTE(SUBSTITUTE(SUBSTITUTE(SUBSTITUTE(SUBSTITUTE(SUBSTITUTE(SUBSTITUTE(SUBSTITUTE(SUBSTITUTE(SUBSTITUTE(SUBSTITUTE(SUBSTITUTE(TABLEAU!$I$136,"#(",CONCATENATE("#",DANS.COUPE.LIGUE," (")),"# (",CONCATENATE("#",DANS.COUPE.LIGUE," (")),"##","#"),"#[",CONCATENATE("#",DANS.COUPE.LIGUE," (",LOOKUP(WEEKDAY(JOUR.COUPE.LIGUE),CALENDRIER)," ",DAY(JOUR.COUPE.LIGUE)," ",LOOKUP(MONTH(JOUR.COUPE.LIGUE),MOIS)," A ",SUBSTITUTE(TABLEAU!$D$5,":","H"),"): [")),"##","#"),CONCATENATE("(",CVB),"("),"JOURS (",CONCATENATE("JOURS= ",TABLEAU!$M$136," ~ (")),"=  ~ "," "),"JOURS (",CONCATENATE("JOURS= ",DIF.LIGUE," (")),"DEMAIN (",CONCATENATE("DEMAIN= ",DIF.LIGUE," ~ (")),"= #DEPASSE#",""),"'' (","'' ~ (")))</f>
        <v>#DANS 45 JOURS= ''1.088H00'' OU [1 MOIS &amp; 15 JOURS] ~ (MARDI 17 DECEMBRE A 21H00): [COUPE DE LA LIGUE= (MANQUE 16 EQUIPES)]#</v>
      </c>
      <c r="C136" s="1877"/>
      <c r="D136" s="1877"/>
      <c r="E136" s="1878"/>
      <c r="F136" s="433" t="str">
        <f ca="1">IF(INT(DATE.LIGUE)&lt;0,"#DEPASSE#",DANS.LIGUE.VERIFIER)</f>
        <v/>
      </c>
      <c r="G136" s="1884" t="s">
        <v>119</v>
      </c>
      <c r="H136" s="1885"/>
      <c r="I136" s="1903" t="str">
        <f ca="1">TRIM(SUBSTITUTE(SUBSTITUTE(SUBSTITUTE(SUBSTITUTE(SUBSTITUTE(SUBSTITUTE(SUBSTITUTE(SUBSTITUTE(SUBSTITUTE(SUBSTITUTE(SUBSTITUTE(SUBSTITUTE(SUBSTITUTE(SUBSTITUTE(SUBSTITUTE(SUBSTITUTE(SUBSTITUTE(SUBSTITUTE(SUBSTITUTE(SUBSTITUTE(SUBSTITUTE(SUBSTITUTE(SUBSTITUTE(SUBSTITUTE(IF(AND(DATE.LIGUE=0,HEURE.LIGUE.VERIFIER=HEURE.MAINTENANT.2),"#MATCH(S) DE LA COUPE DE LA LIGUE EN COURS#",IF(DANS.LIGUE.VERIFIER="#DEPASSE#",CONCATENATE(DANS.COUPE.LIGUE," (",LOOKUP(WEEKDAY(JOUR.COUPE.LIGUE),SEMAINE)," ",DAY(JOUR.COUPE.LIGUE)," ",LOOKUP(MONTH(JOUR.COUPE.LIGUE),MOIS)," A ",HEURE.LIGUE.VERIFIER,"): [COUPE DE LA LIGUE]#"),SUBSTITUTE(SUBSTITUTE(SUBSTITUTE(SUBSTITUTE(SUBSTITUTE(SUBSTITUTE(SUBSTITUTE(SUBSTITUTE([7]!PHRASE.30,CONCATENATE(NBA," "),""),"DANS.COUPE.LIGUE",DANS.COUPE.LIGUE),[7]!GGG,DANS.JOUR.LIGUE),"#(",CONCATENATE("#",DANS.COUPE.LIGUE," (")),"#[",CONCATENATE("#",DANS.COUPE.LIGUE," [")),"##","#"),"DEP.COUPE.LIGUE",DEP.COUPE.LIGUE),"#DEPASSE  (",CONCATENATE(DANS.COUPE.LIGUE," (")))),"DANS 1 SEMAINE","DANS 7 JOURS"),"JOURS (",CONCATENATE("JOURS= ",DIF.LIGUE," ~ (")),CONCATENATE(DANS.COUPE.LIGUE,"#",DANS.COUPE.LIGUE),DANS.COUPE.LIGUE),"= #DEPASSE#",""),"HIER (","HIER ~ ("),"1 (","1 ~ ("),"2 (","2 ~ ("),"3 (","3 ~ ("),"4 (","4 ~ ("),"5 (","5 ~ ("),"6 (","6 ~ ("),"7 (","7 ~ ("),"8 (","8 ~ ("),"9 (","9 ~ ("),"0 (","0 ~ ("),"'' ~ (",CONCATENATE("'' OU ",TABLEAU!$M$136," ~ (")),"'' OU  ~","'' ~ "),"] (","] ~ (")," 1 JOURS"," 1 JOUR"),CONCATENATE(" OU [",DATE.LIGUE," JOURS] ~"),""),CONCATENATE(" OU [",DATE.LIGUE," JOUR] ~"),""),"DANS 0 JOURS","DANS"),CONCATENATE(" ",MP),""),AN.4,""))</f>
        <v>#DANS 45 JOURS= ''1.088H00'' OU [1 MOIS &amp; 15 JOURS] ~ (MARDI 17 DECEMBRE A 21H00): [COUPE DE LA LIGUE= (MANQUE 16 EQUIPES)]#</v>
      </c>
      <c r="J136" s="1904"/>
      <c r="K136" s="1904"/>
      <c r="L136" s="1905"/>
      <c r="M136" s="2195" t="str">
        <f ca="1">UPPER(IF(INT(TABLEAU!$O$136)&lt;32,"",SUBSTITUTE(SUBSTITUTE(SUBSTITUTE(SUBSTITUTE(SUBSTITUTE(SUBSTITUTE(SUBSTITUTE(SUBSTITUTE(SUBSTITUTE(SUBSTITUTE(CONCATENATE("[",DATEDIF(NOW(),JOUR.COUPE.LIGUE,"Y")&amp;" ANS &amp; "&amp;DATEDIF(NOW(),JOUR.COUPE.LIGUE,"YM")&amp;" MOIS &amp; "&amp;DATEDIF(NOW(),JOUR.COUPE.LIGUE,"MD")&amp;" JOURS]")," 0 MOIS","")," , ET ",", "),"[0 ANS &amp; ","[")," &amp; 0 JOURS",""),"0 ANS , ",""),"[&amp; ","[")," &amp; &amp; "," &amp; ")," 1 JOURS"," 1 JOUR"),"[1 ANS","[1 AN")," &amp;]","]")))</f>
        <v>[1 MOIS &amp; 15 JOURS]</v>
      </c>
      <c r="N136" s="2196"/>
      <c r="O136" s="779">
        <f ca="1">INT(DATE.LIGUE)</f>
        <v>45</v>
      </c>
      <c r="P136" s="2518"/>
      <c r="Q136" s="2519"/>
      <c r="R136" s="2519"/>
      <c r="S136" s="2519"/>
      <c r="T136" s="2519"/>
      <c r="U136" s="2519"/>
      <c r="V136" s="2520"/>
      <c r="W136" s="1624"/>
      <c r="X136" s="1625"/>
      <c r="Y136" s="1625"/>
      <c r="Z136" s="1626"/>
      <c r="AA136" s="1806"/>
      <c r="AB136" s="1807"/>
      <c r="AC136" s="1807"/>
      <c r="AD136" s="1807"/>
      <c r="AE136" s="1808"/>
      <c r="AF136" s="1705"/>
      <c r="AG136" s="1706"/>
      <c r="AH136" s="1706"/>
      <c r="AI136" s="1707"/>
      <c r="AJ136" s="826"/>
      <c r="AK136" s="826"/>
      <c r="AL136" s="1720"/>
      <c r="AM136" s="1721"/>
      <c r="AN136" s="1721"/>
      <c r="AO136" s="1721"/>
      <c r="AP136" s="1721"/>
      <c r="AQ136" s="1721"/>
      <c r="AR136" s="1721"/>
      <c r="AS136" s="1721"/>
      <c r="AT136" s="1721"/>
      <c r="AU136" s="1721"/>
      <c r="AV136" s="1721"/>
      <c r="AW136" s="1721"/>
      <c r="AX136" s="1722"/>
      <c r="AY136" s="1489"/>
      <c r="AZ136" s="1762"/>
      <c r="BA136" s="1764"/>
    </row>
    <row r="137" spans="1:53" ht="33" customHeight="1">
      <c r="A137" s="431">
        <f>HEURE.FRANCE</f>
        <v>0.83333333333333337</v>
      </c>
      <c r="B137" s="1876" t="str">
        <f ca="1">UPPER(TRIM(SUBSTITUTE(SUBSTITUTE(SUBSTITUTE(SUBSTITUTE(SUBSTITUTE(SUBSTITUTE(SUBSTITUTE(SUBSTITUTE(SUBSTITUTE(SUBSTITUTE(SUBSTITUTE(SUBSTITUTE(TABLEAU!$I$137,"#(",CONCATENATE("#",DANS.COUPE.FRANCE," (")),"# (",CONCATENATE("#",DANS.COUPE.FRANCE," (")),"##","#"),"#[",CONCATENATE("#",DANS.COUPE.FRANCE," (",LOOKUP(WEEKDAY(JOUR.COUPE.FRANCE),CALENDRIER)," ",DAY(JOUR.COUPE.FRANCE)," ",LOOKUP(MONTH(JOUR.COUPE.FRANCE),MOIS)," A ",SUBSTITUTE(TABLEAU!$D$5,":","H"),"): [")),"##","#"),CONCATENATE("(",CVB),"("),"JOURS (",CONCATENATE("JOURS= ",TABLEAU!$M$137," ~ (")),"=  ~ "," "),"JOURS (",CONCATENATE("JOURS= ",DIF.FRANCE," (")),"DEMAIN (",CONCATENATE("DEMAIN= ",DIF.FRANCE," ~ (")),"= #DEPASSE#",""),"'' (","'' ~ (")))</f>
        <v>#DANS 94 JOURS= ''2.263H00'' OU [3 MOIS &amp; 2 JOURS] ~ (MARDI 4 FEVRIER 2020 A 20H00): [COUPE DE FRANCE= (MANQUE 16 EQUIPES)]#</v>
      </c>
      <c r="C137" s="1877"/>
      <c r="D137" s="1877"/>
      <c r="E137" s="1878"/>
      <c r="F137" s="433" t="str">
        <f ca="1">IF(INT(DATE.FRANCE)&lt;0,"#DEPASSE#",DANS.FRANCE.VERIFIER)</f>
        <v/>
      </c>
      <c r="G137" s="1884" t="s">
        <v>123</v>
      </c>
      <c r="H137" s="1885"/>
      <c r="I137" s="1903" t="str">
        <f ca="1">TRIM(SUBSTITUTE(SUBSTITUTE(SUBSTITUTE(SUBSTITUTE(SUBSTITUTE(SUBSTITUTE(SUBSTITUTE(SUBSTITUTE(SUBSTITUTE(SUBSTITUTE(SUBSTITUTE(SUBSTITUTE(SUBSTITUTE(SUBSTITUTE(SUBSTITUTE(SUBSTITUTE(SUBSTITUTE(SUBSTITUTE(SUBSTITUTE(SUBSTITUTE(SUBSTITUTE(SUBSTITUTE(SUBSTITUTE(SUBSTITUTE(IF(AND(DATE.FRANCE=0,HEURE.FRANCE.VERIFIER=HEURE.MAINTENANT.2),"#MATCH(S) DE LA COUPE DE FRANCE EN COURS#",IF(DANS.FRANCE.VERIFIER="#DEPASSE#",CONCATENATE(DANS.COUPE.FRANCE," (",LOOKUP(WEEKDAY(JOUR.COUPE.FRANCE),SEMAINE)," ",DAY(JOUR.COUPE.FRANCE)," ",LOOKUP(MONTH(JOUR.COUPE.FRANCE),MOIS)," A ",HEURE.FRANCE.VERIFIER,"): [COUPE DE FRANCE]#"),SUBSTITUTE(SUBSTITUTE(SUBSTITUTE(SUBSTITUTE(SUBSTITUTE(SUBSTITUTE(SUBSTITUTE(SUBSTITUTE([6]!PHRASE.30,CONCATENATE(NBA," "),""),"DANS.COUPE.FRANCE",DANS.COUPE.FRANCE),[6]!GGG,DANS.JOUR.FRANCE),"#(",CONCATENATE("#",DANS.COUPE.FRANCE," (")),"#[",CONCATENATE("#",DANS.COUPE.FRANCE," [")),"##","#"),"DEP.COUPE.FRANCE",DEP.COUPE.FRANCE),"#DEPASSE  (",CONCATENATE(DANS.COUPE.FRANCE," (")))),"DANS 1 SEMAINE","DANS 7 JOURS"),"JOURS (",CONCATENATE("JOURS= ",DIF.FRANCE," ~ (")),CONCATENATE(DANS.COUPE.FRANCE,"#",DANS.COUPE.FRANCE),DANS.COUPE.FRANCE),"= #DEPASSE#",""),"HIER (","HIER ~ ("),"1 (","1 ~ ("),"2 (","2 ~ ("),"3 (","3 ~ ("),"4 (","4 ~ ("),"5 (","5 ~ ("),"6 (","6 ~ ("),"7 (","7 ~ ("),"8 (","8 ~ ("),"9 (","9 ~ ("),"0 (","0 ~ ("),"'' ~ (",CONCATENATE("'' OU ",TABLEAU!$M$137," ~ (")),"'' OU  ~","'' ~ "),"] (","] ~ (")," 1 JOURS"," 1 JOUR"),CONCATENATE(" OU [",DATE.FRANCE," JOURS] ~"),""),CONCATENATE(" OU [",DATE.FRANCE," JOUR] ~"),""),"DANS 0 JOURS","DANS"),CONCATENATE(" ",MP),""),AN.4,""))</f>
        <v>#DANS 94 JOURS= ''2.263H00'' OU [3 MOIS &amp; 2 JOURS] ~ (MARDI 4 FEVRIER 2020 A 20H00): [COUPE DE FRANCE= (MANQUE 16 EQUIPES)]#</v>
      </c>
      <c r="J137" s="1904"/>
      <c r="K137" s="1904"/>
      <c r="L137" s="1905"/>
      <c r="M137" s="2195" t="str">
        <f ca="1">UPPER(IF(INT(TABLEAU!$O$137)&lt;32,"",SUBSTITUTE(SUBSTITUTE(SUBSTITUTE(SUBSTITUTE(SUBSTITUTE(SUBSTITUTE(SUBSTITUTE(SUBSTITUTE(SUBSTITUTE(SUBSTITUTE(CONCATENATE("[",DATEDIF(NOW(),JOUR.COUPE.FRANCE,"Y")&amp;" ANS &amp; "&amp;DATEDIF(NOW(),JOUR.COUPE.FRANCE,"YM")&amp;" MOIS &amp; "&amp;DATEDIF(NOW(),JOUR.COUPE.FRANCE,"MD")&amp;" JOURS]")," 0 MOIS","")," , ET ",", "),"[0 ANS &amp; ","[")," &amp; 0 JOURS",""),"0 ANS , ",""),"[&amp; ","[")," &amp; &amp; "," &amp; ")," 1 JOURS"," 1 JOUR"),"[1 ANS","[1 AN")," &amp;]","]")))</f>
        <v>[3 MOIS &amp; 2 JOURS]</v>
      </c>
      <c r="N137" s="2196"/>
      <c r="O137" s="779">
        <f ca="1">INT(DATE.FRANCE)</f>
        <v>94</v>
      </c>
      <c r="P137" s="2518"/>
      <c r="Q137" s="2519"/>
      <c r="R137" s="2519"/>
      <c r="S137" s="2519"/>
      <c r="T137" s="2519"/>
      <c r="U137" s="2519"/>
      <c r="V137" s="2520"/>
      <c r="W137" s="1624"/>
      <c r="X137" s="1625"/>
      <c r="Y137" s="1625"/>
      <c r="Z137" s="1626"/>
      <c r="AA137" s="1806"/>
      <c r="AB137" s="1807"/>
      <c r="AC137" s="1807"/>
      <c r="AD137" s="1807"/>
      <c r="AE137" s="1808"/>
      <c r="AF137" s="1705"/>
      <c r="AG137" s="1706"/>
      <c r="AH137" s="1706"/>
      <c r="AI137" s="1707"/>
      <c r="AJ137" s="826"/>
      <c r="AK137" s="826"/>
      <c r="AL137" s="1720"/>
      <c r="AM137" s="1721"/>
      <c r="AN137" s="1721"/>
      <c r="AO137" s="1721"/>
      <c r="AP137" s="1721"/>
      <c r="AQ137" s="1721"/>
      <c r="AR137" s="1721"/>
      <c r="AS137" s="1721"/>
      <c r="AT137" s="1721"/>
      <c r="AU137" s="1721"/>
      <c r="AV137" s="1721"/>
      <c r="AW137" s="1721"/>
      <c r="AX137" s="1722"/>
      <c r="AY137" s="1489"/>
      <c r="AZ137" s="1762"/>
      <c r="BA137" s="1764"/>
    </row>
    <row r="138" spans="1:53" ht="33" customHeight="1">
      <c r="A138" s="431">
        <f>HEURE.UEFA</f>
        <v>0.78819444444444453</v>
      </c>
      <c r="B138" s="1876" t="str">
        <f ca="1">UPPER(TRIM(SUBSTITUTE(SUBSTITUTE(SUBSTITUTE(SUBSTITUTE(SUBSTITUTE(SUBSTITUTE(SUBSTITUTE(SUBSTITUTE(SUBSTITUTE(SUBSTITUTE(TABLEAU!$I$138,"#(",CONCATENATE("#",DANS.UEFA," (")),"# (",CONCATENATE("#",DANS.UEFA," (")),"##","#"),CONCATENATE("(",CVB),"("),"JOURS (",CONCATENATE("JOURS= ",TABLEAU!$M$138," ~ (")),"=  ~ "," "),"JOURS (",CONCATENATE("JOURS= ",DIF.UEFA," (")),"DEMAIN (",CONCATENATE("DEMAIN= ",DIF.UEFA," ~ (")),"= #DEPASSE#",""),"'' (","'' ~ (")))</f>
        <v>#DANS 124 JOURS= ''2.981H55'' OU [4 MOIS &amp; 3 JOURS] ~ (JEUDI 5 MARS 2020 A 18H55): [UEFA= (MANQUE 16 EQUIPES)]#</v>
      </c>
      <c r="C138" s="1877"/>
      <c r="D138" s="1877"/>
      <c r="E138" s="1878"/>
      <c r="F138" s="433" t="str">
        <f ca="1">IF(INT(DATE.UEFA)&lt;0,"#DEPASSE#",DANS.UEFA.VERIFIER)</f>
        <v/>
      </c>
      <c r="G138" s="1884" t="s">
        <v>121</v>
      </c>
      <c r="H138" s="1885"/>
      <c r="I138" s="1903" t="str">
        <f ca="1">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IF(AND(DATE.UEFA=0,HEURE.UEFA.VERIFIER=HEURE.MAINTENANT.2),"#MATCH(S) DE LA COUPE DE L'UEFA EN COURS#",IF(DANS.UEFA.VERIFIER="#DEPASSE#",CONCATENATE(DANS.UEFA," (",LOOKUP(WEEKDAY(JOUR.UEFA),SEMAINE)," ",DAY(JOUR.UEFA)," ",LOOKUP(JOUR.UEFA,MOIS)," A ",HEURE.UEFA.VERIFIER,"): [UEFA]#"),SUBSTITUTE(SUBSTITUTE(SUBSTITUTE(SUBSTITUTE(SUBSTITUTE(SUBSTITUTE(SUBSTITUTE(SUBSTITUTE(CONCATENATE("#",[5]!PHRASE.30),NBA,""),"DANS.UEFA",DANS.UEFA),[5]!GGG,CONCATENATE(DANS.JOUR.UEFA," ")),"#(",CONCATENATE("#",DANS.UEFA," (")),"#DEPUIS","#DEPASSE DEPUIS"),"##","#"),"DEP.UEFA",DEP.UEFA),"#DEPASSE  (",CONCATENATE(DANS.UEFA," (")))),"( A","(A"),"DANS 1 SEMAINE","DANS 7 JOURS"),"JOURS (",CONCATENATE("JOURS= ",DIF.UEFA," ~ (")),CONCATENATE(DANS.UEFA,"#",DANS.UEFA),DANS.UEFA),"= #DEPASSE#",""),[5]!SUIVANT,""),"HIER (","HIER ~ ("),"1 (","1 ~ ("),"2 (","2 ~ ("),"3 (","3 ~ ("),"4 (","4 ~ ("),"5 (","5 ~ ("),"6 (","6 ~ ("),"7 (","7 ~ ("),"8 (","8 ~ ("),"9 (","9 ~ ("),"0 (","0 ~ ("),")]","]"),"EQUIPE]","EQUIPE)]"),"EQUIPES]","EQUIPES)]"),"'' ~ (",CONCATENATE("'' OU ",TABLEAU!$M$138," ~ (")),"'' OU  ~","'' ~ "),"] (","] ~ (")," 1 JOURS"," 1 JOUR"),CONCATENATE(" OU [",DATE.UEFA," JOURS] ~"),""),CONCATENATE(" OU [",DATE.UEFA," JOUR] ~"),""),"DANS 0 JOURS","DANS"),CONCATENATE(" ",MP),""),AN.4,""))</f>
        <v>#DANS 124 JOURS= ''2.981H55'' OU [4 MOIS &amp; 3 JOURS] ~ (JEUDI 5 MARS 2020 A 18H55): [UEFA= (MANQUE 16 EQUIPES)]#</v>
      </c>
      <c r="J138" s="1904"/>
      <c r="K138" s="1904"/>
      <c r="L138" s="1905"/>
      <c r="M138" s="2195" t="str">
        <f ca="1">UPPER(IF(INT(TABLEAU!$O$138)&lt;32,"",SUBSTITUTE(SUBSTITUTE(SUBSTITUTE(SUBSTITUTE(SUBSTITUTE(SUBSTITUTE(SUBSTITUTE(SUBSTITUTE(SUBSTITUTE(SUBSTITUTE(CONCATENATE("[",DATEDIF(NOW(),JOUR.UEFA,"Y")&amp;" ANS &amp; "&amp;DATEDIF(NOW(),JOUR.UEFA,"YM")&amp;" MOIS &amp; "&amp;DATEDIF(NOW(),JOUR.UEFA,"MD")&amp;" JOURS]")," 0 MOIS","")," , ET ",", "),"[0 ANS &amp; ","[")," &amp; 0 JOURS",""),"0 ANS , ",""),"[&amp; ","[")," &amp; &amp; "," &amp; ")," 1 JOURS"," 1 JOUR"),"[1 ANS","[1 AN")," &amp;]","]")))</f>
        <v>[4 MOIS &amp; 3 JOURS]</v>
      </c>
      <c r="N138" s="2196"/>
      <c r="O138" s="779">
        <f ca="1">INT(DATE.UEFA)</f>
        <v>124</v>
      </c>
      <c r="P138" s="2518"/>
      <c r="Q138" s="2519"/>
      <c r="R138" s="2519"/>
      <c r="S138" s="2519"/>
      <c r="T138" s="2519"/>
      <c r="U138" s="2519"/>
      <c r="V138" s="2520"/>
      <c r="W138" s="1624"/>
      <c r="X138" s="1625"/>
      <c r="Y138" s="1625"/>
      <c r="Z138" s="1626"/>
      <c r="AA138" s="1806"/>
      <c r="AB138" s="1807"/>
      <c r="AC138" s="1807"/>
      <c r="AD138" s="1807"/>
      <c r="AE138" s="1808"/>
      <c r="AF138" s="1705"/>
      <c r="AG138" s="1706"/>
      <c r="AH138" s="1706"/>
      <c r="AI138" s="1707"/>
      <c r="AJ138" s="826"/>
      <c r="AK138" s="826"/>
      <c r="AL138" s="1720"/>
      <c r="AM138" s="1721"/>
      <c r="AN138" s="1721"/>
      <c r="AO138" s="1721"/>
      <c r="AP138" s="1721"/>
      <c r="AQ138" s="1721"/>
      <c r="AR138" s="1721"/>
      <c r="AS138" s="1721"/>
      <c r="AT138" s="1721"/>
      <c r="AU138" s="1721"/>
      <c r="AV138" s="1721"/>
      <c r="AW138" s="1721"/>
      <c r="AX138" s="1722"/>
      <c r="AY138" s="1489"/>
      <c r="AZ138" s="1762"/>
      <c r="BA138" s="1764"/>
    </row>
    <row r="139" spans="1:53" ht="33" customHeight="1">
      <c r="A139" s="431" t="str">
        <f>HEURE.EURO</f>
        <v>21:00</v>
      </c>
      <c r="B139" s="1876" t="str">
        <f ca="1">UPPER(TRIM(SUBSTITUTE(SUBSTITUTE(SUBSTITUTE(SUBSTITUTE(SUBSTITUTE(SUBSTITUTE(SUBSTITUTE(SUBSTITUTE(SUBSTITUTE(SUBSTITUTE(TABLEAU!$I$139,"#(",CONCATENATE("#",DANS.EURO," (")),"# (",CONCATENATE("#",DANS.EURO," (")),"##","#"),CONCATENATE("(",CVB),"("),"JOURS (",CONCATENATE("JOURS= ",TABLEAU!$M$139," ~ (")),"=  ~ "," "),"JOURS (",CONCATENATE("JOURS= ",DIF.EURO," (")),"DEMAIN (",CONCATENATE("DEMAIN= ",DIF.EURO," ~ (")),"= #DEPASSE#",""),"'' (","'' ~ (")))</f>
        <v>#DANS 221 JOURS= ''5.312H00'' OU [7 MOIS &amp; 8 JOURS] ~ (MERCREDI 10 JUIN 2020 A 21H00): [EURO 2020= (MANQUE 24 PAYS)]#</v>
      </c>
      <c r="C139" s="1877"/>
      <c r="D139" s="1877"/>
      <c r="E139" s="1878"/>
      <c r="F139" s="433" t="str">
        <f ca="1">IF(INT(DATE.EURO)&lt;0,"#DEPASSE#",DANS.EURO.VERIFIER)</f>
        <v/>
      </c>
      <c r="G139" s="1884" t="s">
        <v>113</v>
      </c>
      <c r="H139" s="1885"/>
      <c r="I139" s="1903" t="str">
        <f ca="1">TRIM(SUBSTITUTE(SUBSTITUTE(SUBSTITUTE(SUBSTITUTE(SUBSTITUTE(SUBSTITUTE(SUBSTITUTE(SUBSTITUTE(SUBSTITUTE(SUBSTITUTE(SUBSTITUTE(SUBSTITUTE(SUBSTITUTE(SUBSTITUTE(SUBSTITUTE(SUBSTITUTE(SUBSTITUTE(SUBSTITUTE(SUBSTITUTE(SUBSTITUTE(SUBSTITUTE(SUBSTITUTE(SUBSTITUTE(SUBSTITUTE(SUBSTITUTE(SUBSTITUTE(IF(AND(DATE.EURO=0,HEURE.EURO.VERIFIER=HEURE.MAINTENANT.2),"#MATCH(S) DE L'EURO EN COURS#",IF(DANS.EURO.VERIFIER="#DEPASSE#",CONCATENATE(DANS.EURO," (",LOOKUP(WEEKDAY(JOUR.EURO),SEMAINE)," ",DAY(JOUR.EURO)," ",LOOKUP(MONTH(JOUR.EURO),MOIS)," A ",HEURE.EURO.VERIFIER,"): [EURO]#"),SUBSTITUTE(SUBSTITUTE(SUBSTITUTE(SUBSTITUTE(SUBSTITUTE(SUBSTITUTE([9]!PHRASE.13,"DANS.EURO",DANS.EURO),"##","#"),"#(",CONCATENATE("#",DANS.EURO," (")),"#[DATE","= [DATE"),"DEP.EURO",DEP.EURO),"#DEPASSE  (",CONCATENATE(DANS.EURO," (")))),"DANS 1 SEMAINE","DANS 7 JOURS"),"JOURS (",CONCATENATE("JOURS= ",DIF.EURO," ~ (")),CONCATENATE(DANS.EURO,"#",DANS.EURO),DANS.EURO),"= #DEPASSE#",""),"HIER (","HIER ~ ("),"1 (","1 ~ ("),"2 (","2 ~ ("),"3 (","3 ~ ("),"4 (","4 ~ ("),"5 (","5 ~ ("),"6 (","6 ~ ("),"7 (","7 ~ ("),"8 (","8 ~ ("),"9 (","9 ~ ("),"0 (","0 ~ ("),"'' ~ (",CONCATENATE("'' OU ",TABLEAU!$M$139," ~ (")),"'' OU  ~","'' ~ "),"] (","] ~ (")," 1 JOURS"," 1 JOUR"),CONCATENATE(" OU [",DATE.EURO," JOURS] ~"),""),CONCATENATE(" OU [",DATE.EURO," JOUR] ~"),""),"DANS 0 JOURS","DANS"),CONCATENATE(" ",MP),""),"AAA",DANS.EURO),"'' ~ (",CONCATENATE("'' OU ",TABLEAU!$M$139," ~ (")),AN.4,""))</f>
        <v>#DANS 221 JOURS= ''5.312H00'' OU [7 MOIS &amp; 8 JOURS] ~ (MERCREDI 10 JUIN 2020 A 21H00): [EURO 2020= (MANQUE 24 PAYS)]#</v>
      </c>
      <c r="J139" s="1904"/>
      <c r="K139" s="1904"/>
      <c r="L139" s="1905"/>
      <c r="M139" s="2195" t="str">
        <f ca="1">UPPER(IF(INT(TABLEAU!$O$139)&lt;32,"",SUBSTITUTE(SUBSTITUTE(SUBSTITUTE(SUBSTITUTE(SUBSTITUTE(SUBSTITUTE(SUBSTITUTE(SUBSTITUTE(SUBSTITUTE(SUBSTITUTE(CONCATENATE("[",DATEDIF(NOW(),JOUR.EURO,"Y")&amp;" ANS &amp; "&amp;DATEDIF(NOW(),JOUR.EURO,"YM")&amp;" MOIS &amp; "&amp;DATEDIF(NOW(),JOUR.EURO,"MD")&amp;" JOURS]")," 0 MOIS","")," , ET ",", "),"[0 ANS &amp; ","[")," &amp; 0 JOURS",""),"0 ANS , ",""),"[&amp; ","[")," &amp; &amp; "," &amp; ")," 1 JOURS"," 1 JOUR"),"[1 ANS","[1 AN")," &amp;]","]")))</f>
        <v>[7 MOIS &amp; 8 JOURS]</v>
      </c>
      <c r="N139" s="2196"/>
      <c r="O139" s="779">
        <f ca="1">INT(DATE.EURO)</f>
        <v>221</v>
      </c>
      <c r="P139" s="2518"/>
      <c r="Q139" s="2519"/>
      <c r="R139" s="2519"/>
      <c r="S139" s="2519"/>
      <c r="T139" s="2519"/>
      <c r="U139" s="2519"/>
      <c r="V139" s="2520"/>
      <c r="W139" s="1624"/>
      <c r="X139" s="1625"/>
      <c r="Y139" s="1625"/>
      <c r="Z139" s="1626"/>
      <c r="AA139" s="1806"/>
      <c r="AB139" s="1807"/>
      <c r="AC139" s="1807"/>
      <c r="AD139" s="1807"/>
      <c r="AE139" s="1808"/>
      <c r="AF139" s="1705"/>
      <c r="AG139" s="1706"/>
      <c r="AH139" s="1706"/>
      <c r="AI139" s="1707"/>
      <c r="AJ139" s="826"/>
      <c r="AK139" s="826"/>
      <c r="AL139" s="1720"/>
      <c r="AM139" s="1721"/>
      <c r="AN139" s="1721"/>
      <c r="AO139" s="1721"/>
      <c r="AP139" s="1721"/>
      <c r="AQ139" s="1721"/>
      <c r="AR139" s="1721"/>
      <c r="AS139" s="1721"/>
      <c r="AT139" s="1721"/>
      <c r="AU139" s="1721"/>
      <c r="AV139" s="1721"/>
      <c r="AW139" s="1721"/>
      <c r="AX139" s="1722"/>
      <c r="AY139" s="1489"/>
      <c r="AZ139" s="1762"/>
      <c r="BA139" s="1764"/>
    </row>
    <row r="140" spans="1:53" ht="33" customHeight="1">
      <c r="A140" s="431">
        <f>HEURE.CONFEDERATIONS</f>
        <v>0.875</v>
      </c>
      <c r="B140" s="1876" t="str">
        <f ca="1">UPPER(TRIM(SUBSTITUTE(SUBSTITUTE(SUBSTITUTE(SUBSTITUTE(SUBSTITUTE(SUBSTITUTE(SUBSTITUTE(SUBSTITUTE(SUBSTITUTE(SUBSTITUTE(TABLEAU!$I$140,"#(",CONCATENATE("#",DANS.CONFEDERATIONS," (")),"# (",CONCATENATE("#",DANS.CONFEDERATIONS," (")),"##","#"),CONCATENATE("(",CVB),"("),"JOURS (",CONCATENATE("JOURS= ",TABLEAU!$M$140," ~ (")),"=  ~ "," "),"JOURS (",CONCATENATE("JOURS= ",DIF.CONFEDERATIONS," (")),"DEMAIN (",CONCATENATE("DEMAIN= ",DIF.CONFEDERATIONS," ~ (")),"= #DEPASSE#",""),"'' (","'' ~ (")))</f>
        <v>#DANS 579 JOURS= ''13.904H00'' OU [1 AN &amp; 7 MOIS &amp; 1 JOUR] ~ (JEUDI 3 JUIN 2021 A 21H00): [CONFEDERATIONS 2021= (MANQUE 8 PAYS)]#</v>
      </c>
      <c r="C140" s="1877"/>
      <c r="D140" s="1877"/>
      <c r="E140" s="1878"/>
      <c r="F140" s="433" t="str">
        <f ca="1">IF(INT(DATE.CONFEDERATIONS)&lt;0,"#DEPASSE#",DANS.CONFEDERATIONS.VERIFIER)</f>
        <v/>
      </c>
      <c r="G140" s="1884" t="s">
        <v>124</v>
      </c>
      <c r="H140" s="1885"/>
      <c r="I140" s="1903" t="str">
        <f ca="1">TRIM(SUBSTITUTE(SUBSTITUTE(SUBSTITUTE(SUBSTITUTE(SUBSTITUTE(SUBSTITUTE(SUBSTITUTE(SUBSTITUTE(SUBSTITUTE(SUBSTITUTE(SUBSTITUTE(SUBSTITUTE(SUBSTITUTE(SUBSTITUTE(SUBSTITUTE(SUBSTITUTE(SUBSTITUTE(SUBSTITUTE(SUBSTITUTE(SUBSTITUTE(SUBSTITUTE(SUBSTITUTE(SUBSTITUTE(IF(AND(DATE.CONFEDERATIONS=0,HEURE.CONFEDERATIONS.VERIFIER=HEURE.MAINTENANT.2),"#MATCH(S) DE LA COUPE DES CONFEDERATIONS EN COURS#",IF(DANS.CONFEDERATIONS.VERIFIER="#DEPASSE#",CONCATENATE(DANS.CONFEDERATIONS," (",LOOKUP(WEEKDAY(JOUR.CONFEDERATIONS),SEMAINE)," ",DAY(JOUR.CONFEDERATIONS)," ",LOOKUP(MONTH(JOUR.CONFEDERATIONS),MOIS)," A ",HEURE.CONFEDERATIONS.VERIFIER,"): [CONFEDERATIONS]#"),SUBSTITUTE(SUBSTITUTE(SUBSTITUTE(SUBSTITUTE(SUBSTITUTE(SUBSTITUTE([10]!PHRASE.30,CONCATENATE(NBA," "),""),"DANS.CONFEDERATIONS",DANS.CONFEDERATIONS),[10]!GGG,DANS.JOUR.CONFEDERATIONS),"#(",CONCATENATE("#",DANS.CONFEDERATIONS," (")),"DEP.CONFEDERATIONS",DEP.CONFEDERATIONS),"#DEPASSE  (",CONCATENATE(DANS.CONFEDERATIONS," (")))),"DANS 1 SEMAINE","DANS 7 JOURS"),"JOURS (",CONCATENATE("JOURS= ",DIF.CONFEDERATIONS," ~ (")),CONCATENATE(DANS.CONFEDERATIONS,"#",DANS.CONFEDERATIONS),DANS.CONFEDERATIONS),"= #DEPASSE#",""),"HIER (","HIER ~ ("),"1 (","1 ~ ("),"2 (","2 ~ ("),"3 (","3 ~ ("),"4 (","4 ~ ("),"5 (","5 ~ ("),"6 (","6 ~ ("),"7 (","7 ~ ("),"8 (","8 ~ ("),"9 (","9 ~ ("),"0 (","0 ~ ("),"'' ~ (",CONCATENATE("'' OU ",TABLEAU!$M$140," ~ (")),"'' OU  ~","'' ~ "),"] (","] ~ (")," 1 JOURS"," 1 JOUR"),CONCATENATE(" OU [",DATE.CONFEDERATIONS," JOURS] ~"),""),CONCATENATE(" OU [",DATE.CONFEDERATIONS," JOUR] ~"),""),"DANS 0 JOURS","DANS"),AN.4,""))</f>
        <v>#DANS 579 JOURS= ''13.904H00'' OU [1 AN &amp; 7 MOIS &amp; 1 JOUR] ~ (JEUDI 3 JUIN 2021 A 21H00): [CONFEDERATIONS 2021= (MANQUE 8 PAYS)]#</v>
      </c>
      <c r="J140" s="1904"/>
      <c r="K140" s="1904"/>
      <c r="L140" s="1905"/>
      <c r="M140" s="2195" t="str">
        <f ca="1">UPPER(IF(INT(TABLEAU!$O$140)&lt;32,"",SUBSTITUTE(SUBSTITUTE(SUBSTITUTE(SUBSTITUTE(SUBSTITUTE(SUBSTITUTE(SUBSTITUTE(SUBSTITUTE(SUBSTITUTE(SUBSTITUTE(CONCATENATE("[",DATEDIF(NOW(),JOUR.CONFEDERATIONS,"Y")&amp;" ANS &amp; "&amp;DATEDIF(NOW(),JOUR.CONFEDERATIONS,"YM")&amp;" MOIS &amp; "&amp;DATEDIF(NOW(),JOUR.CONFEDERATIONS,"MD")&amp;" JOURS]")," 0 MOIS","")," , ET ",", "),"[0 ANS &amp; ","[")," &amp; 0 JOURS",""),"0 ANS , ",""),"[&amp; ","[")," &amp; &amp; "," &amp; ")," 1 JOURS"," 1 JOUR"),"[1 ANS","[1 AN")," &amp;]","]")))</f>
        <v>[1 AN &amp; 7 MOIS &amp; 1 JOUR]</v>
      </c>
      <c r="N140" s="2196"/>
      <c r="O140" s="779">
        <f ca="1">INT(DATE.CONFEDERATIONS)</f>
        <v>579</v>
      </c>
      <c r="P140" s="2518"/>
      <c r="Q140" s="2519"/>
      <c r="R140" s="2519"/>
      <c r="S140" s="2519"/>
      <c r="T140" s="2519"/>
      <c r="U140" s="2519"/>
      <c r="V140" s="2520"/>
      <c r="W140" s="1624"/>
      <c r="X140" s="1625"/>
      <c r="Y140" s="1625"/>
      <c r="Z140" s="1626"/>
      <c r="AA140" s="1806"/>
      <c r="AB140" s="1807"/>
      <c r="AC140" s="1807"/>
      <c r="AD140" s="1807"/>
      <c r="AE140" s="1808"/>
      <c r="AF140" s="1705"/>
      <c r="AG140" s="1706"/>
      <c r="AH140" s="1706"/>
      <c r="AI140" s="1707"/>
      <c r="AJ140" s="826"/>
      <c r="AK140" s="826"/>
      <c r="AL140" s="1720"/>
      <c r="AM140" s="1721"/>
      <c r="AN140" s="1721"/>
      <c r="AO140" s="1721"/>
      <c r="AP140" s="1721"/>
      <c r="AQ140" s="1721"/>
      <c r="AR140" s="1721"/>
      <c r="AS140" s="1721"/>
      <c r="AT140" s="1721"/>
      <c r="AU140" s="1721"/>
      <c r="AV140" s="1721"/>
      <c r="AW140" s="1721"/>
      <c r="AX140" s="1722"/>
      <c r="AY140" s="1489"/>
      <c r="AZ140" s="1762"/>
      <c r="BA140" s="1764"/>
    </row>
    <row r="141" spans="1:53" ht="33" customHeight="1">
      <c r="A141" s="431">
        <f>[4]TABLEAU!$D$15</f>
        <v>0.375</v>
      </c>
      <c r="B141" s="1876" t="str">
        <f ca="1">UPPER(TRIM(SUBSTITUTE(SUBSTITUTE(SUBSTITUTE(SUBSTITUTE(SUBSTITUTE(SUBSTITUTE(SUBSTITUTE(TABLEAU!$I$141,"(A ",CONCATENATE("(",DATE.RDV.TV," A ")),CONCATENATE(YEAR(A)," "),""),"JOURS [","JOURS= ["),"]= (","] ~ ("),"'' (","'' ~ ("),"= #DEPASSE#",""),"'' (","'' ~ (")))</f>
        <v>#DANS 785 JOURS= ''18.836H00'' OU [2 ANS &amp; 1 MOIS &amp; 24 JOURS] ~ (DIMANCHE 26 DECEMBRE 2021): [VOITURE= {24*250,00€} OU 6.000,00 EUROS]#</v>
      </c>
      <c r="C141" s="1877"/>
      <c r="D141" s="1877"/>
      <c r="E141" s="1878"/>
      <c r="F141" s="433" t="str">
        <f ca="1">IF([4]!DATE.2&lt;0,"#DEPASSE#","")</f>
        <v/>
      </c>
      <c r="G141" s="1884" t="s">
        <v>125</v>
      </c>
      <c r="H141" s="1885"/>
      <c r="I141" s="1903" t="str">
        <f ca="1">SUBSTITUTE(SUBSTITUTE(SUBSTITUTE(IF(SUM([4]!ENVIE)=0,"",CONCATENATE("#DANS ",TABLEAU!$AQ$16,"= ",TABLEAU!$AR$16," ~ (",LOOKUP(WEEKDAY([4]!PROCHAIN.2),SEMAINE)," ",DAY([4]!PROCHAIN.2)," ",LOOKUP(MONTH([4]!PROCHAIN.2),MOIS)," ",YEAR([4]!PROCHAIN.2),"): [",[4]!SUIVANT,"]= ",[4]TABLEAU!$E$15," OU ",SUBSTITUTE([4]!SOMME.2.VERIFIER,"€"," EUROS"),"]#")),"'' ~ (",CONCATENATE("'' OU ",TABLEAU!$M$141," ~ (")),"]=","="),"}#","}]#")</f>
        <v>#DANS 785 JOURS= ''18.836H00'' OU [2 ANS &amp; 1 MOIS &amp; 24 JOURS] ~ (DIMANCHE 26 DECEMBRE 2021): [VOITURE= {24*250,00€} OU 6.000,00 EUROS]#</v>
      </c>
      <c r="J141" s="1904"/>
      <c r="K141" s="1904"/>
      <c r="L141" s="1905"/>
      <c r="M141" s="2195" t="str">
        <f ca="1">UPPER(IF(SUM([4]!ENVIE)=0,"",IF(INT(TABLEAU!$O$141)&lt;32,"",IF([4]!SUIVANT="","",SUBSTITUTE(SUBSTITUTE(SUBSTITUTE(SUBSTITUTE(SUBSTITUTE(SUBSTITUTE(SUBSTITUTE(SUBSTITUTE(SUBSTITUTE(SUBSTITUTE(CONCATENATE("[",DATEDIF(NOW(),[4]!PROCHAIN.2,"Y")&amp;" ANS &amp; "&amp;DATEDIF(NOW(),[4]!PROCHAIN.2,"YM")&amp;" MOIS &amp; "&amp;DATEDIF(NOW(),[4]!PROCHAIN.2,"MD")&amp;" JOURS]")," 0 MOIS","")," , ET ",", "),"[0 ANS &amp; ","[")," &amp; 0 JOURS",""),"0 ANS , ",""),"[&amp; ","[")," &amp; &amp; "," &amp; ")," 1 JOURS"," 1 JOUR"),"[1 ANS","[1 AN")," &amp;]","]")))))</f>
        <v>[2 ANS &amp; 1 MOIS &amp; 24 JOURS]</v>
      </c>
      <c r="N141" s="2196"/>
      <c r="O141" s="779">
        <f ca="1">IF(SUM([4]!ENVIE)=0,"",IF([4]!SUIVANT="",9999,INT([4]!DATE.2)))</f>
        <v>785</v>
      </c>
      <c r="P141" s="2518"/>
      <c r="Q141" s="2519"/>
      <c r="R141" s="2519"/>
      <c r="S141" s="2519"/>
      <c r="T141" s="2519"/>
      <c r="U141" s="2519"/>
      <c r="V141" s="2520"/>
      <c r="W141" s="1624"/>
      <c r="X141" s="1625"/>
      <c r="Y141" s="1625"/>
      <c r="Z141" s="1626"/>
      <c r="AA141" s="1806"/>
      <c r="AB141" s="1807"/>
      <c r="AC141" s="1807"/>
      <c r="AD141" s="1807"/>
      <c r="AE141" s="1808"/>
      <c r="AF141" s="1705"/>
      <c r="AG141" s="1706"/>
      <c r="AH141" s="1706"/>
      <c r="AI141" s="1707"/>
      <c r="AJ141" s="826"/>
      <c r="AK141" s="826"/>
      <c r="AL141" s="1720"/>
      <c r="AM141" s="1721"/>
      <c r="AN141" s="1721"/>
      <c r="AO141" s="1721"/>
      <c r="AP141" s="1721"/>
      <c r="AQ141" s="1721"/>
      <c r="AR141" s="1721"/>
      <c r="AS141" s="1721"/>
      <c r="AT141" s="1721"/>
      <c r="AU141" s="1721"/>
      <c r="AV141" s="1721"/>
      <c r="AW141" s="1721"/>
      <c r="AX141" s="1722"/>
      <c r="AY141" s="1489"/>
      <c r="AZ141" s="1762"/>
      <c r="BA141" s="1764"/>
    </row>
    <row r="142" spans="1:53" ht="35.1" customHeight="1" thickBot="1">
      <c r="A142" s="460">
        <f>HEURE.MONDIAL</f>
        <v>0.70833333333333337</v>
      </c>
      <c r="B142" s="1879" t="str">
        <f ca="1">UPPER(TRIM(SUBSTITUTE(SUBSTITUTE(SUBSTITUTE(SUBSTITUTE(SUBSTITUTE(SUBSTITUTE(SUBSTITUTE(SUBSTITUTE(SUBSTITUTE(SUBSTITUTE(SUBSTITUTE(TABLEAU!$I$142,"#(",CONCATENATE("#",DANS.MONDIAL," (")),"# (",CONCATENATE("#",DANS.MONDIAL," (")),"##","#"),CONCATENATE("(",CVB),"("),"JOURS (",CONCATENATE("JOURS= ",TABLEAU!$M$142," ~ (")),"=  ~ "," "),"JOURS (",CONCATENATE("JOURS= ",DIF.MONDIAL," (")),"DEMAIN (",CONCATENATE("DEMAIN= ",DIF.MONDIAL," ~ (")),"= #DEPASSE#",""),CONCATENATE("(",YEAR(A)," "),"("),"'' (","'' ~ (")))</f>
        <v>#DANS 1115 JOURS= ''26.764H00'' OU [3 ANS &amp; 19 JOURS] ~ (LUNDI 21 NOVEMBRE 2022 A 17H00): [MONDIAL 2022= (MANQUE 32 PAYS)]#</v>
      </c>
      <c r="C142" s="1880"/>
      <c r="D142" s="1880"/>
      <c r="E142" s="1881"/>
      <c r="F142" s="1519" t="str">
        <f ca="1">IF(INT(DATE.MONDIAL)&lt;0,"#DEPASSE#",DANS.MONDIAL.VERIFIER)</f>
        <v/>
      </c>
      <c r="G142" s="1882" t="s">
        <v>120</v>
      </c>
      <c r="H142" s="1883"/>
      <c r="I142" s="2192" t="str">
        <f ca="1">TRIM(SUBSTITUTE(SUBSTITUTE(SUBSTITUTE(SUBSTITUTE(SUBSTITUTE(SUBSTITUTE(SUBSTITUTE(SUBSTITUTE(SUBSTITUTE(SUBSTITUTE(SUBSTITUTE(SUBSTITUTE(SUBSTITUTE(SUBSTITUTE(SUBSTITUTE(SUBSTITUTE(SUBSTITUTE(SUBSTITUTE(SUBSTITUTE(SUBSTITUTE(SUBSTITUTE(SUBSTITUTE(SUBSTITUTE(SUBSTITUTE(SUBSTITUTE(SUBSTITUTE(IF(AND(DATE.MONDIAL=0,HEURE.MONDIAL.VERIFIER=HEURE.MAINTENANT.2),"#MATCH(S) DU MONDIAL EN COURS#",IF(DANS.MONDIAL.VERIFIER="#DEPASSE#",TABLEAU!$J$26,SUBSTITUTE(SUBSTITUTE(IF(DANS.MONDIAL.VERIFIER="#DEPASSE#",SUBSTITUTE(TABLEAU!$J$26,DEP.MONDIAL,"DEP.MONDIAL"),SUBSTITUTE(SUBSTITUTE(SUBSTITUTE(SUBSTITUTE(SUBSTITUTE(SUBSTITUTE(CONCATENATE("#",TABLEAU!$J$26),CONCATENATE(NBA," "),""),"DANS.MONDIAL",DANS.MONDIAL),[8]!GGG,DANS.JOUR.MONDIAL),"#(",CONCATENATE("#",DANS.MONDIAL," (")),"##","#"),"# #","#")),"DEP.MONDIAL",DEP.MONDIAL),"#DEPASSE  (",CONCATENATE(DANS.MONDIAL," (")))),"DANS 1 SEMAINE","DANS 7 JOURS"),"JOURS (",CONCATENATE("JOURS= ",DIF.MONDIAL," ~ (")),CONCATENATE(DANS.LDC,"#",DANS.LDC),DANS.LDC),"= #DEPASSE#",""),"HIER (","HIER ~ ("),"1 (","1 ~ ("),"2 (","2 ~ ("),"3 (","3 ~ ("),"4 (","4 ~ ("),"5 (","5 ~ ("),"6 (","6 ~ ("),"7 (","7 ~ ("),"8 (","8 ~ ("),"9 (","9 ~ ("),"0 (","0 ~ ("),"'' ~ (",CONCATENATE("'' OU ",TABLEAU!$M$142," ~ (")),"'' OU  ~","'' ~ "),CONCATENATE("# [MONDIAL"),CONCATENATE("#",FICHIER.A.MODIFIER," (A ",TABLEAU!$F$33,"): [MONDIAL")),"]#","]#"),"))",")"),"] (","] ~ (")," 1 JOURS"," 1 JOUR"),CONCATENATE(" OU [",DATE.MONDIAL," JOURS] ~"),""),CONCATENATE(" OU [",DATE.MONDIAL," JOUR] ~"),""),"DANS 0 JOURS","DANS"),AN.4,""))</f>
        <v>#DANS 1115 JOURS= ''26.764H00'' OU [3 ANS &amp; 19 JOURS] ~ (LUNDI 21 NOVEMBRE 2022 A 17H00): [MONDIAL 2022= (MANQUE 32 PAYS)]#</v>
      </c>
      <c r="J142" s="2193"/>
      <c r="K142" s="2193"/>
      <c r="L142" s="2194"/>
      <c r="M142" s="1901" t="str">
        <f ca="1">UPPER(IF(INT(TABLEAU!$O$142)&lt;32,"",SUBSTITUTE(SUBSTITUTE(SUBSTITUTE(SUBSTITUTE(SUBSTITUTE(SUBSTITUTE(SUBSTITUTE(SUBSTITUTE(SUBSTITUTE(SUBSTITUTE(CONCATENATE("[",DATEDIF(NOW(),JOUR.MONDIAL,"Y")&amp;" ANS &amp; "&amp;DATEDIF(NOW(),JOUR.MONDIAL,"YM")&amp;" MOIS &amp; "&amp;DATEDIF(NOW(),JOUR.MONDIAL,"MD")&amp;" JOURS]")," 0 MOIS","")," , ET ",", "),"[0 ANS &amp; ","[")," &amp; 0 JOURS",""),"0 ANS , ",""),"[&amp; ","[")," &amp; &amp; "," &amp; ")," 1 JOURS"," 1 JOUR"),"[1 ANS","[1 AN")," &amp;]","]")))</f>
        <v>[3 ANS &amp; 19 JOURS]</v>
      </c>
      <c r="N142" s="1902"/>
      <c r="O142" s="904">
        <f ca="1">INT(DATE.MONDIAL)</f>
        <v>1115</v>
      </c>
      <c r="P142" s="2521"/>
      <c r="Q142" s="2522"/>
      <c r="R142" s="2522"/>
      <c r="S142" s="2522"/>
      <c r="T142" s="2522"/>
      <c r="U142" s="2522"/>
      <c r="V142" s="2523"/>
      <c r="W142" s="1627"/>
      <c r="X142" s="1628"/>
      <c r="Y142" s="1628"/>
      <c r="Z142" s="1629"/>
      <c r="AA142" s="1809"/>
      <c r="AB142" s="1810"/>
      <c r="AC142" s="1810"/>
      <c r="AD142" s="1810"/>
      <c r="AE142" s="1811"/>
      <c r="AF142" s="1708"/>
      <c r="AG142" s="1709"/>
      <c r="AH142" s="1709"/>
      <c r="AI142" s="1710"/>
      <c r="AJ142" s="827"/>
      <c r="AK142" s="827"/>
      <c r="AL142" s="1723"/>
      <c r="AM142" s="1724"/>
      <c r="AN142" s="1724"/>
      <c r="AO142" s="1724"/>
      <c r="AP142" s="1724"/>
      <c r="AQ142" s="1724"/>
      <c r="AR142" s="1724"/>
      <c r="AS142" s="1724"/>
      <c r="AT142" s="1724"/>
      <c r="AU142" s="1724"/>
      <c r="AV142" s="1724"/>
      <c r="AW142" s="1724"/>
      <c r="AX142" s="1725"/>
      <c r="AY142" s="1493"/>
      <c r="AZ142" s="1690"/>
      <c r="BA142" s="1692"/>
    </row>
    <row r="143" spans="1:53" ht="12.95" customHeight="1" thickTop="1" thickBot="1">
      <c r="A143" s="471" t="str">
        <f ca="1">UPPER(SUBSTITUTE(SUBSTITUTE(SUBSTITUTE(SUBSTITUTE(TRIM(IF(DATE.COPIER.2&lt;&gt;DATE.COLLER.2,CONCATENATE("#LA DATE EST FAUSSE ",TABLEAU!$A$20,"(NOUS SOMMES LE ",TABLEAU!$AB$6," ET NON LE ",TABLEAU!$AB$8," ",TABLEAU!$B$22,")#"),"")),"DE 1 JOURS","D'UNE JOURNEE"),CONCATENATE(HEURE.MAINTENANT.2," &amp; "),CONCATENATE(HEURE.MAINTENANT.2,")# &amp; ")),"#)#","#"),"= #","# &amp; #"))</f>
        <v/>
      </c>
      <c r="B143" s="1506" t="str">
        <f>A.OUVRIR</f>
        <v>CHAMPIONNAT</v>
      </c>
      <c r="C143" s="1567" t="str">
        <f ca="1">TRIM(SUBSTITUTE(SUBSTITUTE(SUBSTITUTE(SUBSTITUTE(SUBSTITUTE(SUBSTITUTE(IF(X=TABLEAU!$A$33,TABLEAU!$J$33,IF(X=TABLEAU!$A$34,TABLEAU!$J$34,IF(X=TABLEAU!$A$35,TABLEAU!$J$35,IF(X=TABLEAU!$A$36,TABLEAU!$J$36,IF(X=TABLEAU!$A$37,TABLEAU!$J$37,IF(X=TABLEAU!$A$38,TABLEAU!$J$38,IF(X=TABLEAU!$A$39,TABLEAU!$J$39,IF(X=TABLEAU!$A$40,TABLEAU!$J$40,TABLEAU!$J$41)))))))),"L1","CHAMPIONNAT"),"(A ",CONCATENATE("(",DATE.RDV.TV," A ")),"##","#"),CONCATENATE(DATE.RDV.TV," A"),"A"),CONCATENATE(YEAR(A),"A"),CONCATENATE(YEAR(A)," A")),"JOURS~","JOURS ~"))</f>
        <v>#DANS 7H45 ~ (A 20H45): [CHAMPIONNAT]#</v>
      </c>
      <c r="D143" s="1568"/>
      <c r="E143" s="1569"/>
      <c r="F143" s="1522"/>
      <c r="G143" s="1871"/>
      <c r="H143" s="1872"/>
      <c r="I143" s="1806" t="str">
        <f ca="1">UPPER(SUBSTITUTE(SUBSTITUTE(SUBSTITUTE(SUBSTITUTE(SUBSTITUTE(SUBSTITUTE(SUBSTITUTE(SUBSTITUTE(SUBSTITUTE(SUBSTITUTE(SUBSTITUTE(SUBSTITUTE(SUBSTITUTE(SUBSTITUTE(SUBSTITUTE(SUBSTITUTE(SUBSTITUTE(SUBSTITUTE(IF(DATE.COLLER.2&lt;&gt;A,ERREUR.DATE,SUBSTITUTE(TABLEAU!$T$1,NBA,"")),"#ERREUR","                                         #ERREUR"),"&lt;#","&lt;"),"#&lt;","&lt;"),CONCATENATE("DEMAIN (",LOOKUP(WEEKDAY(A)+1,CALENDRIER)," ",DAY(A)+1," ",LOOKUP(MONTH(A),MOIS)," "),"("),"= DEMAIN","="),"&gt;{1 PROG}=&lt;",""),"&gt;","#"),"&lt;","#"),CONCATENATE("(",YEAR(A)," "),"("),"1ER ERREUR","1 ERREUR"),"##","#"),"DEPASSE #DEPASSE","#DEPASSE"),"#EVENEMENT",""),CONCATENATE(DATE.RDV.TV," (",DATE.RDV.TV),DATE.RDV.TV),CONCATENATE(DATE.RDV.TV," A "),"A "),UPPER("{1 PROG}= "),""),CONCATENATE(DATE.RDV.TV," ",UPPER("A")),"A"),"= #","= "))</f>
        <v>#DANS 7H45 (A 20H45): [CHAMPIONNAT]# &amp; #DANS 7H40 (A 20H40 SUR AB1): [SMACKDOWN]#</v>
      </c>
      <c r="J143" s="1807"/>
      <c r="K143" s="1807"/>
      <c r="L143" s="1807"/>
      <c r="M143" s="1807"/>
      <c r="N143" s="1807"/>
      <c r="O143" s="1808"/>
      <c r="P143" s="1983" t="str">
        <f>UPPER(IF(ECRITURE="L1","MACRO_FIN_L1",IF(ECRITURE="LDC","MACRO_FIN_LDC",IF(ECRITURE="UEFA","MACRO_FIN_UEFA",IF(ECRITURE="FRANCE","MACRO_FIN_FRANCE",IF(ECRITURE="LIGUE","MACRO_FIN_LIGUE",IF(ECRITURE="MONDIAL","MACRO_FIN_MONDIAL",IF(ECRITURE="EURO","MACRO_FIN_EURO",IF(ECRITURE="CONFEDERATIONS","MACRO_FIN_CONFEDERATIONS","MACRO_FIN_FORMULE_1")))))))))</f>
        <v>MACRO_FIN_UEFA</v>
      </c>
      <c r="Q143" s="1984"/>
      <c r="R143" s="1984"/>
      <c r="S143" s="1984"/>
      <c r="T143" s="1984"/>
      <c r="U143" s="1984"/>
      <c r="V143" s="1985"/>
      <c r="W143" s="1630"/>
      <c r="X143" s="1631"/>
      <c r="Y143" s="1631"/>
      <c r="Z143" s="1632"/>
      <c r="AA143" s="1840" t="str">
        <f ca="1">TABLEAU!$AN$19</f>
        <v/>
      </c>
      <c r="AB143" s="1841"/>
      <c r="AC143" s="1841"/>
      <c r="AD143" s="1841"/>
      <c r="AE143" s="1842"/>
      <c r="AF143" s="1630" t="str">
        <f ca="1">UPPER(SUBSTITUTE(SUBSTITUTE(SUBSTITUTE(SUBSTITUTE(TRIM(SUBSTITUTE(SUBSTITUTE(SUBSTITUTE(SUBSTITUTE(SUBSTITUTE(SUBSTITUTE(SUBSTITUTE(SUBSTITUTE(SUBSTITUTE(SUBSTITUTE(SUBSTITUTE(IF(RESULT="#CETTE NUIT (A 1H05 SUR AB1): [PPV DE CATCH]#",CONCATENATE(TABLEAU!$W$225," ",RESULT),TABLEAU!$W$225),"(A 1H05): [PPV DE CATCH SUR AB1]","(A 1H05 SUR AB1): [PPV DE CATCH]"),"~  ","~                        "),CONCATENATE(DEM,"(A"),"(A"),"]#DEPUIS","] &amp; DEPUIS"),CONCATENATE(DATE.RDV.TV," A "),"A "),"] &amp;","]# &amp;"),CONCATENATE(A.VERIFIER," &amp;",A.VERIFIER),A.VERIFIER),"JOURS1","JOURS &amp; 1"),"JOURS2","JOURS &amp; 2")," AN"," AN &amp; "),"MOIS","MOIS &amp; ")),"# #","# &amp; #")," &amp; &amp; "," &amp; "),"JOURS","JOURS &amp; "),"JOURS &amp;  (","JOURS ("))</f>
        <v/>
      </c>
      <c r="AG143" s="1631"/>
      <c r="AH143" s="1711"/>
      <c r="AI143" s="999"/>
      <c r="AJ143" s="642"/>
      <c r="AK143" s="639"/>
      <c r="AL143" s="1001"/>
      <c r="AM143" s="1726"/>
      <c r="AN143" s="1727"/>
      <c r="AO143" s="1727"/>
      <c r="AP143" s="1727"/>
      <c r="AQ143" s="1727"/>
      <c r="AR143" s="1727"/>
      <c r="AS143" s="1727"/>
      <c r="AT143" s="1727"/>
      <c r="AU143" s="1727"/>
      <c r="AV143" s="1727"/>
      <c r="AW143" s="1727"/>
      <c r="AX143" s="1728"/>
      <c r="AY143" s="1489"/>
      <c r="AZ143" s="2568"/>
      <c r="BA143" s="2569"/>
    </row>
    <row r="144" spans="1:53" ht="11.45" customHeight="1">
      <c r="A144" s="1054" t="str">
        <f>IF(X="CHAMPIONNAT",[3]TABLEAU!$I$3,IF(AND(X="CHAMPION'S LEAGUE",[1]DONNEES!$DL$5=""),"LDC",IF(AND(X="CHAMPION'S LEAGUE",[1]DONNEES!$DL$5&lt;&gt;""),[1]DONNEES!$DL$5,IF(X="UEFA",[5]DONNEES!$BU$5,IF(X="COUPE DE FRANCE",[6]DONNEES!$BV$5,IF(X="COUPE DE LA LIGUE",[7]DONNEES!$BV$5,IF(X="EURO",[9]CLASSEMENT!$AC$4,IF(X="CONFEDERATIONS",[10]DONNEES!$BT$5,IF(X="MONDIAL",[8]CLASSEMENT!$BF$4,IF(X="FORMULE 1",'[2]PILOTES &amp; ECURIES'!$AD$4,""))))))))))</f>
        <v>PSG</v>
      </c>
      <c r="B144" s="1052" t="str">
        <f>SUBSTITUTE(SUBSTITUTE(SUBSTITUTE(SUBSTITUTE(SUBSTITUTE(SUBSTITUTE(SUBSTITUTE(SUBSTITUTE(SUBSTITUTE(IF(X="CHAMPIONNAT",CONCATENATE("#(CHAMPIONNAT 2019-20)= ",[3]TABLEAU!$ER$3,"#"),IF(X="CHAMPION'S LEAGUE",[1]DONNEES!$DM$5,IF(X="UEFA",[5]DONNEES!$BT$5,IF(X="COUPE DE FRANCE",[6]DONNEES!$BU$5,IF(X="COUPE DE LA LIGUE",[7]DONNEES!$BU$5,IF(X="MONDIAL",[8]CLASSEMENT!$BG$4,IF(X="EURO",[9]CLASSEMENT!$AC$4,IF(X="CONFEDERATIONS",[10]DONNEES!$BU$5,'[2]PILOTES &amp; ECURIES'!$DZ$4)))))))),"##","#"),"# #","#"),"= #","= "),"{1ER} RECOIT","RECOIT"),"{1ER} VA","VA"),"NOUVELLE ANNEE","NOUVELLE SAISON"),":#",": "),"=&gt;#","=&gt;"),"= (-)"," (-)")</f>
        <v>#(CHAMPIONNAT 2019-20)= 1ER PSG (27 PTS) =&gt;13J: (9/11) VA A BREST#</v>
      </c>
      <c r="C144" s="1424"/>
      <c r="D144" s="1425"/>
      <c r="E144" s="1218"/>
      <c r="F144" s="15"/>
      <c r="G144" s="1742"/>
      <c r="H144" s="1743"/>
      <c r="I144" s="1806"/>
      <c r="J144" s="1807"/>
      <c r="K144" s="1807"/>
      <c r="L144" s="1807"/>
      <c r="M144" s="1807"/>
      <c r="N144" s="1807"/>
      <c r="O144" s="1808"/>
      <c r="P144" s="1983"/>
      <c r="Q144" s="1984"/>
      <c r="R144" s="1984"/>
      <c r="S144" s="1984"/>
      <c r="T144" s="1984"/>
      <c r="U144" s="1984"/>
      <c r="V144" s="1985"/>
      <c r="W144" s="1633"/>
      <c r="X144" s="1634"/>
      <c r="Y144" s="1634"/>
      <c r="Z144" s="1635"/>
      <c r="AA144" s="1843"/>
      <c r="AB144" s="1844"/>
      <c r="AC144" s="1844"/>
      <c r="AD144" s="1844"/>
      <c r="AE144" s="1845"/>
      <c r="AF144" s="1633"/>
      <c r="AG144" s="1634"/>
      <c r="AH144" s="1712"/>
      <c r="AI144" s="1482"/>
      <c r="AJ144" s="643"/>
      <c r="AK144" s="640"/>
      <c r="AL144" s="1003" t="str">
        <f ca="1">SUBSTITUTE(CONCATENATE(" ",YEAR(A),"-",YEAR(A)+1),"-20","-")</f>
        <v xml:space="preserve"> 2019-20</v>
      </c>
      <c r="AM144" s="1729"/>
      <c r="AN144" s="1730"/>
      <c r="AO144" s="1730"/>
      <c r="AP144" s="1730"/>
      <c r="AQ144" s="1730"/>
      <c r="AR144" s="1730"/>
      <c r="AS144" s="1730"/>
      <c r="AT144" s="1730"/>
      <c r="AU144" s="1730"/>
      <c r="AV144" s="1730"/>
      <c r="AW144" s="1730"/>
      <c r="AX144" s="1731"/>
      <c r="AY144" s="1489"/>
      <c r="AZ144" s="2576"/>
      <c r="BA144" s="2577"/>
    </row>
    <row r="145" spans="1:53" ht="11.45" customHeight="1">
      <c r="A145" s="1054" t="str">
        <f>IF(X="CHAMPIONNAT",[3]TABLEAU!$I$4,IF(AND(X="CHAMPION'S LEAGUE",[1]DONNEES!$DL$6=""),"LDC",IF(AND(X="CHAMPION'S LEAGUE",[1]DONNEES!$DL$6&lt;&gt;""),[1]DONNEES!$DL$6,IF(X="UEFA",[5]DONNEES!$BU$6,IF(X="COUPE DE FRANCE",[6]DONNEES!$BV$6,IF(X="COUPE DE LA LIGUE",[7]DONNEES!$BV$6,IF(X="EURO",[9]CLASSEMENT!$AC$5,IF(X="CONFEDERATIONS",[10]DONNEES!$BT$6,IF(X="MONDIAL",[8]CLASSEMENT!$BF$5,IF(X="FORMULE 1",'[2]PILOTES &amp; ECURIES'!$AD$5,""))))))))))</f>
        <v>NANTES</v>
      </c>
      <c r="B145" s="1053" t="str">
        <f>SUBSTITUTE(SUBSTITUTE(SUBSTITUTE(SUBSTITUTE(SUBSTITUTE(SUBSTITUTE(SUBSTITUTE(SUBSTITUTE(IF(X="CHAMPIONNAT",CONCATENATE("#(CHAMPIONNAT 2019-20)= ",[3]TABLEAU!$ER$4,"#"),IF(X="CHAMPION'S LEAGUE",[1]DONNEES!$DM$6,IF(X="UEFA",[5]DONNEES!$BT$6,IF(X="COUPE DE FRANCE",[6]DONNEES!$BU$6,IF(X="COUPE DE LA LIGUE",[7]DONNEES!$BU$6,IF(X="MONDIAL",[8]CLASSEMENT!$BG$5,IF(X="EURO",[9]CLASSEMENT!$AC$5,IF(X="CONFEDERATIONS",[10]DONNEES!$BU$6,'[2]PILOTES &amp; ECURIES'!$DZ$5)))))))),"##","#"),"= #","= "),"{2°} RECOIT","RECOIT"),"{2°} VA","VA"),"NOUVELLE ANNEE","NOUVELLE SAISON"),":#",": "),"=&gt;#","=&gt;"),"= (-)"," (-)")</f>
        <v>#(CHAMPIONNAT 2019-20)= 2° NANTES (19 PTS) =&gt;12J: (2/11) VA A BORDEAUX#</v>
      </c>
      <c r="C145" s="1421"/>
      <c r="D145" s="1422"/>
      <c r="E145" s="1219"/>
      <c r="F145" s="15"/>
      <c r="G145" s="1742"/>
      <c r="H145" s="1743"/>
      <c r="I145" s="1806"/>
      <c r="J145" s="1807"/>
      <c r="K145" s="1807"/>
      <c r="L145" s="1807"/>
      <c r="M145" s="1807"/>
      <c r="N145" s="1807"/>
      <c r="O145" s="1808"/>
      <c r="P145" s="1983"/>
      <c r="Q145" s="1984"/>
      <c r="R145" s="1984"/>
      <c r="S145" s="1984"/>
      <c r="T145" s="1984"/>
      <c r="U145" s="1984"/>
      <c r="V145" s="1985"/>
      <c r="W145" s="1633"/>
      <c r="X145" s="1634"/>
      <c r="Y145" s="1634"/>
      <c r="Z145" s="1635"/>
      <c r="AA145" s="1843"/>
      <c r="AB145" s="1844"/>
      <c r="AC145" s="1844"/>
      <c r="AD145" s="1844"/>
      <c r="AE145" s="1845"/>
      <c r="AF145" s="1633"/>
      <c r="AG145" s="1634"/>
      <c r="AH145" s="1712"/>
      <c r="AI145" s="1470"/>
      <c r="AJ145" s="643"/>
      <c r="AK145" s="640"/>
      <c r="AL145" s="1002" t="str">
        <f ca="1">IF(AND(RESULT&lt;&gt;"",TV&lt;&gt;""),CONCATENATE(CONCATENATE(RESULT," &amp; ",TV," &amp; ",RESULT)),"")</f>
        <v/>
      </c>
      <c r="AM145" s="1729"/>
      <c r="AN145" s="1730"/>
      <c r="AO145" s="1730"/>
      <c r="AP145" s="1730"/>
      <c r="AQ145" s="1730"/>
      <c r="AR145" s="1730"/>
      <c r="AS145" s="1730"/>
      <c r="AT145" s="1730"/>
      <c r="AU145" s="1730"/>
      <c r="AV145" s="1730"/>
      <c r="AW145" s="1730"/>
      <c r="AX145" s="1731"/>
      <c r="AY145" s="1489"/>
      <c r="AZ145" s="2576"/>
      <c r="BA145" s="2577"/>
    </row>
    <row r="146" spans="1:53" ht="11.45" customHeight="1">
      <c r="A146" s="1054" t="str">
        <f>IF(X="CHAMPIONNAT",[3]TABLEAU!$I$5,IF(AND(X="CHAMPION'S LEAGUE",[1]DONNEES!$DL$7=""),"LDC",IF(AND(X="CHAMPION'S LEAGUE",[1]DONNEES!$DL$7&lt;&gt;""),[1]DONNEES!$DL$7,IF(X="UEFA",[5]DONNEES!$BU$7,IF(X="COUPE DE FRANCE",[6]DONNEES!$BV$7,IF(X="COUPE DE LA LIGUE",[7]DONNEES!$BV$7,IF(X="EURO",[9]CLASSEMENT!$AC$6,IF(X="CONFEDERATIONS",[10]DONNEES!$BT$7,IF(X="MONDIAL",[8]CLASSEMENT!$BF$6,IF(X="FORMULE 1",'[2]PILOTES &amp; ECURIES'!$AD$6,""))))))))))</f>
        <v>LILLE</v>
      </c>
      <c r="B146" s="1053" t="str">
        <f>SUBSTITUTE(SUBSTITUTE(SUBSTITUTE(SUBSTITUTE(SUBSTITUTE(SUBSTITUTE(SUBSTITUTE(IF(X="CHAMPIONNAT",CONCATENATE("#(CHAMPIONNAT 2019-20)= ",[3]TABLEAU!$ER$5,"#"),IF(X="CHAMPION'S LEAGUE",[1]DONNEES!$DM$7,IF(X="UEFA",[5]DONNEES!$BT$7,IF(X="COUPE DE FRANCE",[6]DONNEES!$BU$7,IF(X="COUPE DE LA LIGUE",[7]DONNEES!$BU$7,IF(X="MONDIAL",[8]CLASSEMENT!$BG$6,IF(X="EURO",[9]CLASSEMENT!$AC$6,IF(X="CONFEDERATIONS",[10]DONNEES!$BU$7,'[2]PILOTES &amp; ECURIES'!$DZ$6)))))))),"##","#"),"= #","= "),"{3°} RECOIT","RECOIT"),"{3°} VA","VA"),"NOUVELLE ANNEE","NOUVELLE SAISON"),":#",": "),"=&gt;#","=&gt;")</f>
        <v>#(CHAMPIONNAT 2019-20)= 3° LILLE (18 PTS) =&gt;12J: (2/11) VA AU VELODROME#</v>
      </c>
      <c r="C146" s="1421"/>
      <c r="D146" s="1422"/>
      <c r="E146" s="1219"/>
      <c r="F146" s="15"/>
      <c r="G146" s="1742"/>
      <c r="H146" s="1743"/>
      <c r="I146" s="1806"/>
      <c r="J146" s="1807"/>
      <c r="K146" s="1807"/>
      <c r="L146" s="1807"/>
      <c r="M146" s="1807"/>
      <c r="N146" s="1807"/>
      <c r="O146" s="1808"/>
      <c r="P146" s="1983"/>
      <c r="Q146" s="1984"/>
      <c r="R146" s="1984"/>
      <c r="S146" s="1984"/>
      <c r="T146" s="1984"/>
      <c r="U146" s="1984"/>
      <c r="V146" s="1985"/>
      <c r="W146" s="1633"/>
      <c r="X146" s="1634"/>
      <c r="Y146" s="1634"/>
      <c r="Z146" s="1635"/>
      <c r="AA146" s="1843"/>
      <c r="AB146" s="1844"/>
      <c r="AC146" s="1844"/>
      <c r="AD146" s="1844"/>
      <c r="AE146" s="1845"/>
      <c r="AF146" s="1633"/>
      <c r="AG146" s="1634"/>
      <c r="AH146" s="1712"/>
      <c r="AI146" s="1482"/>
      <c r="AJ146" s="643"/>
      <c r="AK146" s="640"/>
      <c r="AL146" s="1004" t="str">
        <f ca="1">IF(AND(RESULT&lt;&gt;"",TV&lt;&gt;""),CONCATENATE(CONCATENATE(RESULT," &amp; ",TV)),"")</f>
        <v/>
      </c>
      <c r="AM146" s="1729"/>
      <c r="AN146" s="1730"/>
      <c r="AO146" s="1730"/>
      <c r="AP146" s="1730"/>
      <c r="AQ146" s="1730"/>
      <c r="AR146" s="1730"/>
      <c r="AS146" s="1730"/>
      <c r="AT146" s="1730"/>
      <c r="AU146" s="1730"/>
      <c r="AV146" s="1730"/>
      <c r="AW146" s="1730"/>
      <c r="AX146" s="1731"/>
      <c r="AY146" s="1489"/>
      <c r="AZ146" s="2576"/>
      <c r="BA146" s="2577"/>
    </row>
    <row r="147" spans="1:53" ht="11.45" customHeight="1">
      <c r="A147" s="1054" t="str">
        <f>IF(X="CHAMPIONNAT",[3]TABLEAU!$I$6,IF(AND(X="CHAMPION'S LEAGUE",[1]DONNEES!$DL$8=""),"LDC",IF(AND(X="CHAMPION'S LEAGUE",[1]DONNEES!$DL$8&lt;&gt;""),[1]DONNEES!$DL$8,IF(X="UEFA",[5]DONNEES!$BU$8,IF(X="COUPE DE FRANCE",[6]DONNEES!$BV$8,IF(X="COUPE DE LA LIGUE",[7]DONNEES!$BV$8,IF(X="EURO",[9]CLASSEMENT!$AC$7,IF(X="CONFEDERATIONS",[10]DONNEES!$BT$8,IF(X="MONDIAL",[8]CLASSEMENT!$BF$7,IF(X="FORMULE 1",'[2]PILOTES &amp; ECURIES'!$AD$7,""))))))))))</f>
        <v>REIMS</v>
      </c>
      <c r="B147" s="1053" t="str">
        <f>SUBSTITUTE(SUBSTITUTE(SUBSTITUTE(SUBSTITUTE(SUBSTITUTE(SUBSTITUTE(SUBSTITUTE(IF(X="CHAMPIONNAT",CONCATENATE("#(CHAMPIONNAT 2019-20)= ",[3]TABLEAU!$ER$6,"#"),IF(X="CHAMPION'S LEAGUE",[1]DONNEES!$DM$8,IF(X="UEFA",[5]DONNEES!$BT$8,IF(X="COUPE DE FRANCE",[6]DONNEES!$BU$8,IF(X="COUPE DE LA LIGUE",[7]DONNEES!$BU$8,IF(X="MONDIAL",[8]CLASSEMENT!$BG$7,IF(X="EURO",[9]CLASSEMENT!$AC$7,IF(X="CONFEDERATIONS",[10]DONNEES!$BU$8,'[2]PILOTES &amp; ECURIES'!$DZ$7)))))))),"##","#"),"= #","= "),"{4°} RECOIT","RECOIT"),"{4°} VA","VA"),"NOUVELLE ANNEE","NOUVELLE SAISON"),":#",": "),"=&gt;#","=&gt;")</f>
        <v>#(CHAMPIONNAT 2019-20)= 4° REIMS (18 PTS) =&gt;12J: (2/11) VA A NICE#</v>
      </c>
      <c r="C147" s="1421"/>
      <c r="D147" s="1422"/>
      <c r="E147" s="1219"/>
      <c r="F147" s="15"/>
      <c r="G147" s="1742"/>
      <c r="H147" s="1743"/>
      <c r="I147" s="1806"/>
      <c r="J147" s="1807"/>
      <c r="K147" s="1807"/>
      <c r="L147" s="1807"/>
      <c r="M147" s="1807"/>
      <c r="N147" s="1807"/>
      <c r="O147" s="1808"/>
      <c r="P147" s="1983"/>
      <c r="Q147" s="1984"/>
      <c r="R147" s="1984"/>
      <c r="S147" s="1984"/>
      <c r="T147" s="1984"/>
      <c r="U147" s="1984"/>
      <c r="V147" s="1985"/>
      <c r="W147" s="1633"/>
      <c r="X147" s="1634"/>
      <c r="Y147" s="1634"/>
      <c r="Z147" s="1635"/>
      <c r="AA147" s="1843"/>
      <c r="AB147" s="1844"/>
      <c r="AC147" s="1844"/>
      <c r="AD147" s="1844"/>
      <c r="AE147" s="1845"/>
      <c r="AF147" s="1633"/>
      <c r="AG147" s="1634"/>
      <c r="AH147" s="1712"/>
      <c r="AI147" s="1470"/>
      <c r="AJ147" s="643"/>
      <c r="AK147" s="640"/>
      <c r="AL147" s="1002" t="str">
        <f ca="1">IF(RDV.1.DATE=A,CONCATENATE(TABLEAU!$B$49," &amp; ",TABLEAU!$B$49),"")</f>
        <v/>
      </c>
      <c r="AM147" s="1729"/>
      <c r="AN147" s="1730"/>
      <c r="AO147" s="1730"/>
      <c r="AP147" s="1730"/>
      <c r="AQ147" s="1730"/>
      <c r="AR147" s="1730"/>
      <c r="AS147" s="1730"/>
      <c r="AT147" s="1730"/>
      <c r="AU147" s="1730"/>
      <c r="AV147" s="1730"/>
      <c r="AW147" s="1730"/>
      <c r="AX147" s="1731"/>
      <c r="AY147" s="1489"/>
      <c r="AZ147" s="2576"/>
      <c r="BA147" s="2577"/>
    </row>
    <row r="148" spans="1:53" ht="11.45" customHeight="1">
      <c r="A148" s="1054" t="str">
        <f>IF(X="CHAMPIONNAT",[3]TABLEAU!$I$7,IF(AND(X="CHAMPION'S LEAGUE",[1]DONNEES!$DL$9=""),"LDC",IF(AND(X="CHAMPION'S LEAGUE",[1]DONNEES!$DL$9&lt;&gt;""),[1]DONNEES!$DL$9,IF(X="UEFA",[5]DONNEES!$BU$9,IF(X="COUPE DE FRANCE",[6]DONNEES!$BV$9,IF(X="COUPE DE LA LIGUE",[7]DONNEES!$BV$9,IF(X="EURO",[9]CLASSEMENT!$AC$8,IF(X="CONFEDERATIONS",[10]DONNEES!$BT$9,IF(X="MONDIAL",[8]CLASSEMENT!$BF$8,IF(X="FORMULE 1",'[2]PILOTES &amp; ECURIES'!$AD$8,""))))))))))</f>
        <v>ANGERS</v>
      </c>
      <c r="B148" s="1053" t="str">
        <f>SUBSTITUTE(SUBSTITUTE(SUBSTITUTE(SUBSTITUTE(SUBSTITUTE(SUBSTITUTE(SUBSTITUTE(IF(X="CHAMPIONNAT",CONCATENATE("#(CHAMPIONNAT 2019-20)= ",[3]TABLEAU!$ER$7,"#"),IF(X="CHAMPION'S LEAGUE",[1]DONNEES!$DM$9,IF(X="UEFA",[5]DONNEES!$BT$9,IF(X="COUPE DE FRANCE",[6]DONNEES!$BU$9,IF(X="COUPE DE LA LIGUE",[7]DONNEES!$BU$9,IF(X="MONDIAL",[8]CLASSEMENT!$BG$8,IF(X="EURO",[9]CLASSEMENT!$AC$8,IF(X="CONFEDERATIONS",[10]DONNEES!$BU$9,'[2]PILOTES &amp; ECURIES'!$DZ$8)))))))),"##","#"),"= #","= "),"{5°} RECOIT","RECOIT"),"{5°} VA","VA"),"NOUVELLE ANNEE","NOUVELLE SAISON"),":#",": "),"=&gt;#","=&gt;")</f>
        <v>#(CHAMPIONNAT 2019-20)= 5° ANGERS (17 PTS) =&gt;12J: (2/11) RECOIT STRASBOURG#</v>
      </c>
      <c r="C148" s="1421"/>
      <c r="D148" s="1422"/>
      <c r="E148" s="1219"/>
      <c r="F148" s="15"/>
      <c r="G148" s="1742"/>
      <c r="H148" s="1743"/>
      <c r="I148" s="1806"/>
      <c r="J148" s="1807"/>
      <c r="K148" s="1807"/>
      <c r="L148" s="1807"/>
      <c r="M148" s="1807"/>
      <c r="N148" s="1807"/>
      <c r="O148" s="1808"/>
      <c r="P148" s="1983"/>
      <c r="Q148" s="1984"/>
      <c r="R148" s="1984"/>
      <c r="S148" s="1984"/>
      <c r="T148" s="1984"/>
      <c r="U148" s="1984"/>
      <c r="V148" s="1985"/>
      <c r="W148" s="1633"/>
      <c r="X148" s="1634"/>
      <c r="Y148" s="1634"/>
      <c r="Z148" s="1635"/>
      <c r="AA148" s="1843"/>
      <c r="AB148" s="1844"/>
      <c r="AC148" s="1844"/>
      <c r="AD148" s="1844"/>
      <c r="AE148" s="1845"/>
      <c r="AF148" s="1633"/>
      <c r="AG148" s="1634"/>
      <c r="AH148" s="1712"/>
      <c r="AI148" s="1482"/>
      <c r="AJ148" s="643"/>
      <c r="AK148" s="640"/>
      <c r="AL148" s="1004" t="str">
        <f ca="1">IF(RDV.1.DATE=A,TABLEAU!$B$49,"")</f>
        <v/>
      </c>
      <c r="AM148" s="1729"/>
      <c r="AN148" s="1730"/>
      <c r="AO148" s="1730"/>
      <c r="AP148" s="1730"/>
      <c r="AQ148" s="1730"/>
      <c r="AR148" s="1730"/>
      <c r="AS148" s="1730"/>
      <c r="AT148" s="1730"/>
      <c r="AU148" s="1730"/>
      <c r="AV148" s="1730"/>
      <c r="AW148" s="1730"/>
      <c r="AX148" s="1731"/>
      <c r="AY148" s="1489"/>
      <c r="AZ148" s="2576"/>
      <c r="BA148" s="2577"/>
    </row>
    <row r="149" spans="1:53" ht="11.45" customHeight="1">
      <c r="A149" s="1054" t="str">
        <f>IF(X="CHAMPIONNAT",[3]TABLEAU!$I$8,IF(AND(X="CHAMPION'S LEAGUE",[1]DONNEES!$DL$10=""),"LDC",IF(AND(X="CHAMPION'S LEAGUE",[1]DONNEES!$DL$10&lt;&gt;""),[1]DONNEES!$DL$10,IF(X="UEFA",[5]DONNEES!$BU$10,IF(X="COUPE DE FRANCE",[6]DONNEES!$BV$10,IF(X="COUPE DE LA LIGUE",[7]DONNEES!$BV$10,IF(X="EURO",[9]CLASSEMENT!$AC$9,IF(X="CONFEDERATIONS",[10]DONNEES!$BT$10,IF(X="MONDIAL",[8]CLASSEMENT!$BF$9,IF(X="FORMULE 1",'[2]PILOTES &amp; ECURIES'!$AD$9,""))))))))))</f>
        <v>BREST</v>
      </c>
      <c r="B149" s="1053" t="str">
        <f>SUBSTITUTE(SUBSTITUTE(SUBSTITUTE(SUBSTITUTE(SUBSTITUTE(SUBSTITUTE(SUBSTITUTE(IF(X="CHAMPIONNAT",CONCATENATE("#(CHAMPIONNAT 2019-20)= ",[3]TABLEAU!$ER$8,"#"),IF(X="CHAMPION'S LEAGUE",[1]DONNEES!$DM$10,IF(X="UEFA",[5]DONNEES!$BT$10,IF(X="COUPE DE FRANCE",[6]DONNEES!$BU$10,IF(X="COUPE DE LA LIGUE",[7]DONNEES!$BU$10,IF(X="MONDIAL",[8]CLASSEMENT!$BG$9,IF(X="EURO",[9]CLASSEMENT!$AC$9,IF(X="CONFEDERATIONS",[10]DONNEES!$BU$10,'[2]PILOTES &amp; ECURIES'!$DZ$9)))))))),"##","#"),"= #","= "),"{6°} RECOIT","RECOIT"),"{6°} VA","VA"),"NOUVELLE ANNEE","NOUVELLE SAISON"),":#",": "),"=&gt;#","=&gt;")</f>
        <v>#(CHAMPIONNAT 2019-20)= 6° BREST (17 PTS) =&gt;12J: (2/11) VA A AMIENS#</v>
      </c>
      <c r="C149" s="1421"/>
      <c r="D149" s="1422"/>
      <c r="E149" s="1219"/>
      <c r="F149" s="15"/>
      <c r="G149" s="1742"/>
      <c r="H149" s="1743"/>
      <c r="I149" s="1806"/>
      <c r="J149" s="1807"/>
      <c r="K149" s="1807"/>
      <c r="L149" s="1807"/>
      <c r="M149" s="1807"/>
      <c r="N149" s="1807"/>
      <c r="O149" s="1808"/>
      <c r="P149" s="1983"/>
      <c r="Q149" s="1984"/>
      <c r="R149" s="1984"/>
      <c r="S149" s="1984"/>
      <c r="T149" s="1984"/>
      <c r="U149" s="1984"/>
      <c r="V149" s="1985"/>
      <c r="W149" s="1633"/>
      <c r="X149" s="1634"/>
      <c r="Y149" s="1634"/>
      <c r="Z149" s="1635"/>
      <c r="AA149" s="1843"/>
      <c r="AB149" s="1844"/>
      <c r="AC149" s="1844"/>
      <c r="AD149" s="1844"/>
      <c r="AE149" s="1845"/>
      <c r="AF149" s="1633"/>
      <c r="AG149" s="1634"/>
      <c r="AH149" s="1712"/>
      <c r="AI149" s="1470"/>
      <c r="AJ149" s="643"/>
      <c r="AK149" s="640"/>
      <c r="AL149" s="1002" t="str">
        <f ca="1">IF(AND(RESULT&lt;&gt;"",TV&lt;&gt;""),SUBSTITUTE(CONCATENATE(RESULT," &amp; ",TV," &amp; ",RESULT),"[CHAMPIONNAT]","[CHAMPIONNAT]"),"")</f>
        <v/>
      </c>
      <c r="AM149" s="1729"/>
      <c r="AN149" s="1730"/>
      <c r="AO149" s="1730"/>
      <c r="AP149" s="1730"/>
      <c r="AQ149" s="1730"/>
      <c r="AR149" s="1730"/>
      <c r="AS149" s="1730"/>
      <c r="AT149" s="1730"/>
      <c r="AU149" s="1730"/>
      <c r="AV149" s="1730"/>
      <c r="AW149" s="1730"/>
      <c r="AX149" s="1731"/>
      <c r="AY149" s="1489"/>
      <c r="AZ149" s="2576"/>
      <c r="BA149" s="2577"/>
    </row>
    <row r="150" spans="1:53" ht="11.45" customHeight="1">
      <c r="A150" s="1054" t="str">
        <f>IF(X="CHAMPIONNAT",[3]TABLEAU!$I$9,IF(AND(X="CHAMPION'S LEAGUE",[1]DONNEES!$DL$11=""),"LDC",IF(AND(X="CHAMPION'S LEAGUE",[1]DONNEES!$DL$11&lt;&gt;""),[1]DONNEES!$DL$11,IF(X="UEFA",[5]DONNEES!$BU$11,IF(X="COUPE DE FRANCE",[6]DONNEES!$BV$11,IF(X="COUPE DE LA LIGUE",[7]DONNEES!$BV$11,IF(X="EURO",[9]CLASSEMENT!$AC$10,IF(X="CONFEDERATIONS",[10]DONNEES!$BT$11,IF(X="MONDIAL",[8]CLASSEMENT!$BF$10,IF(X="FORMULE 1",'[2]PILOTES &amp; ECURIES'!$AD$10,""))))))))))</f>
        <v>MARSEILLE</v>
      </c>
      <c r="B150" s="1053" t="str">
        <f>SUBSTITUTE(SUBSTITUTE(SUBSTITUTE(SUBSTITUTE(SUBSTITUTE(SUBSTITUTE(SUBSTITUTE(IF(X="CHAMPIONNAT",CONCATENATE("#(CHAMPIONNAT 2019-20)= ",[3]TABLEAU!$ER$9,"#"),IF(X="CHAMPION'S LEAGUE",[1]DONNEES!$DM$11,IF(X="UEFA",[5]DONNEES!$BT$11,IF(X="COUPE DE FRANCE",[6]DONNEES!$BU$11,IF(X="COUPE DE LA LIGUE",[7]DONNEES!$BU$11,IF(X="MONDIAL",[8]CLASSEMENT!$BG$10,IF(X="EURO",[9]CLASSEMENT!$AC$10,IF(X="CONFEDERATIONS",[10]DONNEES!$BU$11,'[2]PILOTES &amp; ECURIES'!$DZ$10)))))))),"##","#"),"= #","= "),"{7°} RECOIT","RECOIT"),"{7°} VA","VA"),"NOUVELLE ANNEE","NOUVELLE SAISON"),":#",": "),"=&gt;#","=&gt;")</f>
        <v>#(CHAMPIONNAT 2019-20)= 7° MARSEILLE (16 PTS) =&gt;12J: (2/11) RECOIT LILLE#</v>
      </c>
      <c r="C150" s="1421"/>
      <c r="D150" s="1422"/>
      <c r="E150" s="1219"/>
      <c r="F150" s="15"/>
      <c r="G150" s="1742"/>
      <c r="H150" s="1743"/>
      <c r="I150" s="1806"/>
      <c r="J150" s="1807"/>
      <c r="K150" s="1807"/>
      <c r="L150" s="1807"/>
      <c r="M150" s="1807"/>
      <c r="N150" s="1807"/>
      <c r="O150" s="1808"/>
      <c r="P150" s="1983"/>
      <c r="Q150" s="1984"/>
      <c r="R150" s="1984"/>
      <c r="S150" s="1984"/>
      <c r="T150" s="1984"/>
      <c r="U150" s="1984"/>
      <c r="V150" s="1985"/>
      <c r="W150" s="1633"/>
      <c r="X150" s="1634"/>
      <c r="Y150" s="1634"/>
      <c r="Z150" s="1635"/>
      <c r="AA150" s="1843"/>
      <c r="AB150" s="1844"/>
      <c r="AC150" s="1844"/>
      <c r="AD150" s="1844"/>
      <c r="AE150" s="1845"/>
      <c r="AF150" s="1633"/>
      <c r="AG150" s="1634"/>
      <c r="AH150" s="1712"/>
      <c r="AI150" s="1482"/>
      <c r="AJ150" s="643"/>
      <c r="AK150" s="640"/>
      <c r="AL150" s="1004" t="str">
        <f ca="1">IF(AND(RESULT&lt;&gt;"",TV&lt;&gt;""),SUBSTITUTE(CONCATENATE(RESULT," &amp; ",TV),"[CHAMPIONNAT]","[CHAMPIONNAT]"),"")</f>
        <v/>
      </c>
      <c r="AM150" s="1729"/>
      <c r="AN150" s="1730"/>
      <c r="AO150" s="1730"/>
      <c r="AP150" s="1730"/>
      <c r="AQ150" s="1730"/>
      <c r="AR150" s="1730"/>
      <c r="AS150" s="1730"/>
      <c r="AT150" s="1730"/>
      <c r="AU150" s="1730"/>
      <c r="AV150" s="1730"/>
      <c r="AW150" s="1730"/>
      <c r="AX150" s="1731"/>
      <c r="AY150" s="1489"/>
      <c r="AZ150" s="2576"/>
      <c r="BA150" s="2577"/>
    </row>
    <row r="151" spans="1:53" ht="11.45" customHeight="1">
      <c r="A151" s="1054" t="str">
        <f>IF(X="CHAMPIONNAT",[3]TABLEAU!$I$10,IF(AND(X="CHAMPION'S LEAGUE",[1]DONNEES!$DL$12=""),"LDC",IF(AND(X="CHAMPION'S LEAGUE",[1]DONNEES!$DL$12&lt;&gt;""),[1]DONNEES!$DL$12,IF(X="UEFA",[5]DONNEES!$BU$12,IF(X="COUPE DE FRANCE",[6]DONNEES!$BV$12,IF(X="COUPE DE LA LIGUE",[7]DONNEES!$BV$12,IF(X="EURO",[9]CLASSEMENT!$AC$11,IF(X="CONFEDERATIONS",[10]DONNEES!$BT$12,IF(X="MONDIAL",[8]CLASSEMENT!$BF$11,IF(X="FORMULE 1",'[2]PILOTES &amp; ECURIES'!$AD$11,""))))))))))</f>
        <v>RENNES</v>
      </c>
      <c r="B151" s="1053" t="str">
        <f>SUBSTITUTE(SUBSTITUTE(SUBSTITUTE(SUBSTITUTE(SUBSTITUTE(SUBSTITUTE(SUBSTITUTE(IF(X="CHAMPIONNAT",CONCATENATE("#(CHAMPIONNAT 2019-20)= ",[3]TABLEAU!$ER$10,"#"),IF(X="CHAMPION'S LEAGUE",[1]DONNEES!$DM$12,IF(X="UEFA",[5]DONNEES!$BT$12,IF(X="COUPE DE FRANCE",[6]DONNEES!$BU$12,IF(X="COUPE DE LA LIGUE",[7]DONNEES!$BU$12,IF(X="MONDIAL",[8]CLASSEMENT!$BG$11,IF(X="EURO",[9]CLASSEMENT!$AC$11,IF(X="CONFEDERATIONS",[10]DONNEES!$BU$12,'[2]PILOTES &amp; ECURIES'!$DZ$11)))))))),"##","#"),"= #","= "),"{8°} RECOIT","RECOIT"),"{8°} VA","VA"),"NOUVELLE ANNEE","NOUVELLE SAISON"),":#",": "),"=&gt;#","=&gt;")</f>
        <v>#(CHAMPIONNAT 2019-20)= 8° RENNES (15 PTS) =&gt;12J: (2/11) VA A NIMES#</v>
      </c>
      <c r="C151" s="1421"/>
      <c r="D151" s="1422"/>
      <c r="E151" s="1219"/>
      <c r="F151" s="15"/>
      <c r="G151" s="1742"/>
      <c r="H151" s="1743"/>
      <c r="I151" s="1806"/>
      <c r="J151" s="1807"/>
      <c r="K151" s="1807"/>
      <c r="L151" s="1807"/>
      <c r="M151" s="1807"/>
      <c r="N151" s="1807"/>
      <c r="O151" s="1808"/>
      <c r="P151" s="1983"/>
      <c r="Q151" s="1984"/>
      <c r="R151" s="1984"/>
      <c r="S151" s="1984"/>
      <c r="T151" s="1984"/>
      <c r="U151" s="1984"/>
      <c r="V151" s="1985"/>
      <c r="W151" s="1633"/>
      <c r="X151" s="1634"/>
      <c r="Y151" s="1634"/>
      <c r="Z151" s="1635"/>
      <c r="AA151" s="1843"/>
      <c r="AB151" s="1844"/>
      <c r="AC151" s="1844"/>
      <c r="AD151" s="1844"/>
      <c r="AE151" s="1845"/>
      <c r="AF151" s="1633"/>
      <c r="AG151" s="1634"/>
      <c r="AH151" s="1712"/>
      <c r="AI151" s="1470"/>
      <c r="AJ151" s="643"/>
      <c r="AK151" s="640"/>
      <c r="AL151" s="1002" t="str">
        <f ca="1">IF(RDV.1.DATE&lt;&gt;A,"",CONCATENATE(TABLEAU!$B$49," &amp; ",TABLEAU!$B$49))</f>
        <v/>
      </c>
      <c r="AM151" s="1729"/>
      <c r="AN151" s="1730"/>
      <c r="AO151" s="1730"/>
      <c r="AP151" s="1730"/>
      <c r="AQ151" s="1730"/>
      <c r="AR151" s="1730"/>
      <c r="AS151" s="1730"/>
      <c r="AT151" s="1730"/>
      <c r="AU151" s="1730"/>
      <c r="AV151" s="1730"/>
      <c r="AW151" s="1730"/>
      <c r="AX151" s="1731"/>
      <c r="AY151" s="1489"/>
      <c r="AZ151" s="2576"/>
      <c r="BA151" s="2577"/>
    </row>
    <row r="152" spans="1:53" ht="11.45" customHeight="1">
      <c r="A152" s="1054" t="str">
        <f>IF(X="CHAMPIONNAT",[3]TABLEAU!$I$11,IF(AND(X="CHAMPION'S LEAGUE",[1]DONNEES!$DL$13=""),"LDC",IF(AND(X="CHAMPION'S LEAGUE",[1]DONNEES!$DL$13&lt;&gt;""),[1]DONNEES!$DL$13,IF(X="UEFA",[5]DONNEES!$BU$13,IF(X="COUPE DE FRANCE",[6]DONNEES!$BV$13,IF(X="COUPE DE LA LIGUE",[7]DONNEES!$BV$13,IF(X="EURO",[9]CLASSEMENT!$AC$12,IF(X="MONDIAL",[8]CLASSEMENT!$BF$12,IF(X="FORMULE 1",'[2]PILOTES &amp; ECURIES'!$AD$12,"")))))))))</f>
        <v>MONTPELLIER</v>
      </c>
      <c r="B152" s="1053" t="str">
        <f>SUBSTITUTE(SUBSTITUTE(SUBSTITUTE(SUBSTITUTE(SUBSTITUTE(SUBSTITUTE(SUBSTITUTE(IF(X="CHAMPIONNAT",CONCATENATE("#(CHAMPIONNAT 2019-20)= ",[3]TABLEAU!$ER$11,"#"),IF(X="CHAMPION'S LEAGUE",[1]DONNEES!$DM$13,IF(X="UEFA",[5]DONNEES!$BT$13,IF(X="COUPE DE FRANCE",[6]DONNEES!$BU$13,IF(X="COUPE DE LA LIGUE",[7]DONNEES!$BU$13,IF(X="MONDIAL",[8]CLASSEMENT!$BG$12,IF(X="EURO",[9]CLASSEMENT!$AC$12,IF(X="CONFEDERATIONS","",'[2]PILOTES &amp; ECURIES'!$DZ$12)))))))),"##","#"),"= #","= "),"{9°} RECOIT","RECOIT"),"{9°} VA","VA"),"NOUVELLE ANNEE","NOUVELLE SAISON"),":#",": "),"=&gt;#","=&gt;")</f>
        <v>#(CHAMPIONNAT 2019-20)= 9° MONTPELLIER (15 PTS) =&gt;12J: (2/11) VA A METZ#</v>
      </c>
      <c r="C152" s="1421"/>
      <c r="D152" s="1422"/>
      <c r="E152" s="1219"/>
      <c r="F152" s="15"/>
      <c r="G152" s="1742"/>
      <c r="H152" s="1743"/>
      <c r="I152" s="1806"/>
      <c r="J152" s="1807"/>
      <c r="K152" s="1807"/>
      <c r="L152" s="1807"/>
      <c r="M152" s="1807"/>
      <c r="N152" s="1807"/>
      <c r="O152" s="1808"/>
      <c r="P152" s="1983"/>
      <c r="Q152" s="1984"/>
      <c r="R152" s="1984"/>
      <c r="S152" s="1984"/>
      <c r="T152" s="1984"/>
      <c r="U152" s="1984"/>
      <c r="V152" s="1985"/>
      <c r="W152" s="1633"/>
      <c r="X152" s="1634"/>
      <c r="Y152" s="1634"/>
      <c r="Z152" s="1635"/>
      <c r="AA152" s="1843"/>
      <c r="AB152" s="1844"/>
      <c r="AC152" s="1844"/>
      <c r="AD152" s="1844"/>
      <c r="AE152" s="1845"/>
      <c r="AF152" s="1633"/>
      <c r="AG152" s="1634"/>
      <c r="AH152" s="1712"/>
      <c r="AI152" s="1482"/>
      <c r="AJ152" s="643"/>
      <c r="AK152" s="640"/>
      <c r="AL152" s="1004" t="str">
        <f ca="1">IF(RDV.1.DATE&lt;&gt;A,"",TABLEAU!$B$49)</f>
        <v/>
      </c>
      <c r="AM152" s="1729"/>
      <c r="AN152" s="1730"/>
      <c r="AO152" s="1730"/>
      <c r="AP152" s="1730"/>
      <c r="AQ152" s="1730"/>
      <c r="AR152" s="1730"/>
      <c r="AS152" s="1730"/>
      <c r="AT152" s="1730"/>
      <c r="AU152" s="1730"/>
      <c r="AV152" s="1730"/>
      <c r="AW152" s="1730"/>
      <c r="AX152" s="1731"/>
      <c r="AY152" s="1489"/>
      <c r="AZ152" s="2576"/>
      <c r="BA152" s="2577"/>
    </row>
    <row r="153" spans="1:53" ht="11.45" customHeight="1">
      <c r="A153" s="1054" t="str">
        <f>IF(X="CHAMPIONNAT",[3]TABLEAU!$I$12,IF(AND(X="CHAMPION'S LEAGUE",[1]DONNEES!$DL$14=""),"LDC",IF(AND(X="CHAMPION'S LEAGUE",[1]DONNEES!$DL$14&lt;&gt;""),[1]DONNEES!$DL$14,IF(X="UEFA",[5]DONNEES!$BU$14,IF(X="COUPE DE FRANCE",[6]DONNEES!$BV$14,IF(X="COUPE DE LA LIGUE",[7]DONNEES!$BV$14,IF(X="EURO",[9]CLASSEMENT!$AC$13,IF(X="MONDIAL",[8]CLASSEMENT!$BF$13,IF(X="FORMULE 1",'[2]PILOTES &amp; ECURIES'!$AD$13,"")))))))))</f>
        <v>BORDEAUX</v>
      </c>
      <c r="B153" s="1053" t="str">
        <f>SUBSTITUTE(SUBSTITUTE(SUBSTITUTE(SUBSTITUTE(SUBSTITUTE(SUBSTITUTE(SUBSTITUTE(IF(X="CHAMPIONNAT",CONCATENATE("#(CHAMPIONNAT 2019-20)= ",[3]TABLEAU!$ER$12,"#"),IF(X="CHAMPION'S LEAGUE",[1]DONNEES!$DM$14,IF(X="UEFA",[5]DONNEES!$BT$14,IF(X="COUPE DE FRANCE",[6]DONNEES!$BU$14,IF(X="COUPE DE LA LIGUE",[7]DONNEES!$BU$14,IF(X="MONDIAL",[8]CLASSEMENT!$BG$13,IF(X="EURO",[9]CLASSEMENT!$AC$13,IF(X="CONFEDERATIONS","",'[2]PILOTES &amp; ECURIES'!$DZ$13)))))))),"##","#"),"= #","= "),"{10°} RECOIT","RECOIT"),"{10°} VA","VA"),"NOUVELLE ANNEE","NOUVELLE SAISON"),":#",": "),"=&gt;#","=&gt;")</f>
        <v>#(CHAMPIONNAT 2019-20)= 10° BORDEAUX (15 PTS) =&gt;12J: (2/11) RECOIT NANTES#</v>
      </c>
      <c r="C153" s="1421"/>
      <c r="D153" s="1422"/>
      <c r="E153" s="1219"/>
      <c r="F153" s="15"/>
      <c r="G153" s="1742"/>
      <c r="H153" s="1743"/>
      <c r="I153" s="1806"/>
      <c r="J153" s="1807"/>
      <c r="K153" s="1807"/>
      <c r="L153" s="1807"/>
      <c r="M153" s="1807"/>
      <c r="N153" s="1807"/>
      <c r="O153" s="1808"/>
      <c r="P153" s="1983"/>
      <c r="Q153" s="1984"/>
      <c r="R153" s="1984"/>
      <c r="S153" s="1984"/>
      <c r="T153" s="1984"/>
      <c r="U153" s="1984"/>
      <c r="V153" s="1985"/>
      <c r="W153" s="1633"/>
      <c r="X153" s="1634"/>
      <c r="Y153" s="1634"/>
      <c r="Z153" s="1635"/>
      <c r="AA153" s="1843"/>
      <c r="AB153" s="1844"/>
      <c r="AC153" s="1844"/>
      <c r="AD153" s="1844"/>
      <c r="AE153" s="1845"/>
      <c r="AF153" s="1633"/>
      <c r="AG153" s="1634"/>
      <c r="AH153" s="1712"/>
      <c r="AI153" s="1470"/>
      <c r="AJ153" s="643"/>
      <c r="AK153" s="640"/>
      <c r="AL153" s="1143" t="str">
        <f ca="1">IF(PLUS&lt;&gt;"",CONCATENATE(PLUS," &amp; ",PLUS),"")</f>
        <v/>
      </c>
      <c r="AM153" s="1729"/>
      <c r="AN153" s="1730"/>
      <c r="AO153" s="1730"/>
      <c r="AP153" s="1730"/>
      <c r="AQ153" s="1730"/>
      <c r="AR153" s="1730"/>
      <c r="AS153" s="1730"/>
      <c r="AT153" s="1730"/>
      <c r="AU153" s="1730"/>
      <c r="AV153" s="1730"/>
      <c r="AW153" s="1730"/>
      <c r="AX153" s="1731"/>
      <c r="AY153" s="1489"/>
      <c r="AZ153" s="2576"/>
      <c r="BA153" s="2577"/>
    </row>
    <row r="154" spans="1:53" ht="11.45" customHeight="1">
      <c r="A154" s="1054" t="str">
        <f>IF(X="CHAMPIONNAT",[3]TABLEAU!$I$13,IF(AND(X="CHAMPION'S LEAGUE",[1]DONNEES!$DL$15=""),"LDC",IF(AND(X="CHAMPION'S LEAGUE",[1]DONNEES!$DL$15&lt;&gt;""),[1]DONNEES!$DL$15,IF(X="UEFA",[5]DONNEES!$BU$15,IF(X="COUPE DE FRANCE",[6]DONNEES!$BV$15,IF(X="COUPE DE LA LIGUE",[7]DONNEES!$BV$15,IF(X="EURO",[9]CLASSEMENT!$AC$14,IF(X="MONDIAL",[8]CLASSEMENT!$BF$14,IF(X="FORMULE 1",'[2]PILOTES &amp; ECURIES'!$AD$14,"")))))))))</f>
        <v>MONACO</v>
      </c>
      <c r="B154" s="1053" t="str">
        <f>SUBSTITUTE(SUBSTITUTE(SUBSTITUTE(SUBSTITUTE(SUBSTITUTE(SUBSTITUTE(SUBSTITUTE(IF(X="CHAMPIONNAT",CONCATENATE("#(CHAMPIONNAT 2019-20)= ",[3]TABLEAU!$ER$13,"#"),IF(X="CHAMPION'S LEAGUE",[1]DONNEES!$DM$15,IF(X="UEFA",[5]DONNEES!$BT$15,IF(X="COUPE DE FRANCE",[6]DONNEES!$BU$15,IF(X="COUPE DE LA LIGUE",[7]DONNEES!$BU$15,IF(X="MONDIAL",[8]CLASSEMENT!$BG$14,IF(X="EURO",[9]CLASSEMENT!$AC$14,IF(X="CONFEDERATIONS","",'[2]PILOTES &amp; ECURIES'!$DZ$14)))))))),"##","#"),"= #","= "),"{11°} RECOIT","RECOIT"),"{11°} VA","VA"),"NOUVELLE ANNEE","NOUVELLE SAISON"),":#",": "),"=&gt;#","=&gt;")</f>
        <v>#(CHAMPIONNAT 2019-20)= 11° MONACO (15 PTS) =&gt;12J: (2/11) VA A L'ASSE#</v>
      </c>
      <c r="C154" s="1421"/>
      <c r="D154" s="1422"/>
      <c r="E154" s="1219"/>
      <c r="F154" s="15"/>
      <c r="G154" s="1742"/>
      <c r="H154" s="1743"/>
      <c r="I154" s="1806"/>
      <c r="J154" s="1807"/>
      <c r="K154" s="1807"/>
      <c r="L154" s="1807"/>
      <c r="M154" s="1807"/>
      <c r="N154" s="1807"/>
      <c r="O154" s="1808"/>
      <c r="P154" s="1983"/>
      <c r="Q154" s="1984"/>
      <c r="R154" s="1984"/>
      <c r="S154" s="1984"/>
      <c r="T154" s="1984"/>
      <c r="U154" s="1984"/>
      <c r="V154" s="1985"/>
      <c r="W154" s="1633"/>
      <c r="X154" s="1634"/>
      <c r="Y154" s="1634"/>
      <c r="Z154" s="1635"/>
      <c r="AA154" s="1843"/>
      <c r="AB154" s="1844"/>
      <c r="AC154" s="1844"/>
      <c r="AD154" s="1844"/>
      <c r="AE154" s="1845"/>
      <c r="AF154" s="1633"/>
      <c r="AG154" s="1634"/>
      <c r="AH154" s="1712"/>
      <c r="AI154" s="1482"/>
      <c r="AJ154" s="643"/>
      <c r="AK154" s="640"/>
      <c r="AL154" s="1144" t="str">
        <f ca="1">IF(FERIE.4="","",FERIE.4)</f>
        <v/>
      </c>
      <c r="AM154" s="1729"/>
      <c r="AN154" s="1730"/>
      <c r="AO154" s="1730"/>
      <c r="AP154" s="1730"/>
      <c r="AQ154" s="1730"/>
      <c r="AR154" s="1730"/>
      <c r="AS154" s="1730"/>
      <c r="AT154" s="1730"/>
      <c r="AU154" s="1730"/>
      <c r="AV154" s="1730"/>
      <c r="AW154" s="1730"/>
      <c r="AX154" s="1731"/>
      <c r="AY154" s="1489"/>
      <c r="AZ154" s="2576"/>
      <c r="BA154" s="2577"/>
    </row>
    <row r="155" spans="1:53" ht="11.45" customHeight="1">
      <c r="A155" s="1054" t="str">
        <f>IF(X="CHAMPIONNAT",[3]TABLEAU!$I$14,IF(AND(X="CHAMPION'S LEAGUE",[1]DONNEES!$DL$16=""),"LDC",IF(AND(X="CHAMPION'S LEAGUE",[1]DONNEES!$DL$16&lt;&gt;""),[1]DONNEES!$DL$16,IF(X="UEFA",[5]DONNEES!$BU$16,IF(X="COUPE DE FRANCE",[6]DONNEES!$BV$16,IF(X="COUPE DE LA LIGUE",[7]DONNEES!$BV$16,IF(X="EURO",[9]CLASSEMENT!$AC$15,IF(X="MONDIAL",[8]CLASSEMENT!$BF$15,IF(X="FORMULE 1",'[2]PILOTES &amp; ECURIES'!$AD$15,"")))))))))</f>
        <v>ST ETIENNE</v>
      </c>
      <c r="B155" s="1053" t="str">
        <f>SUBSTITUTE(SUBSTITUTE(SUBSTITUTE(SUBSTITUTE(SUBSTITUTE(SUBSTITUTE(SUBSTITUTE(IF(X="CHAMPIONNAT",CONCATENATE("#(CHAMPIONNAT 2019-20)= ",[3]TABLEAU!$ER$14,"#"),IF(X="CHAMPION'S LEAGUE",[1]DONNEES!$DM$16,IF(X="UEFA",[5]DONNEES!$BT$16,IF(X="COUPE DE FRANCE",[6]DONNEES!$BU$16,IF(X="COUPE DE LA LIGUE",[7]DONNEES!$BU$16,IF(X="MONDIAL",[8]CLASSEMENT!$BG$15,IF(X="EURO",[9]CLASSEMENT!$AC$15,IF(X="CONFEDERATIONS","",'[2]PILOTES &amp; ECURIES'!$DZ$15)))))))),"##","#"),"= #","= "),"{12°} RECOIT","RECOIT"),"{12°} VA","VA"),"NOUVELLE ANNEE","NOUVELLE SAISON"),":#",": "),"=&gt;#","=&gt;")</f>
        <v>#(CHAMPIONNAT 2019-20)= 12° ST ETIENNE (15 PTS) =&gt;12J: (2/11) RECOIT MONACO#</v>
      </c>
      <c r="C155" s="1421"/>
      <c r="D155" s="1422"/>
      <c r="E155" s="1219"/>
      <c r="F155" s="15"/>
      <c r="G155" s="1742"/>
      <c r="H155" s="1743"/>
      <c r="I155" s="1806"/>
      <c r="J155" s="1807"/>
      <c r="K155" s="1807"/>
      <c r="L155" s="1807"/>
      <c r="M155" s="1807"/>
      <c r="N155" s="1807"/>
      <c r="O155" s="1808"/>
      <c r="P155" s="1983"/>
      <c r="Q155" s="1984"/>
      <c r="R155" s="1984"/>
      <c r="S155" s="1984"/>
      <c r="T155" s="1984"/>
      <c r="U155" s="1984"/>
      <c r="V155" s="1985"/>
      <c r="W155" s="1633"/>
      <c r="X155" s="1634"/>
      <c r="Y155" s="1634"/>
      <c r="Z155" s="1635"/>
      <c r="AA155" s="1843"/>
      <c r="AB155" s="1844"/>
      <c r="AC155" s="1844"/>
      <c r="AD155" s="1844"/>
      <c r="AE155" s="1845"/>
      <c r="AF155" s="1633"/>
      <c r="AG155" s="1634"/>
      <c r="AH155" s="1712"/>
      <c r="AI155" s="1470"/>
      <c r="AJ155" s="643"/>
      <c r="AK155" s="640"/>
      <c r="AL155" s="1783" t="str">
        <f ca="1">SUBSTITUTE(SUBSTITUTE(SUBSTITUTE(CONCATENATE(TABLEAU!$B$33," &amp; ",TABLEAU!$B$33),CVB,""),TABLEAU!$AM$5,""),CONCATENATE(YEAR(A)," "),"")</f>
        <v>#DANS 7H45 (A 20H45): [CHAMPIONNAT]# &amp; #DANS 7H45 (A 20H45): [CHAMPIONNAT]#</v>
      </c>
      <c r="AM155" s="1729"/>
      <c r="AN155" s="1730"/>
      <c r="AO155" s="1730"/>
      <c r="AP155" s="1730"/>
      <c r="AQ155" s="1730"/>
      <c r="AR155" s="1730"/>
      <c r="AS155" s="1730"/>
      <c r="AT155" s="1730"/>
      <c r="AU155" s="1730"/>
      <c r="AV155" s="1730"/>
      <c r="AW155" s="1730"/>
      <c r="AX155" s="1731"/>
      <c r="AY155" s="1489"/>
      <c r="AZ155" s="2576"/>
      <c r="BA155" s="2577"/>
    </row>
    <row r="156" spans="1:53" ht="11.45" customHeight="1">
      <c r="A156" s="1054" t="str">
        <f>IF(X="CHAMPIONNAT",[3]TABLEAU!$I$15,IF(AND(X="CHAMPION'S LEAGUE",[1]DONNEES!$DL$17=""),"LDC",IF(AND(X="CHAMPION'S LEAGUE",[1]DONNEES!$DL$17&lt;&gt;""),[1]DONNEES!$DL$17,IF(X="UEFA",[5]DONNEES!$BU$17,IF(X="COUPE DE FRANCE",[6]DONNEES!$BV$17,IF(X="COUPE DE LA LIGUE",[7]DONNEES!$BV$17,IF(X="EURO",[9]CLASSEMENT!$AC$16,IF(X="MONDIAL",[8]CLASSEMENT!$BF$16,IF(X="FORMULE 1",'[2]PILOTES &amp; ECURIES'!$AD$16,"")))))))))</f>
        <v>LYON</v>
      </c>
      <c r="B156" s="1053" t="str">
        <f>SUBSTITUTE(SUBSTITUTE(SUBSTITUTE(SUBSTITUTE(SUBSTITUTE(SUBSTITUTE(SUBSTITUTE(IF(X="CHAMPIONNAT",CONCATENATE("#(CHAMPIONNAT 2019-20)= ",[3]TABLEAU!$ER$15,"#"),IF(X="CHAMPION'S LEAGUE",[1]DONNEES!$DM$17,IF(X="UEFA",[5]DONNEES!$BT$17,IF(X="COUPE DE FRANCE",[6]DONNEES!$BU$17,IF(X="COUPE DE LA LIGUE",[7]DONNEES!$BU$17,IF(X="MONDIAL",[8]CLASSEMENT!$BG$16,IF(X="EURO",[9]CLASSEMENT!$AC$16,IF(X="CONFEDERATIONS","",'[2]PILOTES &amp; ECURIES'!$DZ$16)))))))),"##","#"),"= #","= "),"{13°} RECOIT","RECOIT"),"{13°} VA","VA"),"NOUVELLE ANNEE","NOUVELLE SAISON"),":#",": "),"=&gt;#","=&gt;")</f>
        <v>#(CHAMPIONNAT 2019-20)= 13° LYON (13 PTS) =&gt;12J: (2/11) VA A TOULOUSE#</v>
      </c>
      <c r="C156" s="1421"/>
      <c r="D156" s="1422"/>
      <c r="E156" s="1219"/>
      <c r="F156" s="15"/>
      <c r="G156" s="1742"/>
      <c r="H156" s="1743"/>
      <c r="I156" s="1806"/>
      <c r="J156" s="1807"/>
      <c r="K156" s="1807"/>
      <c r="L156" s="1807"/>
      <c r="M156" s="1807"/>
      <c r="N156" s="1807"/>
      <c r="O156" s="1808"/>
      <c r="P156" s="1983"/>
      <c r="Q156" s="1984"/>
      <c r="R156" s="1984"/>
      <c r="S156" s="1984"/>
      <c r="T156" s="1984"/>
      <c r="U156" s="1984"/>
      <c r="V156" s="1985"/>
      <c r="W156" s="1633"/>
      <c r="X156" s="1634"/>
      <c r="Y156" s="1634"/>
      <c r="Z156" s="1635"/>
      <c r="AA156" s="1843"/>
      <c r="AB156" s="1844"/>
      <c r="AC156" s="1844"/>
      <c r="AD156" s="1844"/>
      <c r="AE156" s="1845"/>
      <c r="AF156" s="1633"/>
      <c r="AG156" s="1634"/>
      <c r="AH156" s="1712"/>
      <c r="AI156" s="1482"/>
      <c r="AJ156" s="643"/>
      <c r="AK156" s="640"/>
      <c r="AL156" s="1784"/>
      <c r="AM156" s="1729"/>
      <c r="AN156" s="1730"/>
      <c r="AO156" s="1730"/>
      <c r="AP156" s="1730"/>
      <c r="AQ156" s="1730"/>
      <c r="AR156" s="1730"/>
      <c r="AS156" s="1730"/>
      <c r="AT156" s="1730"/>
      <c r="AU156" s="1730"/>
      <c r="AV156" s="1730"/>
      <c r="AW156" s="1730"/>
      <c r="AX156" s="1731"/>
      <c r="AY156" s="1489"/>
      <c r="AZ156" s="2576"/>
      <c r="BA156" s="2577"/>
    </row>
    <row r="157" spans="1:53" ht="11.45" customHeight="1">
      <c r="A157" s="1054" t="str">
        <f>IF(X="CHAMPIONNAT",[3]TABLEAU!$I$16,IF(AND(X="CHAMPION'S LEAGUE",[1]DONNEES!$DL$18=""),"LDC",IF(AND(X="CHAMPION'S LEAGUE",[1]DONNEES!$DL$18&lt;&gt;""),[1]DONNEES!$DL$18,IF(X="UEFA",[5]DONNEES!$BU$18,IF(X="COUPE DE FRANCE",[6]DONNEES!$BV$18,IF(X="COUPE DE LA LIGUE",[7]DONNEES!$BV$18,IF(X="EURO",[9]CLASSEMENT!$AC$17,IF(X="MONDIAL",[8]CLASSEMENT!$BF$17,IF(X="FORMULE 1",'[2]PILOTES &amp; ECURIES'!$AD$17,"")))))))))</f>
        <v>AMIENS</v>
      </c>
      <c r="B157" s="1053" t="str">
        <f>SUBSTITUTE(SUBSTITUTE(SUBSTITUTE(SUBSTITUTE(SUBSTITUTE(SUBSTITUTE(SUBSTITUTE(IF(X="CHAMPIONNAT",CONCATENATE("#(CHAMPIONNAT 2019-20)= ",[3]TABLEAU!$ER$16,"#"),IF(X="CHAMPION'S LEAGUE",[1]DONNEES!$DM$18,IF(X="UEFA",[5]DONNEES!$BT$18,IF(X="COUPE DE FRANCE",[6]DONNEES!$BU$18,IF(X="COUPE DE LA LIGUE",[7]DONNEES!$BU$18,IF(X="MONDIAL",[8]CLASSEMENT!$BG$17,IF(X="EURO",[9]CLASSEMENT!$AC$17,IF(X="CONFEDERATIONS","",'[2]PILOTES &amp; ECURIES'!$DZ$17)))))))),"##","#"),"= #","= "),"{14°} RECOIT","RECOIT"),"{14°} VA","VA"),"NOUVELLE ANNEE","NOUVELLE SAISON"),":#",": "),"=&gt;#","=&gt;")</f>
        <v>#(CHAMPIONNAT 2019-20)= 14° AMIENS (13 PTS) =&gt;12J: (2/11) RECOIT BREST#</v>
      </c>
      <c r="C157" s="1421"/>
      <c r="D157" s="1422"/>
      <c r="E157" s="1219"/>
      <c r="F157" s="15"/>
      <c r="G157" s="1742"/>
      <c r="H157" s="1743"/>
      <c r="I157" s="1806"/>
      <c r="J157" s="1807"/>
      <c r="K157" s="1807"/>
      <c r="L157" s="1807"/>
      <c r="M157" s="1807"/>
      <c r="N157" s="1807"/>
      <c r="O157" s="1808"/>
      <c r="P157" s="1983"/>
      <c r="Q157" s="1984"/>
      <c r="R157" s="1984"/>
      <c r="S157" s="1984"/>
      <c r="T157" s="1984"/>
      <c r="U157" s="1984"/>
      <c r="V157" s="1985"/>
      <c r="W157" s="1633"/>
      <c r="X157" s="1634"/>
      <c r="Y157" s="1634"/>
      <c r="Z157" s="1635"/>
      <c r="AA157" s="1843"/>
      <c r="AB157" s="1844"/>
      <c r="AC157" s="1844"/>
      <c r="AD157" s="1844"/>
      <c r="AE157" s="1845"/>
      <c r="AF157" s="1633"/>
      <c r="AG157" s="1634"/>
      <c r="AH157" s="1712"/>
      <c r="AI157" s="1470"/>
      <c r="AJ157" s="643"/>
      <c r="AK157" s="640"/>
      <c r="AL157" s="1652" t="str">
        <f ca="1">SUBSTITUTE(IF(FICHIER.A.MODIFIER&lt;&gt;"#DEPASSE#","",TABLEAU!$B$33),CONCATENATE(" ",YEAR(TODAY())),"")</f>
        <v/>
      </c>
      <c r="AM157" s="1729"/>
      <c r="AN157" s="1730"/>
      <c r="AO157" s="1730"/>
      <c r="AP157" s="1730"/>
      <c r="AQ157" s="1730"/>
      <c r="AR157" s="1730"/>
      <c r="AS157" s="1730"/>
      <c r="AT157" s="1730"/>
      <c r="AU157" s="1730"/>
      <c r="AV157" s="1730"/>
      <c r="AW157" s="1730"/>
      <c r="AX157" s="1731"/>
      <c r="AY157" s="1489"/>
      <c r="AZ157" s="2576"/>
      <c r="BA157" s="2577"/>
    </row>
    <row r="158" spans="1:53" ht="11.45" customHeight="1">
      <c r="A158" s="1054" t="str">
        <f>IF(X="CHAMPIONNAT",[3]TABLEAU!$I$17,IF(AND(X="CHAMPION'S LEAGUE",[1]DONNEES!$DL$19=""),"LDC",IF(AND(X="CHAMPION'S LEAGUE",[1]DONNEES!$DL$19&lt;&gt;""),[1]DONNEES!$DL$19,IF(X="UEFA",[5]DONNEES!$BU$19,IF(X="COUPE DE FRANCE",[6]DONNEES!$BV$19,IF(X="COUPE DE LA LIGUE",[7]DONNEES!$BV$19,IF(X="EURO",[9]CLASSEMENT!$AC$18,IF(X="MONDIAL",[8]CLASSEMENT!$BF$18,IF(X="FORMULE 1",'[2]PILOTES &amp; ECURIES'!$AD$18,"")))))))))</f>
        <v>NICE</v>
      </c>
      <c r="B158" s="1053" t="str">
        <f>SUBSTITUTE(SUBSTITUTE(SUBSTITUTE(SUBSTITUTE(SUBSTITUTE(SUBSTITUTE(SUBSTITUTE(IF(X="CHAMPIONNAT",CONCATENATE("#(CHAMPIONNAT 2019-20)= ",[3]TABLEAU!$ER$17,"#"),IF(X="CHAMPION'S LEAGUE",[1]DONNEES!$DM$19,IF(X="UEFA",[5]DONNEES!$BT$19,IF(X="COUPE DE FRANCE",[6]DONNEES!$BU$19,IF(X="COUPE DE LA LIGUE",[7]DONNEES!$BU$19,IF(X="MONDIAL",[8]CLASSEMENT!$BG$18,IF(X="EURO",[9]CLASSEMENT!$AC$18,IF(X="CONFEDERATIONS","",'[2]PILOTES &amp; ECURIES'!$DZ$18)))))))),"##","#"),"= #","= "),"{15°} RECOIT","RECOIT"),"{15°} VA","VA"),"NOUVELLE ANNEE","NOUVELLE SAISON"),":#",": "),"=&gt;#","=&gt;")</f>
        <v>#(CHAMPIONNAT 2019-20)= 15° NICE (13 PTS) =&gt;12J: (2/11) RECOIT REIMS#</v>
      </c>
      <c r="C158" s="1421"/>
      <c r="D158" s="1422"/>
      <c r="E158" s="1219"/>
      <c r="F158" s="15"/>
      <c r="G158" s="1742"/>
      <c r="H158" s="1743"/>
      <c r="I158" s="1806"/>
      <c r="J158" s="1807"/>
      <c r="K158" s="1807"/>
      <c r="L158" s="1807"/>
      <c r="M158" s="1807"/>
      <c r="N158" s="1807"/>
      <c r="O158" s="1808"/>
      <c r="P158" s="1983"/>
      <c r="Q158" s="1984"/>
      <c r="R158" s="1984"/>
      <c r="S158" s="1984"/>
      <c r="T158" s="1984"/>
      <c r="U158" s="1984"/>
      <c r="V158" s="1985"/>
      <c r="W158" s="1633"/>
      <c r="X158" s="1634"/>
      <c r="Y158" s="1634"/>
      <c r="Z158" s="1635"/>
      <c r="AA158" s="1843"/>
      <c r="AB158" s="1844"/>
      <c r="AC158" s="1844"/>
      <c r="AD158" s="1844"/>
      <c r="AE158" s="1845"/>
      <c r="AF158" s="1633"/>
      <c r="AG158" s="1634"/>
      <c r="AH158" s="1712"/>
      <c r="AI158" s="1482"/>
      <c r="AJ158" s="643"/>
      <c r="AK158" s="640"/>
      <c r="AL158" s="1653"/>
      <c r="AM158" s="1729"/>
      <c r="AN158" s="1730"/>
      <c r="AO158" s="1730"/>
      <c r="AP158" s="1730"/>
      <c r="AQ158" s="1730"/>
      <c r="AR158" s="1730"/>
      <c r="AS158" s="1730"/>
      <c r="AT158" s="1730"/>
      <c r="AU158" s="1730"/>
      <c r="AV158" s="1730"/>
      <c r="AW158" s="1730"/>
      <c r="AX158" s="1731"/>
      <c r="AY158" s="1489"/>
      <c r="AZ158" s="2576"/>
      <c r="BA158" s="2577"/>
    </row>
    <row r="159" spans="1:53" ht="11.45" customHeight="1">
      <c r="A159" s="1054" t="str">
        <f>IF(X="CHAMPIONNAT",[3]TABLEAU!$I$18,IF(AND(X="CHAMPION'S LEAGUE",[1]DONNEES!$DL$20=""),"LDC",IF(AND(X="CHAMPION'S LEAGUE",[1]DONNEES!$DL$20&lt;&gt;""),[1]DONNEES!$DL$20,IF(X="UEFA",[5]DONNEES!$BU$20,IF(X="COUPE DE FRANCE",[6]DONNEES!$BV$20,IF(X="COUPE DE LA LIGUE",[7]DONNEES!$BV$20,IF(X="EURO",[9]CLASSEMENT!$AC$19,IF(X="MONDIAL",[8]CLASSEMENT!$BF$19,IF(X="FORMULE 1",'[2]PILOTES &amp; ECURIES'!$AD$19,"")))))))))</f>
        <v>DIJON</v>
      </c>
      <c r="B159" s="1053" t="str">
        <f>SUBSTITUTE(SUBSTITUTE(SUBSTITUTE(SUBSTITUTE(SUBSTITUTE(SUBSTITUTE(SUBSTITUTE(IF(X="CHAMPIONNAT",CONCATENATE("#(CHAMPIONNAT 2019-20)= ",[3]TABLEAU!$ER$18,"#"),IF(X="CHAMPION'S LEAGUE",[1]DONNEES!$DM$20,IF(X="UEFA",[5]DONNEES!$BT$20,IF(X="COUPE DE FRANCE",[6]DONNEES!$BU$20,IF(X="COUPE DE LA LIGUE",[7]DONNEES!$BU$20,IF(X="MONDIAL",[8]CLASSEMENT!$BG$19,IF(X="EURO",[9]CLASSEMENT!$AC$19,IF(X="CONFEDERATIONS","",'[2]PILOTES &amp; ECURIES'!$DZ$19)))))))),"##","#"),"= #","= "),"{16°} RECOIT","RECOIT"),"{16°} VA","VA"),"NOUVELLE ANNEE","NOUVELLE SAISON"),":#",": "),"=&gt;#","=&gt;")</f>
        <v>#(CHAMPIONNAT 2019-20)= 16° EX DIJON (12 PTS) =&gt;13J: (9/11) VA A MONACO#</v>
      </c>
      <c r="C159" s="1421"/>
      <c r="D159" s="1422"/>
      <c r="E159" s="1219"/>
      <c r="F159" s="15"/>
      <c r="G159" s="1742"/>
      <c r="H159" s="1743"/>
      <c r="I159" s="1806"/>
      <c r="J159" s="1807"/>
      <c r="K159" s="1807"/>
      <c r="L159" s="1807"/>
      <c r="M159" s="1807"/>
      <c r="N159" s="1807"/>
      <c r="O159" s="1808"/>
      <c r="P159" s="1983"/>
      <c r="Q159" s="1984"/>
      <c r="R159" s="1984"/>
      <c r="S159" s="1984"/>
      <c r="T159" s="1984"/>
      <c r="U159" s="1984"/>
      <c r="V159" s="1985"/>
      <c r="W159" s="1633"/>
      <c r="X159" s="1634"/>
      <c r="Y159" s="1634"/>
      <c r="Z159" s="1635"/>
      <c r="AA159" s="1843"/>
      <c r="AB159" s="1844"/>
      <c r="AC159" s="1844"/>
      <c r="AD159" s="1844"/>
      <c r="AE159" s="1845"/>
      <c r="AF159" s="1633"/>
      <c r="AG159" s="1634"/>
      <c r="AH159" s="1712"/>
      <c r="AI159" s="1470"/>
      <c r="AJ159" s="643"/>
      <c r="AK159" s="640"/>
      <c r="AL159" s="1654" t="str">
        <f ca="1">IF(TABLEAU!$L$34&lt;&gt;"#DEPASSE#","",TABLEAU!$B$34)</f>
        <v/>
      </c>
      <c r="AM159" s="1729"/>
      <c r="AN159" s="1730"/>
      <c r="AO159" s="1730"/>
      <c r="AP159" s="1730"/>
      <c r="AQ159" s="1730"/>
      <c r="AR159" s="1730"/>
      <c r="AS159" s="1730"/>
      <c r="AT159" s="1730"/>
      <c r="AU159" s="1730"/>
      <c r="AV159" s="1730"/>
      <c r="AW159" s="1730"/>
      <c r="AX159" s="1731"/>
      <c r="AY159" s="1489"/>
      <c r="AZ159" s="2576"/>
      <c r="BA159" s="2577"/>
    </row>
    <row r="160" spans="1:53" ht="11.45" customHeight="1">
      <c r="A160" s="1054" t="str">
        <f>IF(X="CHAMPIONNAT",[3]TABLEAU!$I$19,IF(AND(X="CHAMPION'S LEAGUE",[1]DONNEES!$DL$21=""),"LDC",IF(AND(X="CHAMPION'S LEAGUE",[1]DONNEES!$DL$21&lt;&gt;""),[1]DONNEES!$DL$21,IF(X="UEFA","",IF(X="COUPE DE FRANCE","",IF(X="COUPE DE LA LIGUE","",IF(X="EURO",[9]CLASSEMENT!$AC$20,IF(X="MONDIAL",[8]CLASSEMENT!$BF$20,IF(X="FORMULE 1",'[2]PILOTES &amp; ECURIES'!$AD$20,"")))))))))</f>
        <v>STRASBOURG</v>
      </c>
      <c r="B160" s="1053" t="str">
        <f>SUBSTITUTE(SUBSTITUTE(SUBSTITUTE(SUBSTITUTE(SUBSTITUTE(SUBSTITUTE(SUBSTITUTE(IF(X="CHAMPIONNAT",CONCATENATE("#(CHAMPIONNAT 2019-20)= ",[3]TABLEAU!$ER$19,"#"),IF(X="CHAMPION'S LEAGUE",[1]DONNEES!$DM$21,IF(X="UEFA","",IF(X="COUPE DE FRANCE","",IF(X="COUPE DE LA LIGUE","",IF(X="MONDIAL",[8]CLASSEMENT!$BG$20,IF(X="EURO",[9]CLASSEMENT!$AC$20,IF(X="CONFEDERATIONS","",'[2]PILOTES &amp; ECURIES'!$DZ$20)))))))),"##","#"),"= #","= "),"{17°} RECOIT","RECOIT"),"{17°} VA","VA"),"NOUVELLE ANNEE","NOUVELLE SAISON"),":#",": "),"=&gt;#","=&gt;")</f>
        <v>#(CHAMPIONNAT 2019-20)= 16° EX STRASBOURG (12 PTS) =&gt;12J: (2/11) VA A ANGERS#</v>
      </c>
      <c r="C160" s="1421"/>
      <c r="D160" s="1422"/>
      <c r="E160" s="1219"/>
      <c r="F160" s="15"/>
      <c r="G160" s="1742"/>
      <c r="H160" s="1743"/>
      <c r="I160" s="1806"/>
      <c r="J160" s="1807"/>
      <c r="K160" s="1807"/>
      <c r="L160" s="1807"/>
      <c r="M160" s="1807"/>
      <c r="N160" s="1807"/>
      <c r="O160" s="1808"/>
      <c r="P160" s="1983"/>
      <c r="Q160" s="1984"/>
      <c r="R160" s="1984"/>
      <c r="S160" s="1984"/>
      <c r="T160" s="1984"/>
      <c r="U160" s="1984"/>
      <c r="V160" s="1985"/>
      <c r="W160" s="1633"/>
      <c r="X160" s="1634"/>
      <c r="Y160" s="1634"/>
      <c r="Z160" s="1635"/>
      <c r="AA160" s="1843"/>
      <c r="AB160" s="1844"/>
      <c r="AC160" s="1844"/>
      <c r="AD160" s="1844"/>
      <c r="AE160" s="1845"/>
      <c r="AF160" s="1633"/>
      <c r="AG160" s="1634"/>
      <c r="AH160" s="1712"/>
      <c r="AI160" s="1482"/>
      <c r="AJ160" s="643"/>
      <c r="AK160" s="640"/>
      <c r="AL160" s="1655"/>
      <c r="AM160" s="1729"/>
      <c r="AN160" s="1730"/>
      <c r="AO160" s="1730"/>
      <c r="AP160" s="1730"/>
      <c r="AQ160" s="1730"/>
      <c r="AR160" s="1730"/>
      <c r="AS160" s="1730"/>
      <c r="AT160" s="1730"/>
      <c r="AU160" s="1730"/>
      <c r="AV160" s="1730"/>
      <c r="AW160" s="1730"/>
      <c r="AX160" s="1731"/>
      <c r="AY160" s="1489"/>
      <c r="AZ160" s="2576"/>
      <c r="BA160" s="2577"/>
    </row>
    <row r="161" spans="1:53" ht="11.45" customHeight="1">
      <c r="A161" s="1054" t="str">
        <f>IF(X="CHAMPIONNAT",[3]TABLEAU!$I$20,IF(AND(X="CHAMPION'S LEAGUE",[1]DONNEES!$DL$22=""),"LDC",IF(AND(X="CHAMPION'S LEAGUE",[1]DONNEES!$DL$22&lt;&gt;""),[1]DONNEES!$DL$22,IF(X="UEFA","",IF(X="COUPE DE FRANCE","",IF(X="COUPE DE LA LIGUE","",IF(X="EURO",[9]CLASSEMENT!$AC$21,IF(X="MONDIAL",[8]CLASSEMENT!$BF$21,IF(X="FORMULE 1",'[2]PILOTES &amp; ECURIES'!$AD$21,"")))))))))</f>
        <v>TOULOUSE</v>
      </c>
      <c r="B161" s="1053" t="str">
        <f>SUBSTITUTE(SUBSTITUTE(SUBSTITUTE(SUBSTITUTE(SUBSTITUTE(SUBSTITUTE(SUBSTITUTE(IF(X="CHAMPIONNAT",CONCATENATE("#(CHAMPIONNAT 2019-20)= ",[3]TABLEAU!$ER$20,"#"),IF(X="CHAMPION'S LEAGUE",[1]DONNEES!$DM$22,IF(X="UEFA","",IF(X="COUPE DE FRANCE","",IF(X="COUPE DE LA LIGUE","",IF(X="MONDIAL",[8]CLASSEMENT!$BG$21,IF(X="EURO",[9]CLASSEMENT!$AC$21,IF(X="CONFEDERATIONS","",'[2]PILOTES &amp; ECURIES'!$DZ$21)))))))),"##","#"),"= #","= "),"{18°} RECOIT","RECOIT"),"{18°} VA","VA"),"NOUVELLE ANNEE","NOUVELLE SAISON"),":#",": "),"=&gt;#","=&gt;")</f>
        <v>#(CHAMPIONNAT 2019-20)= 18° TOULOUSE (12 PTS) =&gt;12J: (2/11) RECOIT LYON#</v>
      </c>
      <c r="C161" s="1421"/>
      <c r="D161" s="1422"/>
      <c r="E161" s="1219"/>
      <c r="F161" s="15"/>
      <c r="G161" s="1742"/>
      <c r="H161" s="1743"/>
      <c r="I161" s="1806"/>
      <c r="J161" s="1807"/>
      <c r="K161" s="1807"/>
      <c r="L161" s="1807"/>
      <c r="M161" s="1807"/>
      <c r="N161" s="1807"/>
      <c r="O161" s="1808"/>
      <c r="P161" s="1983"/>
      <c r="Q161" s="1984"/>
      <c r="R161" s="1984"/>
      <c r="S161" s="1984"/>
      <c r="T161" s="1984"/>
      <c r="U161" s="1984"/>
      <c r="V161" s="1985"/>
      <c r="W161" s="1633"/>
      <c r="X161" s="1634"/>
      <c r="Y161" s="1634"/>
      <c r="Z161" s="1635"/>
      <c r="AA161" s="1843"/>
      <c r="AB161" s="1844"/>
      <c r="AC161" s="1844"/>
      <c r="AD161" s="1844"/>
      <c r="AE161" s="1845"/>
      <c r="AF161" s="1633"/>
      <c r="AG161" s="1634"/>
      <c r="AH161" s="1712"/>
      <c r="AI161" s="1470"/>
      <c r="AJ161" s="643"/>
      <c r="AK161" s="640"/>
      <c r="AL161" s="1144" t="str">
        <f>UPPER(CONCATENATE("[",[4]!EN.COURS,"]= ",SUBSTITUTE([4]TABLEAU!$V$97,"€"," EUROS"),[4]!RESTANT.DU))</f>
        <v>[COUPE OEUF]= 0,48 EUROS RESTERA: 176,29 EUROS</v>
      </c>
      <c r="AM161" s="1729"/>
      <c r="AN161" s="1730"/>
      <c r="AO161" s="1730"/>
      <c r="AP161" s="1730"/>
      <c r="AQ161" s="1730"/>
      <c r="AR161" s="1730"/>
      <c r="AS161" s="1730"/>
      <c r="AT161" s="1730"/>
      <c r="AU161" s="1730"/>
      <c r="AV161" s="1730"/>
      <c r="AW161" s="1730"/>
      <c r="AX161" s="1731"/>
      <c r="AY161" s="1489"/>
      <c r="AZ161" s="2576"/>
      <c r="BA161" s="2577"/>
    </row>
    <row r="162" spans="1:53" ht="11.45" customHeight="1">
      <c r="A162" s="1054" t="str">
        <f>IF(X="CHAMPIONNAT",[3]TABLEAU!$I$21,IF(AND(X="CHAMPION'S LEAGUE",[1]DONNEES!$DL$23=""),"LDC",IF(AND(X="CHAMPION'S LEAGUE",[1]DONNEES!$DL$23&lt;&gt;""),[1]DONNEES!$DL$23,IF(X="UEFA","",IF(X="COUPE DE FRANCE","",IF(X="COUPE DE LA LIGUE","",IF(X="EURO",[9]CLASSEMENT!$AC$22,IF(X="MONDIAL",[8]CLASSEMENT!$BF$22,IF(X="FORMULE 1",'[2]PILOTES &amp; ECURIES'!$AD$22,"")))))))))</f>
        <v>NIMES</v>
      </c>
      <c r="B162" s="1053" t="str">
        <f>SUBSTITUTE(SUBSTITUTE(SUBSTITUTE(SUBSTITUTE(SUBSTITUTE(SUBSTITUTE(SUBSTITUTE(IF(X="CHAMPIONNAT",CONCATENATE("#(CHAMPIONNAT 2019-20)= ",[3]TABLEAU!$ER$21,"#"),IF(X="CHAMPION'S LEAGUE",[1]DONNEES!$DM$23,IF(X="UEFA","",IF(X="COUPE DE FRANCE","",IF(X="COUPE DE LA LIGUE","",IF(X="MONDIAL",[8]CLASSEMENT!$BG$22,IF(X="EURO",[9]CLASSEMENT!$AC$22,IF(X="CONFEDERATIONS","",'[2]PILOTES &amp; ECURIES'!$DZ$22)))))))),"##","#"),"= #","= "),"{19°} RECOIT","RECOIT"),"{19°} VA","VA"),"NOUVELLE ANNEE","NOUVELLE SAISON"),":#",": "),"=&gt;#","=&gt;")</f>
        <v>#(CHAMPIONNAT 2019-20)= 19° NIMES (11 PTS) =&gt;12J: (2/11) RECOIT RENNES#</v>
      </c>
      <c r="C162" s="1421"/>
      <c r="D162" s="1422"/>
      <c r="E162" s="1219"/>
      <c r="F162" s="15"/>
      <c r="G162" s="1742"/>
      <c r="H162" s="1743"/>
      <c r="I162" s="1806"/>
      <c r="J162" s="1807"/>
      <c r="K162" s="1807"/>
      <c r="L162" s="1807"/>
      <c r="M162" s="1807"/>
      <c r="N162" s="1807"/>
      <c r="O162" s="1808"/>
      <c r="P162" s="1983"/>
      <c r="Q162" s="1984"/>
      <c r="R162" s="1984"/>
      <c r="S162" s="1984"/>
      <c r="T162" s="1984"/>
      <c r="U162" s="1984"/>
      <c r="V162" s="1985"/>
      <c r="W162" s="1633"/>
      <c r="X162" s="1634"/>
      <c r="Y162" s="1634"/>
      <c r="Z162" s="1635"/>
      <c r="AA162" s="1843"/>
      <c r="AB162" s="1844"/>
      <c r="AC162" s="1844"/>
      <c r="AD162" s="1844"/>
      <c r="AE162" s="1845"/>
      <c r="AF162" s="1633"/>
      <c r="AG162" s="1634"/>
      <c r="AH162" s="1712"/>
      <c r="AI162" s="1482"/>
      <c r="AJ162" s="643"/>
      <c r="AK162" s="640"/>
      <c r="AL162" s="1143"/>
      <c r="AM162" s="1729"/>
      <c r="AN162" s="1730"/>
      <c r="AO162" s="1730"/>
      <c r="AP162" s="1730"/>
      <c r="AQ162" s="1730"/>
      <c r="AR162" s="1730"/>
      <c r="AS162" s="1730"/>
      <c r="AT162" s="1730"/>
      <c r="AU162" s="1730"/>
      <c r="AV162" s="1730"/>
      <c r="AW162" s="1730"/>
      <c r="AX162" s="1731"/>
      <c r="AY162" s="1489"/>
      <c r="AZ162" s="2576"/>
      <c r="BA162" s="2577"/>
    </row>
    <row r="163" spans="1:53" ht="11.45" customHeight="1">
      <c r="A163" s="1054" t="str">
        <f>IF(X="CHAMPIONNAT",[3]TABLEAU!$I$22,IF(AND(X="CHAMPION'S LEAGUE",[1]DONNEES!$DL$24=""),"LDC",IF(AND(X="CHAMPION'S LEAGUE",[1]DONNEES!$DL$24&lt;&gt;""),[1]DONNEES!$DL$24,IF(X="UEFA","",IF(X="COUPE DE FRANCE","",IF(X="COUPE DE LA LIGUE","",IF(X="EURO",[9]CLASSEMENT!$AC$23,IF(X="MONDIAL",[8]CLASSEMENT!$BF$23,IF(X="FORMULE 1",'[2]PILOTES &amp; ECURIES'!$AD$23,"")))))))))</f>
        <v>METZ</v>
      </c>
      <c r="B163" s="1053" t="str">
        <f>SUBSTITUTE(SUBSTITUTE(SUBSTITUTE(SUBSTITUTE(SUBSTITUTE(SUBSTITUTE(SUBSTITUTE(IF(X="CHAMPIONNAT",CONCATENATE("#(CHAMPIONNAT 2019-20)= ",[3]TABLEAU!$ER$22,"#"),IF(X="CHAMPION'S LEAGUE",[1]DONNEES!$DM$24,IF(X="UEFA","",IF(X="COUPE DE FRANCE","",IF(X="COUPE DE LA LIGUE","",IF(X="MONDIAL",[8]CLASSEMENT!$BG$23,IF(X="EURO",[9]CLASSEMENT!$AC$23,IF(X="CONFEDERATIONS","",'[2]PILOTES &amp; ECURIES'!$DZ$23)))))))),"##","#"),"= #","= "),"{20°} RECOIT","RECOIT"),"{20°} VA","VA"),"NOUVELLE ANNEE","NOUVELLE SAISON"),":#",": "),"=&gt;#","=&gt;")</f>
        <v>#(CHAMPIONNAT 2019-20)= 20° METZ (11 PTS) =&gt;12J: (2/11) RECOIT MONTPELLIER#</v>
      </c>
      <c r="C163" s="1421"/>
      <c r="D163" s="1422"/>
      <c r="E163" s="1219"/>
      <c r="F163" s="15"/>
      <c r="G163" s="1742"/>
      <c r="H163" s="1743"/>
      <c r="I163" s="1806"/>
      <c r="J163" s="1807"/>
      <c r="K163" s="1807"/>
      <c r="L163" s="1807"/>
      <c r="M163" s="1807"/>
      <c r="N163" s="1807"/>
      <c r="O163" s="1808"/>
      <c r="P163" s="1983"/>
      <c r="Q163" s="1984"/>
      <c r="R163" s="1984"/>
      <c r="S163" s="1984"/>
      <c r="T163" s="1984"/>
      <c r="U163" s="1984"/>
      <c r="V163" s="1985"/>
      <c r="W163" s="1633"/>
      <c r="X163" s="1634"/>
      <c r="Y163" s="1634"/>
      <c r="Z163" s="1635"/>
      <c r="AA163" s="1843"/>
      <c r="AB163" s="1844"/>
      <c r="AC163" s="1844"/>
      <c r="AD163" s="1844"/>
      <c r="AE163" s="1845"/>
      <c r="AF163" s="1633"/>
      <c r="AG163" s="1634"/>
      <c r="AH163" s="1712"/>
      <c r="AI163" s="1470"/>
      <c r="AJ163" s="643"/>
      <c r="AK163" s="640"/>
      <c r="AL163" s="1144"/>
      <c r="AM163" s="1729"/>
      <c r="AN163" s="1730"/>
      <c r="AO163" s="1730"/>
      <c r="AP163" s="1730"/>
      <c r="AQ163" s="1730"/>
      <c r="AR163" s="1730"/>
      <c r="AS163" s="1730"/>
      <c r="AT163" s="1730"/>
      <c r="AU163" s="1730"/>
      <c r="AV163" s="1730"/>
      <c r="AW163" s="1730"/>
      <c r="AX163" s="1731"/>
      <c r="AY163" s="1489"/>
      <c r="AZ163" s="2576"/>
      <c r="BA163" s="2577"/>
    </row>
    <row r="164" spans="1:53" ht="11.1" customHeight="1">
      <c r="A164" s="1054" t="str">
        <f>IF(X="CHAMPIONNAT","",IF(AND(X="CHAMPION'S LEAGUE",[1]DONNEES!$DL$25=""),"LDC",IF(AND(X="CHAMPION'S LEAGUE",[1]DONNEES!$DL$25&lt;&gt;""),[1]DONNEES!$DL$25,IF(AND(X="CHAMPION'S LEAGUE",[1]DONNEES!$DL$20&lt;&gt;""),[1]DONNEES!$DL$20,IF(X="UEFA","",IF(X="COUPE DE FRANCE","",IF(X="COUPE DE LA LIGUE","",IF(X="EURO",[9]CLASSEMENT!$AC$24,IF(X="MONDIAL",[8]CLASSEMENT!$BF$24,IF(X="FORMULE 1",'[2]PILOTES &amp; ECURIES'!$AD$24,""))))))))))</f>
        <v/>
      </c>
      <c r="B164" s="1053" t="str">
        <f>SUBSTITUTE(SUBSTITUTE(IF(X="CHAMPIONNAT","",IF(X="CHAMPION'S LEAGUE",[1]DONNEES!$DM$25,IF(X="UEFA","",IF(X="COUPE DE FRANCE","",IF(X="COUPE DE LA LIGUE","",IF(X="MONDIAL",[8]CLASSEMENT!$BG$24,IF(X="EURO",[9]CLASSEMENT!$AC$24,IF(X="CONFEDERATIONS","",'[2]PILOTES &amp; ECURIES'!$DZ$24)))))))),"NOUVELLE ANNEE","NOUVELLE SAISON"),":#",": ")</f>
        <v/>
      </c>
      <c r="C164" s="1421"/>
      <c r="D164" s="1422"/>
      <c r="E164" s="1219"/>
      <c r="F164" s="15"/>
      <c r="G164" s="1742"/>
      <c r="H164" s="1743"/>
      <c r="I164" s="1806"/>
      <c r="J164" s="1807"/>
      <c r="K164" s="1807"/>
      <c r="L164" s="1807"/>
      <c r="M164" s="1807"/>
      <c r="N164" s="1807"/>
      <c r="O164" s="1808"/>
      <c r="P164" s="1983"/>
      <c r="Q164" s="1984"/>
      <c r="R164" s="1984"/>
      <c r="S164" s="1984"/>
      <c r="T164" s="1984"/>
      <c r="U164" s="1984"/>
      <c r="V164" s="1985"/>
      <c r="W164" s="1633"/>
      <c r="X164" s="1634"/>
      <c r="Y164" s="1634"/>
      <c r="Z164" s="1635"/>
      <c r="AA164" s="1843"/>
      <c r="AB164" s="1844"/>
      <c r="AC164" s="1844"/>
      <c r="AD164" s="1844"/>
      <c r="AE164" s="1845"/>
      <c r="AF164" s="1633"/>
      <c r="AG164" s="1634"/>
      <c r="AH164" s="1712"/>
      <c r="AI164" s="1482"/>
      <c r="AJ164" s="643"/>
      <c r="AK164" s="640"/>
      <c r="AL164" s="1143"/>
      <c r="AM164" s="1729"/>
      <c r="AN164" s="1730"/>
      <c r="AO164" s="1730"/>
      <c r="AP164" s="1730"/>
      <c r="AQ164" s="1730"/>
      <c r="AR164" s="1730"/>
      <c r="AS164" s="1730"/>
      <c r="AT164" s="1730"/>
      <c r="AU164" s="1730"/>
      <c r="AV164" s="1730"/>
      <c r="AW164" s="1730"/>
      <c r="AX164" s="1731"/>
      <c r="AY164" s="1489"/>
      <c r="AZ164" s="2576"/>
      <c r="BA164" s="2577"/>
    </row>
    <row r="165" spans="1:53" ht="11.1" customHeight="1">
      <c r="A165" s="1054" t="str">
        <f>IF(X="CHAMPIONNAT","",IF(AND(X="CHAMPION'S LEAGUE",[1]DONNEES!$DL$26=""),"LDC",IF(AND(X="CHAMPION'S LEAGUE",[1]DONNEES!$DL$26&lt;&gt;""),[1]DONNEES!$DL$26,IF(X="UEFA","",IF(X="COUPE DE FRANCE","",IF(X="COUPE DE LA LIGUE","",IF(X="EURO",[9]CLASSEMENT!$AC$25,IF(X="MONDIAL",[8]CLASSEMENT!$BF$25,IF(X="FORMULE 1",'[2]PILOTES &amp; ECURIES'!$AD$25,"")))))))))</f>
        <v/>
      </c>
      <c r="B165" s="1423" t="str">
        <f>SUBSTITUTE(SUBSTITUTE(IF(X="CHAMPIONNAT","",IF(X="CHAMPION'S LEAGUE",[1]DONNEES!$DM$26,IF(X="UEFA","",IF(X="COUPE DE FRANCE","",IF(X="COUPE DE LA LIGUE","",IF(X="MONDIAL",[8]CLASSEMENT!$BG$25,IF(X="EURO",[9]CLASSEMENT!$AC$25,IF(X="CONFEDERATIONS","",'[2]PILOTES &amp; ECURIES'!$DZ$25)))))))),"NOUVELLE ANNEE","NOUVELLE SAISON"),":#",": ")</f>
        <v/>
      </c>
      <c r="C165" s="1426"/>
      <c r="D165" s="1427"/>
      <c r="E165" s="1220"/>
      <c r="F165" s="15"/>
      <c r="G165" s="1742"/>
      <c r="H165" s="1743"/>
      <c r="I165" s="1806"/>
      <c r="J165" s="1807"/>
      <c r="K165" s="1807"/>
      <c r="L165" s="1807"/>
      <c r="M165" s="1807"/>
      <c r="N165" s="1807"/>
      <c r="O165" s="1808"/>
      <c r="P165" s="1983"/>
      <c r="Q165" s="1984"/>
      <c r="R165" s="1984"/>
      <c r="S165" s="1984"/>
      <c r="T165" s="1984"/>
      <c r="U165" s="1984"/>
      <c r="V165" s="1985"/>
      <c r="W165" s="1633"/>
      <c r="X165" s="1634"/>
      <c r="Y165" s="1634"/>
      <c r="Z165" s="1635"/>
      <c r="AA165" s="1843"/>
      <c r="AB165" s="1844"/>
      <c r="AC165" s="1844"/>
      <c r="AD165" s="1844"/>
      <c r="AE165" s="1845"/>
      <c r="AF165" s="1633"/>
      <c r="AG165" s="1634"/>
      <c r="AH165" s="1712"/>
      <c r="AI165" s="1470"/>
      <c r="AJ165" s="643"/>
      <c r="AK165" s="640"/>
      <c r="AL165" s="1144"/>
      <c r="AM165" s="1729"/>
      <c r="AN165" s="1730"/>
      <c r="AO165" s="1730"/>
      <c r="AP165" s="1730"/>
      <c r="AQ165" s="1730"/>
      <c r="AR165" s="1730"/>
      <c r="AS165" s="1730"/>
      <c r="AT165" s="1730"/>
      <c r="AU165" s="1730"/>
      <c r="AV165" s="1730"/>
      <c r="AW165" s="1730"/>
      <c r="AX165" s="1731"/>
      <c r="AY165" s="1489"/>
      <c r="AZ165" s="2576"/>
      <c r="BA165" s="2577"/>
    </row>
    <row r="166" spans="1:53" ht="11.1" customHeight="1">
      <c r="A166" s="1054" t="str">
        <f>IF(X="CHAMPIONNAT","",IF(AND(X="CHAMPION'S LEAGUE",[1]DONNEES!$DL$27=""),"LDC",IF(AND(X="CHAMPION'S LEAGUE",[1]DONNEES!$DL$27&lt;&gt;""),[1]DONNEES!$DL$27,IF(X="UEFA","",IF(X="COUPE DE FRANCE","",IF(X="COUPE DE LA LIGUE","",IF(X="EURO",[9]CLASSEMENT!$AC$26,IF(X="MONDIAL",[8]CLASSEMENT!$BF$26,""))))))))</f>
        <v/>
      </c>
      <c r="B166" s="1053" t="str">
        <f>SUBSTITUTE(IF(X="CHAMPIONNAT","",IF(X="CHAMPION'S LEAGUE",[1]DONNEES!$DM$27,IF(X="UEFA","",IF(X="COUPE DE FRANCE","",IF(X="COUPE DE LA LIGUE","",IF(X="MONDIAL",[8]CLASSEMENT!$BG$26,IF(X="EURO",[9]CLASSEMENT!$AC$26,IF(X="CONFEDERATIONS","","")))))))),":#",": ")</f>
        <v/>
      </c>
      <c r="C166" s="1421"/>
      <c r="D166" s="1422"/>
      <c r="E166" s="1219"/>
      <c r="F166" s="15"/>
      <c r="G166" s="1742"/>
      <c r="H166" s="1743"/>
      <c r="I166" s="1806"/>
      <c r="J166" s="1807"/>
      <c r="K166" s="1807"/>
      <c r="L166" s="1807"/>
      <c r="M166" s="1807"/>
      <c r="N166" s="1807"/>
      <c r="O166" s="1808"/>
      <c r="P166" s="1983"/>
      <c r="Q166" s="1984"/>
      <c r="R166" s="1984"/>
      <c r="S166" s="1984"/>
      <c r="T166" s="1984"/>
      <c r="U166" s="1984"/>
      <c r="V166" s="1985"/>
      <c r="W166" s="1633"/>
      <c r="X166" s="1634"/>
      <c r="Y166" s="1634"/>
      <c r="Z166" s="1635"/>
      <c r="AA166" s="1843"/>
      <c r="AB166" s="1844"/>
      <c r="AC166" s="1844"/>
      <c r="AD166" s="1844"/>
      <c r="AE166" s="1845"/>
      <c r="AF166" s="1633"/>
      <c r="AG166" s="1634"/>
      <c r="AH166" s="1712"/>
      <c r="AI166" s="1482"/>
      <c r="AJ166" s="643"/>
      <c r="AK166" s="640"/>
      <c r="AL166" s="1002"/>
      <c r="AM166" s="1729"/>
      <c r="AN166" s="1730"/>
      <c r="AO166" s="1730"/>
      <c r="AP166" s="1730"/>
      <c r="AQ166" s="1730"/>
      <c r="AR166" s="1730"/>
      <c r="AS166" s="1730"/>
      <c r="AT166" s="1730"/>
      <c r="AU166" s="1730"/>
      <c r="AV166" s="1730"/>
      <c r="AW166" s="1730"/>
      <c r="AX166" s="1731"/>
      <c r="AY166" s="1489"/>
      <c r="AZ166" s="2576"/>
      <c r="BA166" s="2577"/>
    </row>
    <row r="167" spans="1:53" ht="11.1" customHeight="1">
      <c r="A167" s="1054" t="str">
        <f>IF(X="CHAMPIONNAT","",IF(AND(X="CHAMPION'S LEAGUE",[1]DONNEES!$DL$28=""),"LDC",IF(AND(X="CHAMPION'S LEAGUE",[1]DONNEES!$DL$28&lt;&gt;""),[1]DONNEES!$DL$28,IF(X="UEFA","",IF(X="COUPE DE FRANCE","",IF(X="COUPE DE LA LIGUE","",IF(X="EURO",[9]CLASSEMENT!$AC$27,IF(X="MONDIAL",[8]CLASSEMENT!$BF$27,""))))))))</f>
        <v/>
      </c>
      <c r="B167" s="1053" t="str">
        <f>SUBSTITUTE(IF(X="CHAMPIONNAT","",IF(X="CHAMPION'S LEAGUE",[1]DONNEES!$DM$28,IF(X="UEFA","",IF(X="COUPE DE FRANCE","",IF(X="COUPE DE LA LIGUE","",IF(X="MONDIAL",[8]CLASSEMENT!$BG$27,IF(X="EURO",[9]CLASSEMENT!$AC$27,IF(X="CONFEDERATIONS","","")))))))),":#",": ")</f>
        <v/>
      </c>
      <c r="C167" s="1421"/>
      <c r="D167" s="1422"/>
      <c r="E167" s="1219"/>
      <c r="F167" s="15"/>
      <c r="G167" s="1742"/>
      <c r="H167" s="1743"/>
      <c r="I167" s="1806"/>
      <c r="J167" s="1807"/>
      <c r="K167" s="1807"/>
      <c r="L167" s="1807"/>
      <c r="M167" s="1807"/>
      <c r="N167" s="1807"/>
      <c r="O167" s="1808"/>
      <c r="P167" s="1983"/>
      <c r="Q167" s="1984"/>
      <c r="R167" s="1984"/>
      <c r="S167" s="1984"/>
      <c r="T167" s="1984"/>
      <c r="U167" s="1984"/>
      <c r="V167" s="1985"/>
      <c r="W167" s="1633"/>
      <c r="X167" s="1634"/>
      <c r="Y167" s="1634"/>
      <c r="Z167" s="1635"/>
      <c r="AA167" s="1843"/>
      <c r="AB167" s="1844"/>
      <c r="AC167" s="1844"/>
      <c r="AD167" s="1844"/>
      <c r="AE167" s="1845"/>
      <c r="AF167" s="1633"/>
      <c r="AG167" s="1634"/>
      <c r="AH167" s="1712"/>
      <c r="AI167" s="1470"/>
      <c r="AJ167" s="643"/>
      <c r="AK167" s="640"/>
      <c r="AL167" s="1004"/>
      <c r="AM167" s="1729"/>
      <c r="AN167" s="1730"/>
      <c r="AO167" s="1730"/>
      <c r="AP167" s="1730"/>
      <c r="AQ167" s="1730"/>
      <c r="AR167" s="1730"/>
      <c r="AS167" s="1730"/>
      <c r="AT167" s="1730"/>
      <c r="AU167" s="1730"/>
      <c r="AV167" s="1730"/>
      <c r="AW167" s="1730"/>
      <c r="AX167" s="1731"/>
      <c r="AY167" s="1489"/>
      <c r="AZ167" s="2576"/>
      <c r="BA167" s="2577"/>
    </row>
    <row r="168" spans="1:53" ht="11.1" customHeight="1">
      <c r="A168" s="1054" t="str">
        <f>IF(X="CHAMPIONNAT","",IF(AND(X="CHAMPION'S LEAGUE",[1]DONNEES!$DL$29=""),"LDC",IF(AND(X="CHAMPION'S LEAGUE",[1]DONNEES!$DL$29&lt;&gt;""),[1]DONNEES!$DL$29,IF(X="UEFA","",IF(X="COUPE DE FRANCE","",IF(X="COUPE DE LA LIGUE","",IF(X="MONDIAL",[8]CLASSEMENT!$BF$28,"")))))))</f>
        <v/>
      </c>
      <c r="B168" s="1053" t="str">
        <f>SUBSTITUTE(IF(X="CHAMPIONNAT","",IF(X="CHAMPION'S LEAGUE",[1]DONNEES!$DM$29,IF(X="UEFA","",IF(X="COUPE DE FRANCE","",IF(X="COUPE DE LA LIGUE","",IF(X="MONDIAL",[8]CLASSEMENT!$BG$28,IF(X="EURO","",IF(X="CONFEDERATIONS","","")))))))),":#",": ")</f>
        <v/>
      </c>
      <c r="C168" s="1421"/>
      <c r="D168" s="1422"/>
      <c r="E168" s="1219"/>
      <c r="F168" s="15"/>
      <c r="G168" s="1742"/>
      <c r="H168" s="1743"/>
      <c r="I168" s="1806"/>
      <c r="J168" s="1807"/>
      <c r="K168" s="1807"/>
      <c r="L168" s="1807"/>
      <c r="M168" s="1807"/>
      <c r="N168" s="1807"/>
      <c r="O168" s="1808"/>
      <c r="P168" s="1983"/>
      <c r="Q168" s="1984"/>
      <c r="R168" s="1984"/>
      <c r="S168" s="1984"/>
      <c r="T168" s="1984"/>
      <c r="U168" s="1984"/>
      <c r="V168" s="1985"/>
      <c r="W168" s="1633"/>
      <c r="X168" s="1634"/>
      <c r="Y168" s="1634"/>
      <c r="Z168" s="1635"/>
      <c r="AA168" s="1843"/>
      <c r="AB168" s="1844"/>
      <c r="AC168" s="1844"/>
      <c r="AD168" s="1844"/>
      <c r="AE168" s="1845"/>
      <c r="AF168" s="1633"/>
      <c r="AG168" s="1634"/>
      <c r="AH168" s="1712"/>
      <c r="AI168" s="1482"/>
      <c r="AJ168" s="643"/>
      <c r="AK168" s="640"/>
      <c r="AL168" s="1002"/>
      <c r="AM168" s="1729"/>
      <c r="AN168" s="1730"/>
      <c r="AO168" s="1730"/>
      <c r="AP168" s="1730"/>
      <c r="AQ168" s="1730"/>
      <c r="AR168" s="1730"/>
      <c r="AS168" s="1730"/>
      <c r="AT168" s="1730"/>
      <c r="AU168" s="1730"/>
      <c r="AV168" s="1730"/>
      <c r="AW168" s="1730"/>
      <c r="AX168" s="1731"/>
      <c r="AY168" s="1489"/>
      <c r="AZ168" s="2576"/>
      <c r="BA168" s="2577"/>
    </row>
    <row r="169" spans="1:53" ht="11.1" customHeight="1">
      <c r="A169" s="1054" t="str">
        <f>IF(X="CHAMPIONNAT","",IF(AND(X="CHAMPION'S LEAGUE",[1]DONNEES!$DL$30=""),"LDC",IF(AND(X="CHAMPION'S LEAGUE",[1]DONNEES!$DL$30&lt;&gt;""),[1]DONNEES!$DL$30,IF(X="UEFA","",IF(X="COUPE DE FRANCE","",IF(X="COUPE DE LA LIGUE","",IF(X="MONDIAL",[8]CLASSEMENT!$BF$29,"")))))))</f>
        <v/>
      </c>
      <c r="B169" s="1053" t="str">
        <f>SUBSTITUTE(IF(X="CHAMPIONNAT","",IF(X="CHAMPION'S LEAGUE",[1]DONNEES!$DM$30,IF(X="UEFA","",IF(X="COUPE DE FRANCE","",IF(X="COUPE DE LA LIGUE","",IF(X="MONDIAL",[8]CLASSEMENT!$BG$29,IF(X="EURO","",IF(X="CONFEDERATIONS","","")))))))),":#",": ")</f>
        <v/>
      </c>
      <c r="C169" s="1421"/>
      <c r="D169" s="1422"/>
      <c r="E169" s="1219"/>
      <c r="F169" s="15"/>
      <c r="G169" s="1742"/>
      <c r="H169" s="1743"/>
      <c r="I169" s="1806"/>
      <c r="J169" s="1807"/>
      <c r="K169" s="1807"/>
      <c r="L169" s="1807"/>
      <c r="M169" s="1807"/>
      <c r="N169" s="1807"/>
      <c r="O169" s="1808"/>
      <c r="P169" s="1983"/>
      <c r="Q169" s="1984"/>
      <c r="R169" s="1984"/>
      <c r="S169" s="1984"/>
      <c r="T169" s="1984"/>
      <c r="U169" s="1984"/>
      <c r="V169" s="1985"/>
      <c r="W169" s="1633"/>
      <c r="X169" s="1634"/>
      <c r="Y169" s="1634"/>
      <c r="Z169" s="1635"/>
      <c r="AA169" s="1843"/>
      <c r="AB169" s="1844"/>
      <c r="AC169" s="1844"/>
      <c r="AD169" s="1844"/>
      <c r="AE169" s="1845"/>
      <c r="AF169" s="1633"/>
      <c r="AG169" s="1634"/>
      <c r="AH169" s="1712"/>
      <c r="AI169" s="1470"/>
      <c r="AJ169" s="643"/>
      <c r="AK169" s="640"/>
      <c r="AL169" s="1004"/>
      <c r="AM169" s="1729"/>
      <c r="AN169" s="1730"/>
      <c r="AO169" s="1730"/>
      <c r="AP169" s="1730"/>
      <c r="AQ169" s="1730"/>
      <c r="AR169" s="1730"/>
      <c r="AS169" s="1730"/>
      <c r="AT169" s="1730"/>
      <c r="AU169" s="1730"/>
      <c r="AV169" s="1730"/>
      <c r="AW169" s="1730"/>
      <c r="AX169" s="1731"/>
      <c r="AY169" s="1489"/>
      <c r="AZ169" s="2576"/>
      <c r="BA169" s="2577"/>
    </row>
    <row r="170" spans="1:53" ht="11.1" customHeight="1">
      <c r="A170" s="1054" t="str">
        <f>IF(X="CHAMPIONNAT","",IF(AND(X="CHAMPION'S LEAGUE",[1]DONNEES!$DL$31=""),"LDC",IF(AND(X="CHAMPION'S LEAGUE",[1]DONNEES!$DL$31&lt;&gt;""),[1]DONNEES!$DL$31,IF(X="UEFA","",IF(X="COUPE DE FRANCE","",IF(X="COUPE DE LA LIGUE","",IF(X="MONDIAL",[8]CLASSEMENT!$BF$30,"")))))))</f>
        <v/>
      </c>
      <c r="B170" s="1053" t="str">
        <f>SUBSTITUTE(IF(X="CHAMPIONNAT","",IF(X="CHAMPION'S LEAGUE",[1]DONNEES!$DM$31,IF(X="UEFA","",IF(X="COUPE DE FRANCE","",IF(X="COUPE DE LA LIGUE","",IF(X="MONDIAL",[8]CLASSEMENT!$BG$30,IF(X="EURO","",IF(X="CONFEDERATIONS","","")))))))),":#",": ")</f>
        <v/>
      </c>
      <c r="C170" s="1421"/>
      <c r="D170" s="1422"/>
      <c r="E170" s="1219"/>
      <c r="F170" s="15"/>
      <c r="G170" s="1742"/>
      <c r="H170" s="1743"/>
      <c r="I170" s="1806"/>
      <c r="J170" s="1807"/>
      <c r="K170" s="1807"/>
      <c r="L170" s="1807"/>
      <c r="M170" s="1807"/>
      <c r="N170" s="1807"/>
      <c r="O170" s="1808"/>
      <c r="P170" s="1983"/>
      <c r="Q170" s="1984"/>
      <c r="R170" s="1984"/>
      <c r="S170" s="1984"/>
      <c r="T170" s="1984"/>
      <c r="U170" s="1984"/>
      <c r="V170" s="1985"/>
      <c r="W170" s="1633"/>
      <c r="X170" s="1634"/>
      <c r="Y170" s="1634"/>
      <c r="Z170" s="1635"/>
      <c r="AA170" s="1843"/>
      <c r="AB170" s="1844"/>
      <c r="AC170" s="1844"/>
      <c r="AD170" s="1844"/>
      <c r="AE170" s="1845"/>
      <c r="AF170" s="1633"/>
      <c r="AG170" s="1634"/>
      <c r="AH170" s="1712"/>
      <c r="AI170" s="1482"/>
      <c r="AJ170" s="643"/>
      <c r="AK170" s="640"/>
      <c r="AL170" s="1002"/>
      <c r="AM170" s="1729"/>
      <c r="AN170" s="1730"/>
      <c r="AO170" s="1730"/>
      <c r="AP170" s="1730"/>
      <c r="AQ170" s="1730"/>
      <c r="AR170" s="1730"/>
      <c r="AS170" s="1730"/>
      <c r="AT170" s="1730"/>
      <c r="AU170" s="1730"/>
      <c r="AV170" s="1730"/>
      <c r="AW170" s="1730"/>
      <c r="AX170" s="1731"/>
      <c r="AY170" s="1489"/>
      <c r="AZ170" s="2576"/>
      <c r="BA170" s="2577"/>
    </row>
    <row r="171" spans="1:53" ht="11.1" customHeight="1">
      <c r="A171" s="1054" t="str">
        <f>IF(X="CHAMPIONNAT","",IF(AND(X="CHAMPION'S LEAGUE",[1]DONNEES!$DL$32=""),"LDC",IF(AND(X="CHAMPION'S LEAGUE",[1]DONNEES!$DL$32&lt;&gt;""),[1]DONNEES!$DL$32,IF(X="UEFA","",IF(X="COUPE DE FRANCE","",IF(X="COUPE DE LA LIGUE","",IF(X="MONDIAL",[8]CLASSEMENT!$BF$31,"")))))))</f>
        <v/>
      </c>
      <c r="B171" s="1053" t="str">
        <f>SUBSTITUTE(IF(X="CHAMPIONNAT","",IF(X="CHAMPION'S LEAGUE",[1]DONNEES!$DM$32,IF(X="UEFA","",IF(X="COUPE DE FRANCE","",IF(X="COUPE DE LA LIGUE","",IF(X="MONDIAL",[8]CLASSEMENT!$BG$31,IF(X="EURO","",IF(X="CONFEDERATIONS","","")))))))),":#",": ")</f>
        <v/>
      </c>
      <c r="C171" s="1421"/>
      <c r="D171" s="1422"/>
      <c r="E171" s="1219"/>
      <c r="F171" s="15"/>
      <c r="G171" s="1742"/>
      <c r="H171" s="1743"/>
      <c r="I171" s="1806"/>
      <c r="J171" s="1807"/>
      <c r="K171" s="1807"/>
      <c r="L171" s="1807"/>
      <c r="M171" s="1807"/>
      <c r="N171" s="1807"/>
      <c r="O171" s="1808"/>
      <c r="P171" s="1983"/>
      <c r="Q171" s="1984"/>
      <c r="R171" s="1984"/>
      <c r="S171" s="1984"/>
      <c r="T171" s="1984"/>
      <c r="U171" s="1984"/>
      <c r="V171" s="1985"/>
      <c r="W171" s="1633"/>
      <c r="X171" s="1634"/>
      <c r="Y171" s="1634"/>
      <c r="Z171" s="1635"/>
      <c r="AA171" s="1843"/>
      <c r="AB171" s="1844"/>
      <c r="AC171" s="1844"/>
      <c r="AD171" s="1844"/>
      <c r="AE171" s="1845"/>
      <c r="AF171" s="1633"/>
      <c r="AG171" s="1634"/>
      <c r="AH171" s="1712"/>
      <c r="AI171" s="1470"/>
      <c r="AJ171" s="643"/>
      <c r="AK171" s="640"/>
      <c r="AL171" s="1004"/>
      <c r="AM171" s="1729"/>
      <c r="AN171" s="1730"/>
      <c r="AO171" s="1730"/>
      <c r="AP171" s="1730"/>
      <c r="AQ171" s="1730"/>
      <c r="AR171" s="1730"/>
      <c r="AS171" s="1730"/>
      <c r="AT171" s="1730"/>
      <c r="AU171" s="1730"/>
      <c r="AV171" s="1730"/>
      <c r="AW171" s="1730"/>
      <c r="AX171" s="1731"/>
      <c r="AY171" s="1489"/>
      <c r="AZ171" s="2576"/>
      <c r="BA171" s="2577"/>
    </row>
    <row r="172" spans="1:53" ht="11.1" customHeight="1">
      <c r="A172" s="1054" t="str">
        <f>IF(X="CHAMPIONNAT","",IF(AND(X="CHAMPION'S LEAGUE",[1]DONNEES!$DL$33=""),"LDC",IF(AND(X="CHAMPION'S LEAGUE",[1]DONNEES!$DL$33&lt;&gt;""),[1]DONNEES!$DL$33,IF(X="UEFA","",IF(X="COUPE DE FRANCE","",IF(X="COUPE DE LA LIGUE","",IF(X="MONDIAL",[8]CLASSEMENT!$BF$32,"")))))))</f>
        <v/>
      </c>
      <c r="B172" s="1053" t="str">
        <f>SUBSTITUTE(IF(X="CHAMPIONNAT","",IF(X="CHAMPION'S LEAGUE",[1]DONNEES!$DM$33,IF(X="UEFA","",IF(X="COUPE DE FRANCE","",IF(X="COUPE DE LA LIGUE","",IF(X="MONDIAL",[8]CLASSEMENT!$BG$32,IF(X="EURO","",IF(X="CONFEDERATIONS","","")))))))),":#",": ")</f>
        <v/>
      </c>
      <c r="C172" s="1421"/>
      <c r="D172" s="1422"/>
      <c r="E172" s="1219"/>
      <c r="F172" s="15"/>
      <c r="G172" s="1742"/>
      <c r="H172" s="1743"/>
      <c r="I172" s="1806"/>
      <c r="J172" s="1807"/>
      <c r="K172" s="1807"/>
      <c r="L172" s="1807"/>
      <c r="M172" s="1807"/>
      <c r="N172" s="1807"/>
      <c r="O172" s="1808"/>
      <c r="P172" s="1983"/>
      <c r="Q172" s="1984"/>
      <c r="R172" s="1984"/>
      <c r="S172" s="1984"/>
      <c r="T172" s="1984"/>
      <c r="U172" s="1984"/>
      <c r="V172" s="1985"/>
      <c r="W172" s="1633"/>
      <c r="X172" s="1634"/>
      <c r="Y172" s="1634"/>
      <c r="Z172" s="1635"/>
      <c r="AA172" s="1843"/>
      <c r="AB172" s="1844"/>
      <c r="AC172" s="1844"/>
      <c r="AD172" s="1844"/>
      <c r="AE172" s="1845"/>
      <c r="AF172" s="1633"/>
      <c r="AG172" s="1634"/>
      <c r="AH172" s="1712"/>
      <c r="AI172" s="1482"/>
      <c r="AJ172" s="643"/>
      <c r="AK172" s="640"/>
      <c r="AL172" s="1002"/>
      <c r="AM172" s="1729"/>
      <c r="AN172" s="1730"/>
      <c r="AO172" s="1730"/>
      <c r="AP172" s="1730"/>
      <c r="AQ172" s="1730"/>
      <c r="AR172" s="1730"/>
      <c r="AS172" s="1730"/>
      <c r="AT172" s="1730"/>
      <c r="AU172" s="1730"/>
      <c r="AV172" s="1730"/>
      <c r="AW172" s="1730"/>
      <c r="AX172" s="1731"/>
      <c r="AY172" s="1489"/>
      <c r="AZ172" s="2576"/>
      <c r="BA172" s="2577"/>
    </row>
    <row r="173" spans="1:53" ht="9.9499999999999993" customHeight="1">
      <c r="A173" s="1054" t="str">
        <f>IF(X="CHAMPIONNAT","",IF(AND(X="CHAMPION'S LEAGUE",[1]DONNEES!$DL$34=""),"LDC",IF(AND(X="CHAMPION'S LEAGUE",[1]DONNEES!$DL$34&lt;&gt;""),[1]DONNEES!$DL$34,IF(X="UEFA","",IF(X="COUPE DE FRANCE","",IF(X="COUPE DE LA LIGUE","",IF(X="MONDIAL",[8]CLASSEMENT!$BF$33,"")))))))</f>
        <v/>
      </c>
      <c r="B173" s="1053" t="str">
        <f>SUBSTITUTE(IF(X="CHAMPIONNAT","",IF(X="CHAMPION'S LEAGUE",[1]DONNEES!$DM$34,IF(X="UEFA","",IF(X="COUPE DE FRANCE","",IF(X="COUPE DE LA LIGUE","",IF(X="MONDIAL",[8]CLASSEMENT!$BG$33,IF(X="EURO","",IF(X="CONFEDERATIONS","","")))))))),":#",": ")</f>
        <v/>
      </c>
      <c r="C173" s="1421"/>
      <c r="D173" s="1422"/>
      <c r="E173" s="1219"/>
      <c r="F173" s="15"/>
      <c r="G173" s="1742"/>
      <c r="H173" s="1743"/>
      <c r="I173" s="1806"/>
      <c r="J173" s="1807"/>
      <c r="K173" s="1807"/>
      <c r="L173" s="1807"/>
      <c r="M173" s="1807"/>
      <c r="N173" s="1807"/>
      <c r="O173" s="1808"/>
      <c r="P173" s="1983"/>
      <c r="Q173" s="1984"/>
      <c r="R173" s="1984"/>
      <c r="S173" s="1984"/>
      <c r="T173" s="1984"/>
      <c r="U173" s="1984"/>
      <c r="V173" s="1985"/>
      <c r="W173" s="1633"/>
      <c r="X173" s="1634"/>
      <c r="Y173" s="1634"/>
      <c r="Z173" s="1635"/>
      <c r="AA173" s="1843"/>
      <c r="AB173" s="1844"/>
      <c r="AC173" s="1844"/>
      <c r="AD173" s="1844"/>
      <c r="AE173" s="1845"/>
      <c r="AF173" s="1633"/>
      <c r="AG173" s="1634"/>
      <c r="AH173" s="1712"/>
      <c r="AI173" s="1470"/>
      <c r="AJ173" s="643"/>
      <c r="AK173" s="640"/>
      <c r="AL173" s="1004"/>
      <c r="AM173" s="1729"/>
      <c r="AN173" s="1730"/>
      <c r="AO173" s="1730"/>
      <c r="AP173" s="1730"/>
      <c r="AQ173" s="1730"/>
      <c r="AR173" s="1730"/>
      <c r="AS173" s="1730"/>
      <c r="AT173" s="1730"/>
      <c r="AU173" s="1730"/>
      <c r="AV173" s="1730"/>
      <c r="AW173" s="1730"/>
      <c r="AX173" s="1731"/>
      <c r="AY173" s="1489"/>
      <c r="AZ173" s="2576"/>
      <c r="BA173" s="2577"/>
    </row>
    <row r="174" spans="1:53" ht="11.1" customHeight="1">
      <c r="A174" s="1054" t="str">
        <f>IF(X="CHAMPIONNAT","",IF(AND(X="CHAMPION'S LEAGUE",[1]DONNEES!$DL$35=""),"LDC",IF(AND(X="CHAMPION'S LEAGUE",[1]DONNEES!$DL$35&lt;&gt;""),[1]DONNEES!$DL$35,IF(X="UEFA","",IF(X="COUPE DE FRANCE","",IF(X="COUPE DE LA LIGUE","",IF(X="MONDIAL",[8]CLASSEMENT!$BF$34,"")))))))</f>
        <v/>
      </c>
      <c r="B174" s="1053" t="str">
        <f>SUBSTITUTE(IF(X="CHAMPIONNAT","",IF(X="CHAMPION'S LEAGUE",[1]DONNEES!$DM$35,IF(X="UEFA","",IF(X="COUPE DE FRANCE","",IF(X="COUPE DE LA LIGUE","",IF(X="MONDIAL",[8]CLASSEMENT!$BG$34,IF(X="EURO","",IF(X="CONFEDERATIONS","","")))))))),":#",": ")</f>
        <v/>
      </c>
      <c r="C174" s="1421"/>
      <c r="D174" s="1422"/>
      <c r="E174" s="1219"/>
      <c r="F174" s="15"/>
      <c r="G174" s="1742"/>
      <c r="H174" s="1743"/>
      <c r="I174" s="1806"/>
      <c r="J174" s="1807"/>
      <c r="K174" s="1807"/>
      <c r="L174" s="1807"/>
      <c r="M174" s="1807"/>
      <c r="N174" s="1807"/>
      <c r="O174" s="1808"/>
      <c r="P174" s="1983"/>
      <c r="Q174" s="1984"/>
      <c r="R174" s="1984"/>
      <c r="S174" s="1984"/>
      <c r="T174" s="1984"/>
      <c r="U174" s="1984"/>
      <c r="V174" s="1985"/>
      <c r="W174" s="1633"/>
      <c r="X174" s="1634"/>
      <c r="Y174" s="1634"/>
      <c r="Z174" s="1635"/>
      <c r="AA174" s="1843"/>
      <c r="AB174" s="1844"/>
      <c r="AC174" s="1844"/>
      <c r="AD174" s="1844"/>
      <c r="AE174" s="1845"/>
      <c r="AF174" s="1633"/>
      <c r="AG174" s="1634"/>
      <c r="AH174" s="1712"/>
      <c r="AI174" s="1482"/>
      <c r="AJ174" s="643"/>
      <c r="AK174" s="640"/>
      <c r="AL174" s="1002"/>
      <c r="AM174" s="1729"/>
      <c r="AN174" s="1730"/>
      <c r="AO174" s="1730"/>
      <c r="AP174" s="1730"/>
      <c r="AQ174" s="1730"/>
      <c r="AR174" s="1730"/>
      <c r="AS174" s="1730"/>
      <c r="AT174" s="1730"/>
      <c r="AU174" s="1730"/>
      <c r="AV174" s="1730"/>
      <c r="AW174" s="1730"/>
      <c r="AX174" s="1731"/>
      <c r="AY174" s="1489"/>
      <c r="AZ174" s="2576"/>
      <c r="BA174" s="2577"/>
    </row>
    <row r="175" spans="1:53" ht="12" customHeight="1" thickBot="1">
      <c r="A175" s="1055" t="str">
        <f>IF(X="CHAMPIONNAT","",IF(AND(X="CHAMPION'S LEAGUE",[1]DONNEES!$DL$36=""),"LDC",IF(AND(X="CHAMPION'S LEAGUE",[1]DONNEES!$DL$36&lt;&gt;""),[1]DONNEES!$DL$36,IF(X="UEFA","",IF(X="COUPE DE FRANCE","",IF(X="COUPE DE LA LIGUE","",IF(X="MONDIAL",[8]CLASSEMENT!$BF$35,"")))))))</f>
        <v/>
      </c>
      <c r="B175" s="1053" t="str">
        <f>SUBSTITUTE(IF(X="CHAMPIONNAT","",IF(X="CHAMPION'S LEAGUE",[1]DONNEES!$DM$36,IF(X="UEFA","",IF(X="COUPE DE FRANCE","",IF(X="COUPE DE LA LIGUE","",IF(X="MONDIAL",[8]CLASSEMENT!$BG$35,IF(X="EURO","",IF(X="CONFEDERATIONS","","")))))))),":#",": ")</f>
        <v/>
      </c>
      <c r="C175" s="1421"/>
      <c r="D175" s="1422"/>
      <c r="E175" s="1221"/>
      <c r="F175" s="53"/>
      <c r="G175" s="1745"/>
      <c r="H175" s="1746"/>
      <c r="I175" s="1809"/>
      <c r="J175" s="1810"/>
      <c r="K175" s="1810"/>
      <c r="L175" s="1810"/>
      <c r="M175" s="1810"/>
      <c r="N175" s="1810"/>
      <c r="O175" s="1811"/>
      <c r="P175" s="1986"/>
      <c r="Q175" s="1987"/>
      <c r="R175" s="1987"/>
      <c r="S175" s="1987"/>
      <c r="T175" s="1987"/>
      <c r="U175" s="1987"/>
      <c r="V175" s="1988"/>
      <c r="W175" s="1636"/>
      <c r="X175" s="1637"/>
      <c r="Y175" s="1637"/>
      <c r="Z175" s="1638"/>
      <c r="AA175" s="1846"/>
      <c r="AB175" s="1847"/>
      <c r="AC175" s="1847"/>
      <c r="AD175" s="1847"/>
      <c r="AE175" s="1848"/>
      <c r="AF175" s="1636"/>
      <c r="AG175" s="1637"/>
      <c r="AH175" s="1713"/>
      <c r="AI175" s="1000"/>
      <c r="AJ175" s="644"/>
      <c r="AK175" s="641"/>
      <c r="AL175" s="1245"/>
      <c r="AM175" s="1732"/>
      <c r="AN175" s="1733"/>
      <c r="AO175" s="1733"/>
      <c r="AP175" s="1733"/>
      <c r="AQ175" s="1733"/>
      <c r="AR175" s="1733"/>
      <c r="AS175" s="1733"/>
      <c r="AT175" s="1733"/>
      <c r="AU175" s="1733"/>
      <c r="AV175" s="1733"/>
      <c r="AW175" s="1733"/>
      <c r="AX175" s="1734"/>
      <c r="AY175" s="1493"/>
      <c r="AZ175" s="2570"/>
      <c r="BA175" s="2571"/>
    </row>
    <row r="176" spans="1:53" ht="363.95" customHeight="1" thickTop="1" thickBot="1">
      <c r="A176" s="473" t="str">
        <f>IF(OR(TABLEAU!$B$176="",TABLEAU!$E$176=""),"",IF(A&gt;TABLEAU!$E$176,CONCATENATE("#DEPASSE= ",TABLEAU!$B$176,"#"),IF(TABLEAU!$E$176&lt;&gt;A,"",CONCATENATE("#",TABLEAU!$B$176,"#"))))</f>
        <v/>
      </c>
      <c r="B176" s="1919"/>
      <c r="C176" s="1920"/>
      <c r="D176" s="1920"/>
      <c r="E176" s="1921"/>
      <c r="F176" s="1217"/>
      <c r="G176" s="2270"/>
      <c r="H176" s="2271"/>
      <c r="I176" s="1906" t="str">
        <f>UPPER(SUBSTITUTE(IF(QQ="","",CONCATENATE("#",QQ,"# ")),"##","#"))</f>
        <v/>
      </c>
      <c r="J176" s="1907"/>
      <c r="K176" s="1907"/>
      <c r="L176" s="1907"/>
      <c r="M176" s="1907"/>
      <c r="N176" s="1907"/>
      <c r="O176" s="1908"/>
      <c r="P176" s="2364" t="str">
        <f ca="1">SUBSTITUTE(SUBSTITUTE(SUBSTITUTE(SUBSTITUTE(SUBSTITUTE(SUBSTITUTE(SUBSTITUTE(TABLEAU!$J$19,"(LUNDI ","("),"(MARDI ","("),"(MERCREDI ","("),"(JEUDI ","("),"(VENDREDI ","("),"(SAMEDI ","("),"(DIMANCHE ","(")</f>
        <v>#DANS 7H45 (A 20H45): [CHAMPIONNAT]#</v>
      </c>
      <c r="Q176" s="2365"/>
      <c r="R176" s="2365"/>
      <c r="S176" s="2365"/>
      <c r="T176" s="2365"/>
      <c r="U176" s="2365"/>
      <c r="V176" s="2366"/>
      <c r="W176" s="1906" t="str">
        <f>UPPER(TRIM(IF([1]!SUIV="","",CONCATENATE("[LDC= ",[1]!SUIV,"]"))))</f>
        <v>[LDC= BARCELONE VS PRAGUE {GR F}]</v>
      </c>
      <c r="X176" s="1907"/>
      <c r="Y176" s="1907"/>
      <c r="Z176" s="1908"/>
      <c r="AA176" s="1613"/>
      <c r="AB176" s="1614"/>
      <c r="AC176" s="1614"/>
      <c r="AD176" s="1614"/>
      <c r="AE176" s="1615"/>
      <c r="AF176" s="1570"/>
      <c r="AG176" s="1571"/>
      <c r="AH176" s="1571"/>
      <c r="AI176" s="1572"/>
      <c r="AJ176" s="1005"/>
      <c r="AK176" s="1005"/>
      <c r="AL176" s="1735"/>
      <c r="AM176" s="1736"/>
      <c r="AN176" s="1736"/>
      <c r="AO176" s="1736"/>
      <c r="AP176" s="1736"/>
      <c r="AQ176" s="1736"/>
      <c r="AR176" s="1736"/>
      <c r="AS176" s="1736"/>
      <c r="AT176" s="1736"/>
      <c r="AU176" s="1736"/>
      <c r="AV176" s="1736"/>
      <c r="AW176" s="1736"/>
      <c r="AX176" s="1737"/>
      <c r="AY176" s="1493"/>
      <c r="AZ176" s="2578"/>
      <c r="BA176" s="2271"/>
    </row>
    <row r="177" spans="1:53" ht="17.100000000000001" customHeight="1" thickTop="1">
      <c r="A177" s="72" t="str">
        <f ca="1">TRIM(UPPER(SUBSTITUTE(SUBSTITUTE(SUBSTITUTE(SUBSTITUTE(SUBSTITUTE(CONCATENATE(LUNDI.DANS," LUNDI {",4-COUNTBLANK(TABLEAU!$B$55:'TABLEAU'!$B$58)-COUNTIF(TABLEAU!$P$55:'TABLEAU'!$P$58,"#DEPASSE#")," PROG}= ",TABLEAU!$AI$55),"{0 PROG}=",""),"=  &amp;","= ")," &amp; ]",""),LUNDI.DANS,""),CONCATENATE("= # (",LOOKUP(WEEKDAY(LUNDI.DATE),SEMAINE)," ",DAY(LUNDI.DATE)," ",LOOKUP(MONTH(LUNDI.DATE),MOIS)," "),"= (")))</f>
        <v>LUNDI {3 PROG}= (A 18H50 SUR TFX): [TELE-REALITE]# &amp; #(A 19H50 SUR W9): [LES MARSEILLAIS]# &amp; #(A 23H00 SUR TF1): [NEW YORK UNITE SPECIALE]#</v>
      </c>
      <c r="B177" s="2367">
        <v>123.45</v>
      </c>
      <c r="C177" s="2369" t="s">
        <v>2</v>
      </c>
      <c r="D177" s="1909" t="str">
        <f>IF(SOMME.EN.EURO="","",UPPER(CONCATENATE(ROUND(SOMME.EN.EURO*TAUX.EURO,2)," F")))</f>
        <v>809,78 F</v>
      </c>
      <c r="E177" s="1910"/>
      <c r="F177" s="1006"/>
      <c r="G177" s="1687"/>
      <c r="H177" s="1689"/>
      <c r="I177" s="1803" t="str">
        <f ca="1">UPPER(SUBSTITUTE(SUBSTITUTE(SUBSTITUTE(SUBSTITUTE(SUBSTITUTE(SUBSTITUTE(SUBSTITUTE(SUBSTITUTE(SUBSTITUTE(SUBSTITUTE(SUBSTITUTE(SUBSTITUTE(SUBSTITUTE(SUBSTITUTE(SUBSTITUTE(SUBSTITUTE(SUBSTITUTE(SUBSTITUTE(SUBSTITUTE(TABLEAU!$I$143,"{1 PROG}= ",""),TABLEAU!$F$31,""),"=  &amp;","="),"&gt;","#"),"&lt;","#"),"L1","CHAMPIONNAT"),"DI 1 ","DI 1ER "),"DIMANCHE 1 ","DIMANCHE 1ER "),AQW,""),"(A",CONCATENATE("(",DATE.RDV.TV," A")),"]#]#","]#"),"#DEPUIS","#DEPASSE DEPUIS"),"[DEPASSE","DEPASSE"),CONCATENATE(DATE.RDV.TV," "),""),"[MAINTENANT","MAINTENANT"),CONCATENATE("(",YEAR(A)," "),"("),"NOUS SOMMES LE ",CONCATENATE("NOUS SOMMES LE ",DATE.RDV.TV," ")),"##","#"),"#EVENEMENT",""))</f>
        <v>#DANS 7H45 (A 20H45): [CHAMPIONNAT]# &amp; #DANS 7H40 (A 20H40 SUR AB1): [SMACKDOWN]#</v>
      </c>
      <c r="J177" s="1804"/>
      <c r="K177" s="1804"/>
      <c r="L177" s="1804"/>
      <c r="M177" s="1804"/>
      <c r="N177" s="1804"/>
      <c r="O177" s="1805"/>
      <c r="P177" s="2372"/>
      <c r="Q177" s="2373"/>
      <c r="R177" s="2373"/>
      <c r="S177" s="2373"/>
      <c r="T177" s="2373"/>
      <c r="U177" s="2373"/>
      <c r="V177" s="2374"/>
      <c r="W177" s="2261"/>
      <c r="X177" s="2262"/>
      <c r="Y177" s="2262"/>
      <c r="Z177" s="2263"/>
      <c r="AA177" s="1774"/>
      <c r="AB177" s="1775"/>
      <c r="AC177" s="1775"/>
      <c r="AD177" s="1775"/>
      <c r="AE177" s="1776"/>
      <c r="AF177" s="1643"/>
      <c r="AG177" s="1644"/>
      <c r="AH177" s="1644"/>
      <c r="AI177" s="1645"/>
      <c r="AJ177" s="1453"/>
      <c r="AK177" s="1453"/>
      <c r="AL177" s="1785"/>
      <c r="AM177" s="1786"/>
      <c r="AN177" s="1786"/>
      <c r="AO177" s="1786"/>
      <c r="AP177" s="1786"/>
      <c r="AQ177" s="1786"/>
      <c r="AR177" s="1786"/>
      <c r="AS177" s="1786"/>
      <c r="AT177" s="1786"/>
      <c r="AU177" s="1786"/>
      <c r="AV177" s="1786"/>
      <c r="AW177" s="1786"/>
      <c r="AX177" s="1787"/>
      <c r="AY177" s="1489"/>
      <c r="AZ177" s="2568"/>
      <c r="BA177" s="2569"/>
    </row>
    <row r="178" spans="1:53" ht="18" customHeight="1">
      <c r="A178" s="72" t="str">
        <f ca="1">TRIM(UPPER(SUBSTITUTE(SUBSTITUTE(SUBSTITUTE(SUBSTITUTE(SUBSTITUTE(CONCATENATE(MARDI.DANS," MARDI {",4-COUNTBLANK(TABLEAU!$B$59:'TABLEAU'!$B$62)-COUNTIF(TABLEAU!$P$59:'TABLEAU'!$P$62,"#DEPASSE#")," PROG}= ",TABLEAU!$AI$59),"{0 PROG}=",""),"=  &amp;","= ")," &amp; ]",""),MARDI.DANS,""),CONCATENATE("= # (",LOOKUP(WEEKDAY(MARDI.DATE),SEMAINE)," ",DAY(MARDI.DATE)," ",LOOKUP(MONTH(MARDI.DATE),MOIS)," "),"= (")))</f>
        <v>MARDI {3 PROG}= (A 18H50 SUR TFX): [TELE-REALITE]# &amp; #(A 19H50 SUR W9): [LES MARSEILLAIS]# &amp; #(A 21H05 SUR TF1): [S.W.A.T]#</v>
      </c>
      <c r="B178" s="2368"/>
      <c r="C178" s="2370"/>
      <c r="D178" s="1911"/>
      <c r="E178" s="1912"/>
      <c r="F178" s="1007"/>
      <c r="G178" s="1762"/>
      <c r="H178" s="1764"/>
      <c r="I178" s="1806"/>
      <c r="J178" s="1807"/>
      <c r="K178" s="1807"/>
      <c r="L178" s="1807"/>
      <c r="M178" s="1807"/>
      <c r="N178" s="1807"/>
      <c r="O178" s="1808"/>
      <c r="P178" s="2375"/>
      <c r="Q178" s="2376"/>
      <c r="R178" s="2376"/>
      <c r="S178" s="2376"/>
      <c r="T178" s="2376"/>
      <c r="U178" s="2376"/>
      <c r="V178" s="2377"/>
      <c r="W178" s="2264"/>
      <c r="X178" s="2265"/>
      <c r="Y178" s="2265"/>
      <c r="Z178" s="2266"/>
      <c r="AA178" s="1777"/>
      <c r="AB178" s="1778"/>
      <c r="AC178" s="1778"/>
      <c r="AD178" s="1778"/>
      <c r="AE178" s="1779"/>
      <c r="AF178" s="1646"/>
      <c r="AG178" s="1647"/>
      <c r="AH178" s="1647"/>
      <c r="AI178" s="1648"/>
      <c r="AJ178" s="1454"/>
      <c r="AK178" s="1454"/>
      <c r="AL178" s="1788"/>
      <c r="AM178" s="1789"/>
      <c r="AN178" s="1789"/>
      <c r="AO178" s="1789"/>
      <c r="AP178" s="1789"/>
      <c r="AQ178" s="1789"/>
      <c r="AR178" s="1789"/>
      <c r="AS178" s="1789"/>
      <c r="AT178" s="1789"/>
      <c r="AU178" s="1789"/>
      <c r="AV178" s="1789"/>
      <c r="AW178" s="1789"/>
      <c r="AX178" s="1790"/>
      <c r="AY178" s="1489"/>
      <c r="AZ178" s="2576"/>
      <c r="BA178" s="2577"/>
    </row>
    <row r="179" spans="1:53" ht="18" customHeight="1">
      <c r="A179" s="72" t="str">
        <f ca="1">TRIM(UPPER(SUBSTITUTE(SUBSTITUTE(SUBSTITUTE(SUBSTITUTE(SUBSTITUTE(CONCATENATE(MERCREDI.DANS," MERCREDI {",4-COUNTBLANK(TABLEAU!$B$63:'TABLEAU'!$B$66)-COUNTIF(TABLEAU!$P$63:'TABLEAU'!$P$66,"#DEPASSE#")," PROG}= ",TABLEAU!$AI$63),"{0 PROG}=",""),"=  &amp;","= ")," &amp; ]",""),MERCREDI.DANS,""),CONCATENATE("= # (",LOOKUP(WEEKDAY(MERCREDI.DATE),SEMAINE)," ",DAY(MERCREDI.DATE)," ",LOOKUP(MONTH(MERCREDI.DATE),MOIS)," "),"= (")))</f>
        <v>MERCREDI {3 PROG}= (A 18H50 SUR TFX): [TELE-REALITE]# &amp; #(A 19H50 SUR W9): [LES MARSEILLAIS]# &amp; #(A 20H40 SUR AB1): [RAW]#</v>
      </c>
      <c r="B179" s="2368"/>
      <c r="C179" s="2370"/>
      <c r="D179" s="1911"/>
      <c r="E179" s="1912"/>
      <c r="F179" s="1007"/>
      <c r="G179" s="1762"/>
      <c r="H179" s="1764"/>
      <c r="I179" s="1806"/>
      <c r="J179" s="1807"/>
      <c r="K179" s="1807"/>
      <c r="L179" s="1807"/>
      <c r="M179" s="1807"/>
      <c r="N179" s="1807"/>
      <c r="O179" s="1808"/>
      <c r="P179" s="2375"/>
      <c r="Q179" s="2376"/>
      <c r="R179" s="2376"/>
      <c r="S179" s="2376"/>
      <c r="T179" s="2376"/>
      <c r="U179" s="2376"/>
      <c r="V179" s="2377"/>
      <c r="W179" s="2264"/>
      <c r="X179" s="2265"/>
      <c r="Y179" s="2265"/>
      <c r="Z179" s="2266"/>
      <c r="AA179" s="1777"/>
      <c r="AB179" s="1778"/>
      <c r="AC179" s="1778"/>
      <c r="AD179" s="1778"/>
      <c r="AE179" s="1779"/>
      <c r="AF179" s="1646"/>
      <c r="AG179" s="1647"/>
      <c r="AH179" s="1647"/>
      <c r="AI179" s="1648"/>
      <c r="AJ179" s="1454"/>
      <c r="AK179" s="1454"/>
      <c r="AL179" s="1788"/>
      <c r="AM179" s="1789"/>
      <c r="AN179" s="1789"/>
      <c r="AO179" s="1789"/>
      <c r="AP179" s="1789"/>
      <c r="AQ179" s="1789"/>
      <c r="AR179" s="1789"/>
      <c r="AS179" s="1789"/>
      <c r="AT179" s="1789"/>
      <c r="AU179" s="1789"/>
      <c r="AV179" s="1789"/>
      <c r="AW179" s="1789"/>
      <c r="AX179" s="1790"/>
      <c r="AY179" s="1489"/>
      <c r="AZ179" s="2576"/>
      <c r="BA179" s="2577"/>
    </row>
    <row r="180" spans="1:53" ht="18" customHeight="1">
      <c r="A180" s="72" t="str">
        <f ca="1">TRIM(UPPER(SUBSTITUTE(SUBSTITUTE(SUBSTITUTE(SUBSTITUTE(SUBSTITUTE(CONCATENATE(JEUDI.DANS," JEUDI {",4-COUNTBLANK(TABLEAU!$B$67:'TABLEAU'!$B$70)-COUNTIF(TABLEAU!$P$67:'TABLEAU'!$P$70,"#DEPASSE#")," PROG}= ",TABLEAU!$AI$67),"{0 PROG}=",""),"=  &amp;","= ")," &amp; ]",""),JEUDI.DANS,""),CONCATENATE("= # (",LOOKUP(WEEKDAY(JEUDI.DATE),SEMAINE)," ",DAY(JEUDI.DATE)," ",LOOKUP(MONTH(JEUDI.DATE),MOIS)," "),"= (")))</f>
        <v>JEUDI {2 PROG}= (A 18H50 SUR TFX): [TELE-REALITE]# &amp; #(A 19H50 SUR W9): [LES MARSEILLAIS]#</v>
      </c>
      <c r="B180" s="2368"/>
      <c r="C180" s="2370"/>
      <c r="D180" s="1911"/>
      <c r="E180" s="1912"/>
      <c r="F180" s="1007"/>
      <c r="G180" s="1762"/>
      <c r="H180" s="1764"/>
      <c r="I180" s="1806"/>
      <c r="J180" s="1807"/>
      <c r="K180" s="1807"/>
      <c r="L180" s="1807"/>
      <c r="M180" s="1807"/>
      <c r="N180" s="1807"/>
      <c r="O180" s="1808"/>
      <c r="P180" s="2375"/>
      <c r="Q180" s="2376"/>
      <c r="R180" s="2376"/>
      <c r="S180" s="2376"/>
      <c r="T180" s="2376"/>
      <c r="U180" s="2376"/>
      <c r="V180" s="2377"/>
      <c r="W180" s="2264"/>
      <c r="X180" s="2265"/>
      <c r="Y180" s="2265"/>
      <c r="Z180" s="2266"/>
      <c r="AA180" s="1777"/>
      <c r="AB180" s="1778"/>
      <c r="AC180" s="1778"/>
      <c r="AD180" s="1778"/>
      <c r="AE180" s="1779"/>
      <c r="AF180" s="1646"/>
      <c r="AG180" s="1647"/>
      <c r="AH180" s="1647"/>
      <c r="AI180" s="1648"/>
      <c r="AJ180" s="1454"/>
      <c r="AK180" s="1454"/>
      <c r="AL180" s="1788"/>
      <c r="AM180" s="1789"/>
      <c r="AN180" s="1789"/>
      <c r="AO180" s="1789"/>
      <c r="AP180" s="1789"/>
      <c r="AQ180" s="1789"/>
      <c r="AR180" s="1789"/>
      <c r="AS180" s="1789"/>
      <c r="AT180" s="1789"/>
      <c r="AU180" s="1789"/>
      <c r="AV180" s="1789"/>
      <c r="AW180" s="1789"/>
      <c r="AX180" s="1790"/>
      <c r="AY180" s="1489"/>
      <c r="AZ180" s="2576"/>
      <c r="BA180" s="2577"/>
    </row>
    <row r="181" spans="1:53" ht="24.95" customHeight="1">
      <c r="A181" s="72" t="str">
        <f ca="1">TRIM(UPPER(SUBSTITUTE(SUBSTITUTE(SUBSTITUTE(SUBSTITUTE(SUBSTITUTE(CONCATENATE(VENDREDI.DANS," VENDREDI {",4-COUNTBLANK(TABLEAU!$B$71:'TABLEAU'!$B$74)-COUNTIF(TABLEAU!$P$71:'TABLEAU'!$P$74,"#DEPASSE#")," PROG}= ",TABLEAU!$AI$71),"{0 PROG}=",""),"=  &amp;","= ")," &amp; ]",""),VENDREDI.DANS,""),CONCATENATE("= # (",LOOKUP(WEEKDAY(VENDREDI.DATE),SEMAINE)," ",DAY(VENDREDI.DATE)," ",LOOKUP(MONTH(VENDREDI.DATE),MOIS)," "),"= (")))</f>
        <v>VENDREDI {2 PROG}= (A 18H50 SUR TFX): [TELE-REALITE]# &amp; #(A 19H50 SUR W9): [LES MARSEILLAIS]#</v>
      </c>
      <c r="B181" s="2368"/>
      <c r="C181" s="2370"/>
      <c r="D181" s="1911"/>
      <c r="E181" s="1912"/>
      <c r="F181" s="1007"/>
      <c r="G181" s="1762"/>
      <c r="H181" s="1764"/>
      <c r="I181" s="1806"/>
      <c r="J181" s="1807"/>
      <c r="K181" s="1807"/>
      <c r="L181" s="1807"/>
      <c r="M181" s="1807"/>
      <c r="N181" s="1807"/>
      <c r="O181" s="1808"/>
      <c r="P181" s="2375"/>
      <c r="Q181" s="2376"/>
      <c r="R181" s="2376"/>
      <c r="S181" s="2376"/>
      <c r="T181" s="2376"/>
      <c r="U181" s="2376"/>
      <c r="V181" s="2377"/>
      <c r="W181" s="2264"/>
      <c r="X181" s="2265"/>
      <c r="Y181" s="2265"/>
      <c r="Z181" s="2266"/>
      <c r="AA181" s="1777"/>
      <c r="AB181" s="1778"/>
      <c r="AC181" s="1778"/>
      <c r="AD181" s="1778"/>
      <c r="AE181" s="1779"/>
      <c r="AF181" s="1646"/>
      <c r="AG181" s="1647"/>
      <c r="AH181" s="1647"/>
      <c r="AI181" s="1648"/>
      <c r="AJ181" s="1454"/>
      <c r="AK181" s="1454"/>
      <c r="AL181" s="1788"/>
      <c r="AM181" s="1789"/>
      <c r="AN181" s="1789"/>
      <c r="AO181" s="1789"/>
      <c r="AP181" s="1789"/>
      <c r="AQ181" s="1789"/>
      <c r="AR181" s="1789"/>
      <c r="AS181" s="1789"/>
      <c r="AT181" s="1789"/>
      <c r="AU181" s="1789"/>
      <c r="AV181" s="1789"/>
      <c r="AW181" s="1789"/>
      <c r="AX181" s="1790"/>
      <c r="AY181" s="1489"/>
      <c r="AZ181" s="2576"/>
      <c r="BA181" s="2577"/>
    </row>
    <row r="182" spans="1:53" ht="18" customHeight="1">
      <c r="A182" s="72" t="str">
        <f ca="1">TRIM(UPPER(SUBSTITUTE(SUBSTITUTE(SUBSTITUTE(SUBSTITUTE(SUBSTITUTE(CONCATENATE(SAMEDI.DANS," SAMEDI {",4-COUNTBLANK(TABLEAU!$B$75:'TABLEAU'!$B$78)-COUNTIF(TABLEAU!$P$75:'TABLEAU'!$P$78,"#DEPASSE#")," PROG}= ",TABLEAU!$AI$75),"{0 PROG}=",""),"=  &amp;","= ")," &amp; ]",""),SAMEDI.DANS,""),CONCATENATE("= # (",LOOKUP(WEEKDAY(SAMEDI.DATE),SEMAINE)," ",DAY(SAMEDI.DATE)," ",LOOKUP(MONTH(SAMEDI.DATE),MOIS)," "),"= (")))</f>
        <v>SAMEDI {2 PROG}= #DANS 7H45 (A 20H45): [CHAMPIONNAT]# &amp; #DANS 7H40 (A 20H40 SUR AB1): [SMACKDOWN]#</v>
      </c>
      <c r="B182" s="2368"/>
      <c r="C182" s="2370"/>
      <c r="D182" s="1911"/>
      <c r="E182" s="1912"/>
      <c r="F182" s="1007"/>
      <c r="G182" s="1762"/>
      <c r="H182" s="1764"/>
      <c r="I182" s="1806"/>
      <c r="J182" s="1807"/>
      <c r="K182" s="1807"/>
      <c r="L182" s="1807"/>
      <c r="M182" s="1807"/>
      <c r="N182" s="1807"/>
      <c r="O182" s="1808"/>
      <c r="P182" s="2375"/>
      <c r="Q182" s="2376"/>
      <c r="R182" s="2376"/>
      <c r="S182" s="2376"/>
      <c r="T182" s="2376"/>
      <c r="U182" s="2376"/>
      <c r="V182" s="2377"/>
      <c r="W182" s="2264"/>
      <c r="X182" s="2265"/>
      <c r="Y182" s="2265"/>
      <c r="Z182" s="2266"/>
      <c r="AA182" s="1777"/>
      <c r="AB182" s="1778"/>
      <c r="AC182" s="1778"/>
      <c r="AD182" s="1778"/>
      <c r="AE182" s="1779"/>
      <c r="AF182" s="1646"/>
      <c r="AG182" s="1647"/>
      <c r="AH182" s="1647"/>
      <c r="AI182" s="1648"/>
      <c r="AJ182" s="1454"/>
      <c r="AK182" s="1454"/>
      <c r="AL182" s="1788"/>
      <c r="AM182" s="1789"/>
      <c r="AN182" s="1789"/>
      <c r="AO182" s="1789"/>
      <c r="AP182" s="1789"/>
      <c r="AQ182" s="1789"/>
      <c r="AR182" s="1789"/>
      <c r="AS182" s="1789"/>
      <c r="AT182" s="1789"/>
      <c r="AU182" s="1789"/>
      <c r="AV182" s="1789"/>
      <c r="AW182" s="1789"/>
      <c r="AX182" s="1790"/>
      <c r="AY182" s="1489"/>
      <c r="AZ182" s="2576"/>
      <c r="BA182" s="2577"/>
    </row>
    <row r="183" spans="1:53" ht="18" customHeight="1">
      <c r="A183" s="72" t="str">
        <f ca="1">TRIM(UPPER(SUBSTITUTE(SUBSTITUTE(SUBSTITUTE(SUBSTITUTE(SUBSTITUTE(CONCATENATE(DIMANCHE.DANS," DIMANCHE {",4-COUNTBLANK(TABLEAU!$B$79:'TABLEAU'!$B$82)-COUNTIF(TABLEAU!$P$79:'TABLEAU'!$P$82,"#DEPASSE#")," PROG}= ",TABLEAU!$AI$79),"{0 PROG}=",""),"=  &amp;","= ")," &amp; ]",""),DIMANCHE.DANS,""),CONCATENATE("= # (",LOOKUP(WEEKDAY(DIMANCHE.DATE),SEMAINE)," ",DAY(DIMANCHE.DATE)," ",LOOKUP(MONTH(DIMANCHE.DATE),MOIS)," "),"= (")))</f>
        <v>DIMANCHE</v>
      </c>
      <c r="B183" s="2368"/>
      <c r="C183" s="2370"/>
      <c r="D183" s="1911"/>
      <c r="E183" s="1912"/>
      <c r="F183" s="1007"/>
      <c r="G183" s="1762"/>
      <c r="H183" s="1764"/>
      <c r="I183" s="1806"/>
      <c r="J183" s="1807"/>
      <c r="K183" s="1807"/>
      <c r="L183" s="1807"/>
      <c r="M183" s="1807"/>
      <c r="N183" s="1807"/>
      <c r="O183" s="1808"/>
      <c r="P183" s="2375"/>
      <c r="Q183" s="2376"/>
      <c r="R183" s="2376"/>
      <c r="S183" s="2376"/>
      <c r="T183" s="2376"/>
      <c r="U183" s="2376"/>
      <c r="V183" s="2377"/>
      <c r="W183" s="2264"/>
      <c r="X183" s="2265"/>
      <c r="Y183" s="2265"/>
      <c r="Z183" s="2266"/>
      <c r="AA183" s="1777"/>
      <c r="AB183" s="1778"/>
      <c r="AC183" s="1778"/>
      <c r="AD183" s="1778"/>
      <c r="AE183" s="1779"/>
      <c r="AF183" s="1646"/>
      <c r="AG183" s="1647"/>
      <c r="AH183" s="1647"/>
      <c r="AI183" s="1648"/>
      <c r="AJ183" s="1454"/>
      <c r="AK183" s="1454"/>
      <c r="AL183" s="1788"/>
      <c r="AM183" s="1789"/>
      <c r="AN183" s="1789"/>
      <c r="AO183" s="1789"/>
      <c r="AP183" s="1789"/>
      <c r="AQ183" s="1789"/>
      <c r="AR183" s="1789"/>
      <c r="AS183" s="1789"/>
      <c r="AT183" s="1789"/>
      <c r="AU183" s="1789"/>
      <c r="AV183" s="1789"/>
      <c r="AW183" s="1789"/>
      <c r="AX183" s="1790"/>
      <c r="AY183" s="1489"/>
      <c r="AZ183" s="2576"/>
      <c r="BA183" s="2577"/>
    </row>
    <row r="184" spans="1:53" ht="17.100000000000001" customHeight="1">
      <c r="A184" s="72" t="str">
        <f ca="1">IF(DATE.L1&lt;1,DANS.L1,IF(DATE.CONFEDERATIONS&lt;1,DANS.CONFEDERATIONS,IF(DATE.FRANCE&lt;1,DANS.COUPE.FRANCE,IF(DATE.LIGUE&lt;1,DANS.COUPE.LIGUE,IF(DATE.EURO&lt;1,DANS.EURO,IF(DATE.GP&lt;1,DANS.GP,IF(DATE.CHAMPIONS.LEAGUE&lt;1,DANS.CHAMPIONS.LEAGUE,IF(DATE.MONDIAL&lt;1,DANS.MONDIAL,""))))))))</f>
        <v>DANS 7H45</v>
      </c>
      <c r="B184" s="2368"/>
      <c r="C184" s="2370"/>
      <c r="D184" s="1911"/>
      <c r="E184" s="1912"/>
      <c r="F184" s="1007"/>
      <c r="G184" s="1762"/>
      <c r="H184" s="1764"/>
      <c r="I184" s="1806"/>
      <c r="J184" s="1807"/>
      <c r="K184" s="1807"/>
      <c r="L184" s="1807"/>
      <c r="M184" s="1807"/>
      <c r="N184" s="1807"/>
      <c r="O184" s="1808"/>
      <c r="P184" s="2375"/>
      <c r="Q184" s="2376"/>
      <c r="R184" s="2376"/>
      <c r="S184" s="2376"/>
      <c r="T184" s="2376"/>
      <c r="U184" s="2376"/>
      <c r="V184" s="2377"/>
      <c r="W184" s="2264"/>
      <c r="X184" s="2265"/>
      <c r="Y184" s="2265"/>
      <c r="Z184" s="2266"/>
      <c r="AA184" s="1777"/>
      <c r="AB184" s="1778"/>
      <c r="AC184" s="1778"/>
      <c r="AD184" s="1778"/>
      <c r="AE184" s="1779"/>
      <c r="AF184" s="1646"/>
      <c r="AG184" s="1647"/>
      <c r="AH184" s="1647"/>
      <c r="AI184" s="1648"/>
      <c r="AJ184" s="1454"/>
      <c r="AK184" s="1454"/>
      <c r="AL184" s="1788"/>
      <c r="AM184" s="1789"/>
      <c r="AN184" s="1789"/>
      <c r="AO184" s="1789"/>
      <c r="AP184" s="1789"/>
      <c r="AQ184" s="1789"/>
      <c r="AR184" s="1789"/>
      <c r="AS184" s="1789"/>
      <c r="AT184" s="1789"/>
      <c r="AU184" s="1789"/>
      <c r="AV184" s="1789"/>
      <c r="AW184" s="1789"/>
      <c r="AX184" s="1790"/>
      <c r="AY184" s="1489"/>
      <c r="AZ184" s="2576"/>
      <c r="BA184" s="2577"/>
    </row>
    <row r="185" spans="1:53" ht="18" customHeight="1">
      <c r="A185" s="72" t="str">
        <f ca="1">IF(TABLEAU!$A$184&lt;&gt;"",TABLEAU!$A$184,IF(DATE.UEFA&lt;1,DANS.UEFA,""))</f>
        <v>DANS 7H45</v>
      </c>
      <c r="B185" s="2368"/>
      <c r="C185" s="2370"/>
      <c r="D185" s="1911"/>
      <c r="E185" s="1912"/>
      <c r="F185" s="1007"/>
      <c r="G185" s="1762"/>
      <c r="H185" s="1764"/>
      <c r="I185" s="1806"/>
      <c r="J185" s="1807"/>
      <c r="K185" s="1807"/>
      <c r="L185" s="1807"/>
      <c r="M185" s="1807"/>
      <c r="N185" s="1807"/>
      <c r="O185" s="1808"/>
      <c r="P185" s="2375"/>
      <c r="Q185" s="2376"/>
      <c r="R185" s="2376"/>
      <c r="S185" s="2376"/>
      <c r="T185" s="2376"/>
      <c r="U185" s="2376"/>
      <c r="V185" s="2377"/>
      <c r="W185" s="2264"/>
      <c r="X185" s="2265"/>
      <c r="Y185" s="2265"/>
      <c r="Z185" s="2266"/>
      <c r="AA185" s="1777"/>
      <c r="AB185" s="1778"/>
      <c r="AC185" s="1778"/>
      <c r="AD185" s="1778"/>
      <c r="AE185" s="1779"/>
      <c r="AF185" s="1646"/>
      <c r="AG185" s="1647"/>
      <c r="AH185" s="1647"/>
      <c r="AI185" s="1648"/>
      <c r="AJ185" s="1454"/>
      <c r="AK185" s="1454"/>
      <c r="AL185" s="1788"/>
      <c r="AM185" s="1789"/>
      <c r="AN185" s="1789"/>
      <c r="AO185" s="1789"/>
      <c r="AP185" s="1789"/>
      <c r="AQ185" s="1789"/>
      <c r="AR185" s="1789"/>
      <c r="AS185" s="1789"/>
      <c r="AT185" s="1789"/>
      <c r="AU185" s="1789"/>
      <c r="AV185" s="1789"/>
      <c r="AW185" s="1789"/>
      <c r="AX185" s="1790"/>
      <c r="AY185" s="1489"/>
      <c r="AZ185" s="2576"/>
      <c r="BA185" s="2577"/>
    </row>
    <row r="186" spans="1:53" ht="17.100000000000001" customHeight="1">
      <c r="A186" s="72" t="str">
        <f ca="1">UPPER(TRIM(SUBSTITUTE(SUBSTITUTE(SUBSTITUTE(SUBSTITUTE(SUBSTITUTE(SUBSTITUTE(SUBSTITUTE(SUBSTITUTE(SUBSTITUTE(SUBSTITUTE(SUBSTITUTE(SUBSTITUTE(SUBSTITUTE(TRIM(SUBSTITUTE(SUBSTITUTE(SUBSTITUTE(SUBSTITUTE(SUBSTITUTE(SUBSTITUTE(SUBSTITUTE(SUBSTITUTE(SUBSTITUTE(SUBSTITUTE(SUBSTITUTE(SUBSTITUTE(SUBSTITUTE(CONCATENATE(TABLEAU!$AM$15,"# &amp; #",NBR.TV,TABLEAU!$AA$83,"]","#"),"##","#"),"] &amp; DANS","]# &amp; #DANS"),"] &amp; #","]# &amp; #"),"= &amp;","="),"]#D","]# &amp; #D"),"= #","= "),"=  &amp; #","= "),"]]","]"),"= [#","= ")," &amp; #]#",""),"#]#","#"),"[DEPASSE","DEPASSE"),"##","#")),"#{1 PROG}= ]#",""),"1ER ERREUR","1 ERREUR"),"#[#","# &amp; #"),"] &amp; (","]# &amp; #("),CONCATENATE("#(",DATE.RDV.TV," A ",TABLEAU!$F$33,"): [CHAMPIONNAT]#"),SUBSTITUTE(MODIF,"#","")),"&amp;  &amp; ",""),"# #","# &amp; #"),CONCATENATE(MOIS.MAINTENANT.2," ",YEAR(A)," A "),CONCATENATE(MOIS.MAINTENANT.2," A ")),"{1 PROG}= ",""),"]#]#","]#"),"#ALLEZ L'OM]#","#"),CONCATENATE("A ",SUBSTITUTE(TABLEAU!$M$33,":","H"),"): ~ (A ",SUBSTITUTE(TABLEAU!$M$33,":","H")),CONCATENATE("A ",SUBSTITUTE(TABLEAU!$M$33,":","H"))),"DANS MAINTENANT","MAINTENANT")))</f>
        <v>#DANS 7H45 (A 20H45): [CHAMPIONNAT]# &amp; #{2 PROG}= DANS 7H45 (A 20H45): [CHAMPIONNAT]# &amp; &amp; #DANS 7H40 (A 20H40 SUR AB1): [SMACKDOWN]#</v>
      </c>
      <c r="B186" s="2368"/>
      <c r="C186" s="2370"/>
      <c r="D186" s="1911"/>
      <c r="E186" s="1912"/>
      <c r="F186" s="1007"/>
      <c r="G186" s="1762"/>
      <c r="H186" s="1764"/>
      <c r="I186" s="1806"/>
      <c r="J186" s="1807"/>
      <c r="K186" s="1807"/>
      <c r="L186" s="1807"/>
      <c r="M186" s="1807"/>
      <c r="N186" s="1807"/>
      <c r="O186" s="1808"/>
      <c r="P186" s="2375"/>
      <c r="Q186" s="2376"/>
      <c r="R186" s="2376"/>
      <c r="S186" s="2376"/>
      <c r="T186" s="2376"/>
      <c r="U186" s="2376"/>
      <c r="V186" s="2377"/>
      <c r="W186" s="2264"/>
      <c r="X186" s="2265"/>
      <c r="Y186" s="2265"/>
      <c r="Z186" s="2266"/>
      <c r="AA186" s="1777"/>
      <c r="AB186" s="1778"/>
      <c r="AC186" s="1778"/>
      <c r="AD186" s="1778"/>
      <c r="AE186" s="1779"/>
      <c r="AF186" s="1646"/>
      <c r="AG186" s="1647"/>
      <c r="AH186" s="1647"/>
      <c r="AI186" s="1648"/>
      <c r="AJ186" s="1454"/>
      <c r="AK186" s="1454"/>
      <c r="AL186" s="1788"/>
      <c r="AM186" s="1789"/>
      <c r="AN186" s="1789"/>
      <c r="AO186" s="1789"/>
      <c r="AP186" s="1789"/>
      <c r="AQ186" s="1789"/>
      <c r="AR186" s="1789"/>
      <c r="AS186" s="1789"/>
      <c r="AT186" s="1789"/>
      <c r="AU186" s="1789"/>
      <c r="AV186" s="1789"/>
      <c r="AW186" s="1789"/>
      <c r="AX186" s="1790"/>
      <c r="AY186" s="1489"/>
      <c r="AZ186" s="2576"/>
      <c r="BA186" s="2577"/>
    </row>
    <row r="187" spans="1:53" ht="17.100000000000001" customHeight="1">
      <c r="A187" s="72" t="str">
        <f ca="1">UPPER(IF(TABLEAU!$A$188&lt;&gt;"",TABLEAU!$A$188,IF(TABLEAU!$L$40="A MODIFIER",TABLEAU!$B$40,IF(TABLEAU!$L$41="A MODIFIER",TABLEAU!$B$41,IF(TABLEAU!$L$40="AUJOURD'HUI",TABLEAU!$B$40,IF(TABLEAU!$L$41="AUJOURD'HUI",TABLEAU!$B$41,""))))))</f>
        <v/>
      </c>
      <c r="B187" s="2232">
        <v>987.65</v>
      </c>
      <c r="C187" s="2370"/>
      <c r="D187" s="1913" t="str">
        <f>IF(SOMME.EN.FRANCS=0,"",CONCATENATE(ROUND(SOMME.EN.FRANCS/TAUX.EURO,2)," €"))</f>
        <v>150,57 €</v>
      </c>
      <c r="E187" s="1914"/>
      <c r="F187" s="1007"/>
      <c r="G187" s="1762"/>
      <c r="H187" s="1764"/>
      <c r="I187" s="1806"/>
      <c r="J187" s="1807"/>
      <c r="K187" s="1807"/>
      <c r="L187" s="1807"/>
      <c r="M187" s="1807"/>
      <c r="N187" s="1807"/>
      <c r="O187" s="1808"/>
      <c r="P187" s="2375"/>
      <c r="Q187" s="2376"/>
      <c r="R187" s="2376"/>
      <c r="S187" s="2376"/>
      <c r="T187" s="2376"/>
      <c r="U187" s="2376"/>
      <c r="V187" s="2377"/>
      <c r="W187" s="2264"/>
      <c r="X187" s="2265"/>
      <c r="Y187" s="2265"/>
      <c r="Z187" s="2266"/>
      <c r="AA187" s="1777"/>
      <c r="AB187" s="1778"/>
      <c r="AC187" s="1778"/>
      <c r="AD187" s="1778"/>
      <c r="AE187" s="1779"/>
      <c r="AF187" s="1646"/>
      <c r="AG187" s="1647"/>
      <c r="AH187" s="1647"/>
      <c r="AI187" s="1648"/>
      <c r="AJ187" s="1454"/>
      <c r="AK187" s="1454"/>
      <c r="AL187" s="1788"/>
      <c r="AM187" s="1789"/>
      <c r="AN187" s="1789"/>
      <c r="AO187" s="1789"/>
      <c r="AP187" s="1789"/>
      <c r="AQ187" s="1789"/>
      <c r="AR187" s="1789"/>
      <c r="AS187" s="1789"/>
      <c r="AT187" s="1789"/>
      <c r="AU187" s="1789"/>
      <c r="AV187" s="1789"/>
      <c r="AW187" s="1789"/>
      <c r="AX187" s="1790"/>
      <c r="AY187" s="1489"/>
      <c r="AZ187" s="2576"/>
      <c r="BA187" s="2577"/>
    </row>
    <row r="188" spans="1:53" ht="17.100000000000001" customHeight="1">
      <c r="A188" s="72" t="str">
        <f ca="1">UPPER(IF(TABLEAU!$A$189&lt;&gt;"",TABLEAU!$A$189,IF(TABLEAU!$L$33="AUJOURD'HUI",TABLEAU!$B$33,IF(TABLEAU!$L$34="AUJOURD'HUI",TABLEAU!$B$34,IF(TABLEAU!$L$35="AUJOURD'HUI",TABLEAU!$B$35,IF(TABLEAU!$L$36="AUJOURD'HUI",TABLEAU!$B$36,IF(TABLEAU!$L$37="AUJOURD'HUI",TABLEAU!$B$37,IF(TABLEAU!$L$38="AUJOURD'HUI",TABLEAU!$B$38,""))))))))</f>
        <v/>
      </c>
      <c r="B188" s="2233"/>
      <c r="C188" s="2370"/>
      <c r="D188" s="1915"/>
      <c r="E188" s="1916"/>
      <c r="F188" s="1007"/>
      <c r="G188" s="1762"/>
      <c r="H188" s="1764"/>
      <c r="I188" s="1806"/>
      <c r="J188" s="1807"/>
      <c r="K188" s="1807"/>
      <c r="L188" s="1807"/>
      <c r="M188" s="1807"/>
      <c r="N188" s="1807"/>
      <c r="O188" s="1808"/>
      <c r="P188" s="2375"/>
      <c r="Q188" s="2376"/>
      <c r="R188" s="2376"/>
      <c r="S188" s="2376"/>
      <c r="T188" s="2376"/>
      <c r="U188" s="2376"/>
      <c r="V188" s="2377"/>
      <c r="W188" s="2264"/>
      <c r="X188" s="2265"/>
      <c r="Y188" s="2265"/>
      <c r="Z188" s="2266"/>
      <c r="AA188" s="1777"/>
      <c r="AB188" s="1778"/>
      <c r="AC188" s="1778"/>
      <c r="AD188" s="1778"/>
      <c r="AE188" s="1779"/>
      <c r="AF188" s="1646"/>
      <c r="AG188" s="1647"/>
      <c r="AH188" s="1647"/>
      <c r="AI188" s="1648"/>
      <c r="AJ188" s="1454"/>
      <c r="AK188" s="1454"/>
      <c r="AL188" s="1788"/>
      <c r="AM188" s="1789"/>
      <c r="AN188" s="1789"/>
      <c r="AO188" s="1789"/>
      <c r="AP188" s="1789"/>
      <c r="AQ188" s="1789"/>
      <c r="AR188" s="1789"/>
      <c r="AS188" s="1789"/>
      <c r="AT188" s="1789"/>
      <c r="AU188" s="1789"/>
      <c r="AV188" s="1789"/>
      <c r="AW188" s="1789"/>
      <c r="AX188" s="1790"/>
      <c r="AY188" s="1489"/>
      <c r="AZ188" s="2576"/>
      <c r="BA188" s="2577"/>
    </row>
    <row r="189" spans="1:53" ht="17.100000000000001" customHeight="1">
      <c r="A189" s="72" t="str">
        <f ca="1">UPPER(IF(TABLEAU!$L$33="A MODIFIER",TABLEAU!$B$33,IF(TABLEAU!$L$34="A MODIFIER",TABLEAU!$B$34,IF(TABLEAU!$L$35="A MODIFIER",TABLEAU!$B$35,IF(TABLEAU!$L$36="A MODIFIER",TABLEAU!$B$36,IF(TABLEAU!$L$37="A MODIFIER",TABLEAU!$B$37,IF(TABLEAU!$L$38="A MODIFIER",TABLEAU!$B$38,IF(TABLEAU!$L$39="A MODIFIER",TABLEAU!$B$39,""))))))))</f>
        <v/>
      </c>
      <c r="B189" s="2233"/>
      <c r="C189" s="2370"/>
      <c r="D189" s="1915"/>
      <c r="E189" s="1916"/>
      <c r="F189" s="1007"/>
      <c r="G189" s="1762"/>
      <c r="H189" s="1764"/>
      <c r="I189" s="1806"/>
      <c r="J189" s="1807"/>
      <c r="K189" s="1807"/>
      <c r="L189" s="1807"/>
      <c r="M189" s="1807"/>
      <c r="N189" s="1807"/>
      <c r="O189" s="1808"/>
      <c r="P189" s="2375"/>
      <c r="Q189" s="2376"/>
      <c r="R189" s="2376"/>
      <c r="S189" s="2376"/>
      <c r="T189" s="2376"/>
      <c r="U189" s="2376"/>
      <c r="V189" s="2377"/>
      <c r="W189" s="2264"/>
      <c r="X189" s="2265"/>
      <c r="Y189" s="2265"/>
      <c r="Z189" s="2266"/>
      <c r="AA189" s="1777"/>
      <c r="AB189" s="1778"/>
      <c r="AC189" s="1778"/>
      <c r="AD189" s="1778"/>
      <c r="AE189" s="1779"/>
      <c r="AF189" s="1646"/>
      <c r="AG189" s="1647"/>
      <c r="AH189" s="1647"/>
      <c r="AI189" s="1648"/>
      <c r="AJ189" s="1454"/>
      <c r="AK189" s="1454"/>
      <c r="AL189" s="1788"/>
      <c r="AM189" s="1789"/>
      <c r="AN189" s="1789"/>
      <c r="AO189" s="1789"/>
      <c r="AP189" s="1789"/>
      <c r="AQ189" s="1789"/>
      <c r="AR189" s="1789"/>
      <c r="AS189" s="1789"/>
      <c r="AT189" s="1789"/>
      <c r="AU189" s="1789"/>
      <c r="AV189" s="1789"/>
      <c r="AW189" s="1789"/>
      <c r="AX189" s="1790"/>
      <c r="AY189" s="1489"/>
      <c r="AZ189" s="2576"/>
      <c r="BA189" s="2577"/>
    </row>
    <row r="190" spans="1:53" ht="18" customHeight="1">
      <c r="A190" s="72" t="str">
        <f ca="1">SUBSTITUTE(SUBSTITUTE(SUBSTITUTE(SUBSTITUTE(IF(AND(TYPE.1="PPW DE CARCH",DATE.RDV.TV=TABLEAU!$K$3),SUBSTITUTE(SUBSTITUTE(SUBSTITUTE(TABLEAU!$A$13,"DEMAIN LUNDI","CETTE NUIT"),"):"," SUR AB$1):")," SUR AB1]","]"),TABLEAU!$A$13),"] &amp; DANS","]# &amp; #DANS"),CONCATENATE("DEMAIN (",LOOKUP(WEEKDAY(B),SEMAINE)," (A"),CONCATENATE("DEMAIN (",LOOKUP(WEEKDAY(B),SEMAINE)," A")),CONCATENATE("DEMAIN ",LOOKUP(WEEKDAY(B),SEMAINE)," (A"),CONCATENATE("DEMAIN (",LOOKUP(WEEKDAY(B),SEMAINE)," A")),"EUROS &amp; D","EUROS# &amp; #D")</f>
        <v/>
      </c>
      <c r="B190" s="2233"/>
      <c r="C190" s="2370"/>
      <c r="D190" s="1915"/>
      <c r="E190" s="1916"/>
      <c r="F190" s="1007"/>
      <c r="G190" s="1762"/>
      <c r="H190" s="1764"/>
      <c r="I190" s="1806"/>
      <c r="J190" s="1807"/>
      <c r="K190" s="1807"/>
      <c r="L190" s="1807"/>
      <c r="M190" s="1807"/>
      <c r="N190" s="1807"/>
      <c r="O190" s="1808"/>
      <c r="P190" s="2375"/>
      <c r="Q190" s="2376"/>
      <c r="R190" s="2376"/>
      <c r="S190" s="2376"/>
      <c r="T190" s="2376"/>
      <c r="U190" s="2376"/>
      <c r="V190" s="2377"/>
      <c r="W190" s="2264"/>
      <c r="X190" s="2265"/>
      <c r="Y190" s="2265"/>
      <c r="Z190" s="2266"/>
      <c r="AA190" s="1777"/>
      <c r="AB190" s="1778"/>
      <c r="AC190" s="1778"/>
      <c r="AD190" s="1778"/>
      <c r="AE190" s="1779"/>
      <c r="AF190" s="1646"/>
      <c r="AG190" s="1647"/>
      <c r="AH190" s="1647"/>
      <c r="AI190" s="1648"/>
      <c r="AJ190" s="1454"/>
      <c r="AK190" s="1454"/>
      <c r="AL190" s="1788"/>
      <c r="AM190" s="1789"/>
      <c r="AN190" s="1789"/>
      <c r="AO190" s="1789"/>
      <c r="AP190" s="1789"/>
      <c r="AQ190" s="1789"/>
      <c r="AR190" s="1789"/>
      <c r="AS190" s="1789"/>
      <c r="AT190" s="1789"/>
      <c r="AU190" s="1789"/>
      <c r="AV190" s="1789"/>
      <c r="AW190" s="1789"/>
      <c r="AX190" s="1790"/>
      <c r="AY190" s="1489"/>
      <c r="AZ190" s="2576"/>
      <c r="BA190" s="2577"/>
    </row>
    <row r="191" spans="1:53" ht="18" customHeight="1">
      <c r="A191" s="475" t="str">
        <f ca="1">UPPER(IF(NBR.DEP=0,"MACRO.ATTEINDRE.A$1","MACRO.EFFACE.TV"))</f>
        <v>MACRO.ATTEINDRE.A$1</v>
      </c>
      <c r="B191" s="2233"/>
      <c r="C191" s="2370"/>
      <c r="D191" s="1915"/>
      <c r="E191" s="1916"/>
      <c r="F191" s="1007"/>
      <c r="G191" s="1762"/>
      <c r="H191" s="1764"/>
      <c r="I191" s="1806"/>
      <c r="J191" s="1807"/>
      <c r="K191" s="1807"/>
      <c r="L191" s="1807"/>
      <c r="M191" s="1807"/>
      <c r="N191" s="1807"/>
      <c r="O191" s="1808"/>
      <c r="P191" s="2375"/>
      <c r="Q191" s="2376"/>
      <c r="R191" s="2376"/>
      <c r="S191" s="2376"/>
      <c r="T191" s="2376"/>
      <c r="U191" s="2376"/>
      <c r="V191" s="2377"/>
      <c r="W191" s="2264"/>
      <c r="X191" s="2265"/>
      <c r="Y191" s="2265"/>
      <c r="Z191" s="2266"/>
      <c r="AA191" s="1777"/>
      <c r="AB191" s="1778"/>
      <c r="AC191" s="1778"/>
      <c r="AD191" s="1778"/>
      <c r="AE191" s="1779"/>
      <c r="AF191" s="1646"/>
      <c r="AG191" s="1647"/>
      <c r="AH191" s="1647"/>
      <c r="AI191" s="1648"/>
      <c r="AJ191" s="1454"/>
      <c r="AK191" s="1454"/>
      <c r="AL191" s="1788"/>
      <c r="AM191" s="1789"/>
      <c r="AN191" s="1789"/>
      <c r="AO191" s="1789"/>
      <c r="AP191" s="1789"/>
      <c r="AQ191" s="1789"/>
      <c r="AR191" s="1789"/>
      <c r="AS191" s="1789"/>
      <c r="AT191" s="1789"/>
      <c r="AU191" s="1789"/>
      <c r="AV191" s="1789"/>
      <c r="AW191" s="1789"/>
      <c r="AX191" s="1790"/>
      <c r="AY191" s="1489"/>
      <c r="AZ191" s="2576"/>
      <c r="BA191" s="2577"/>
    </row>
    <row r="192" spans="1:53" ht="24.95" customHeight="1">
      <c r="A192" s="475" t="str">
        <f ca="1">UPPER(CONCATENATE("#1 PROG EST DEPASSE ",DEP.GP," (A ",TABLEAU!$X$24,"): [",TRIM(CONCATENATE([2]COURSES!$AC$8,"{N°",[2]!COURSE.JOUER+1,"/20}]#"))))</f>
        <v>#1 PROG EST DEPASSE  (A 17H00): [GP DES USA {N°19/20}]#</v>
      </c>
      <c r="B192" s="2233"/>
      <c r="C192" s="2370"/>
      <c r="D192" s="1915"/>
      <c r="E192" s="1916"/>
      <c r="F192" s="1007"/>
      <c r="G192" s="1762"/>
      <c r="H192" s="1764"/>
      <c r="I192" s="1806"/>
      <c r="J192" s="1807"/>
      <c r="K192" s="1807"/>
      <c r="L192" s="1807"/>
      <c r="M192" s="1807"/>
      <c r="N192" s="1807"/>
      <c r="O192" s="1808"/>
      <c r="P192" s="2375"/>
      <c r="Q192" s="2376"/>
      <c r="R192" s="2376"/>
      <c r="S192" s="2376"/>
      <c r="T192" s="2376"/>
      <c r="U192" s="2376"/>
      <c r="V192" s="2377"/>
      <c r="W192" s="2264"/>
      <c r="X192" s="2265"/>
      <c r="Y192" s="2265"/>
      <c r="Z192" s="2266"/>
      <c r="AA192" s="1777"/>
      <c r="AB192" s="1778"/>
      <c r="AC192" s="1778"/>
      <c r="AD192" s="1778"/>
      <c r="AE192" s="1779"/>
      <c r="AF192" s="1646"/>
      <c r="AG192" s="1647"/>
      <c r="AH192" s="1647"/>
      <c r="AI192" s="1648"/>
      <c r="AJ192" s="1454"/>
      <c r="AK192" s="1454"/>
      <c r="AL192" s="1788"/>
      <c r="AM192" s="1789"/>
      <c r="AN192" s="1789"/>
      <c r="AO192" s="1789"/>
      <c r="AP192" s="1789"/>
      <c r="AQ192" s="1789"/>
      <c r="AR192" s="1789"/>
      <c r="AS192" s="1789"/>
      <c r="AT192" s="1789"/>
      <c r="AU192" s="1789"/>
      <c r="AV192" s="1789"/>
      <c r="AW192" s="1789"/>
      <c r="AX192" s="1790"/>
      <c r="AY192" s="1489"/>
      <c r="AZ192" s="2576"/>
      <c r="BA192" s="2577"/>
    </row>
    <row r="193" spans="1:53" ht="18" customHeight="1">
      <c r="A193" s="72" t="str">
        <f ca="1">IF(PLUS="","",CONCATENATE("]~                                                     ",PLUS))</f>
        <v/>
      </c>
      <c r="B193" s="2233"/>
      <c r="C193" s="2370"/>
      <c r="D193" s="1915"/>
      <c r="E193" s="1916"/>
      <c r="F193" s="1007"/>
      <c r="G193" s="1762"/>
      <c r="H193" s="1764"/>
      <c r="I193" s="1806"/>
      <c r="J193" s="1807"/>
      <c r="K193" s="1807"/>
      <c r="L193" s="1807"/>
      <c r="M193" s="1807"/>
      <c r="N193" s="1807"/>
      <c r="O193" s="1808"/>
      <c r="P193" s="2375"/>
      <c r="Q193" s="2376"/>
      <c r="R193" s="2376"/>
      <c r="S193" s="2376"/>
      <c r="T193" s="2376"/>
      <c r="U193" s="2376"/>
      <c r="V193" s="2377"/>
      <c r="W193" s="2264"/>
      <c r="X193" s="2265"/>
      <c r="Y193" s="2265"/>
      <c r="Z193" s="2266"/>
      <c r="AA193" s="1777"/>
      <c r="AB193" s="1778"/>
      <c r="AC193" s="1778"/>
      <c r="AD193" s="1778"/>
      <c r="AE193" s="1779"/>
      <c r="AF193" s="1646"/>
      <c r="AG193" s="1647"/>
      <c r="AH193" s="1647"/>
      <c r="AI193" s="1648"/>
      <c r="AJ193" s="1454"/>
      <c r="AK193" s="1454"/>
      <c r="AL193" s="1788"/>
      <c r="AM193" s="1789"/>
      <c r="AN193" s="1789"/>
      <c r="AO193" s="1789"/>
      <c r="AP193" s="1789"/>
      <c r="AQ193" s="1789"/>
      <c r="AR193" s="1789"/>
      <c r="AS193" s="1789"/>
      <c r="AT193" s="1789"/>
      <c r="AU193" s="1789"/>
      <c r="AV193" s="1789"/>
      <c r="AW193" s="1789"/>
      <c r="AX193" s="1790"/>
      <c r="AY193" s="1489"/>
      <c r="AZ193" s="2576"/>
      <c r="BA193" s="2577"/>
    </row>
    <row r="194" spans="1:53" ht="18" customHeight="1">
      <c r="A194" s="474" t="str">
        <f ca="1">TRIM(IF(RDV.5.DATE=A,CONCATENATE(TABLEAU!$B$49," &amp; ",TABLEAU!$B$50," &amp; ",TABLEAU!$B$51," &amp; ",TABLEAU!$B$52," &amp; ",TABLEAU!$B$53),IF(RDV.4.DATE=A,CONCATENATE(TABLEAU!$B$49," &amp; ",TABLEAU!$B$50," &amp; ",TABLEAU!$B$51," &amp; ",TABLEAU!$B$52),IF(RDV.3.DATE=A,CONCATENATE(TABLEAU!$B$49," &amp; ",TABLEAU!$B$50," &amp; ",TABLEAU!$B$51),IF(RDV.2.DATE=A,CONCATENATE(TABLEAU!$B$49," &amp; ",TABLEAU!$B$50),IF(RDV.1.DATE=A,TABLEAU!$B$49,""))))))</f>
        <v/>
      </c>
      <c r="B194" s="2233"/>
      <c r="C194" s="2370"/>
      <c r="D194" s="1915"/>
      <c r="E194" s="1916"/>
      <c r="F194" s="1007"/>
      <c r="G194" s="1762"/>
      <c r="H194" s="1764"/>
      <c r="I194" s="1806"/>
      <c r="J194" s="1807"/>
      <c r="K194" s="1807"/>
      <c r="L194" s="1807"/>
      <c r="M194" s="1807"/>
      <c r="N194" s="1807"/>
      <c r="O194" s="1808"/>
      <c r="P194" s="2375"/>
      <c r="Q194" s="2376"/>
      <c r="R194" s="2376"/>
      <c r="S194" s="2376"/>
      <c r="T194" s="2376"/>
      <c r="U194" s="2376"/>
      <c r="V194" s="2377"/>
      <c r="W194" s="2264"/>
      <c r="X194" s="2265"/>
      <c r="Y194" s="2265"/>
      <c r="Z194" s="2266"/>
      <c r="AA194" s="1777"/>
      <c r="AB194" s="1778"/>
      <c r="AC194" s="1778"/>
      <c r="AD194" s="1778"/>
      <c r="AE194" s="1779"/>
      <c r="AF194" s="1646"/>
      <c r="AG194" s="1647"/>
      <c r="AH194" s="1647"/>
      <c r="AI194" s="1648"/>
      <c r="AJ194" s="1454"/>
      <c r="AK194" s="1454"/>
      <c r="AL194" s="1788"/>
      <c r="AM194" s="1789"/>
      <c r="AN194" s="1789"/>
      <c r="AO194" s="1789"/>
      <c r="AP194" s="1789"/>
      <c r="AQ194" s="1789"/>
      <c r="AR194" s="1789"/>
      <c r="AS194" s="1789"/>
      <c r="AT194" s="1789"/>
      <c r="AU194" s="1789"/>
      <c r="AV194" s="1789"/>
      <c r="AW194" s="1789"/>
      <c r="AX194" s="1790"/>
      <c r="AY194" s="1489"/>
      <c r="AZ194" s="2576"/>
      <c r="BA194" s="2577"/>
    </row>
    <row r="195" spans="1:53" ht="18" customHeight="1">
      <c r="A195" s="471" t="str">
        <f ca="1">UPPER(SUBSTITUTE(SUBSTITUTE(SUBSTITUTE(SUBSTITUTE(IF(ATTEINDRE.PHRASE&lt;&gt;"OK",ATTEINDRE.PHRASE,SUBSTITUTE(SUBSTITUTE(SUBSTITUTE(SUBSTITUTE(SUBSTITUTE(TABLEAU!$Y$1,"#DEPUIS","#DEPASSE DEPUIS"),"]#DANS","]# #DANS"),"]#[ &amp; ","]# #"),"# #DANS","# &amp; #DANS"),"&lt; &gt;"," &amp; ")),"=#","= "),"~#","~ #"),"1ER ERREUR","1 ERREUR"),"0HIER","HIER"))</f>
        <v>~SAMEDI 2 NOVEMBRE 2019 [13:00:00]~                           #DANS 3J= ''67H00'' ~ (5 NOV (A 8H00): [COUPE OEUF]# &amp; #DANS 7H45 (A 20H45): [CHAMPIONNAT]# &amp; #DANS 7H40 (A 20H40 SUR AB1): [SMACKDOWN]#</v>
      </c>
      <c r="B195" s="2233"/>
      <c r="C195" s="2370"/>
      <c r="D195" s="1915"/>
      <c r="E195" s="1916"/>
      <c r="F195" s="1007"/>
      <c r="G195" s="1762"/>
      <c r="H195" s="1764"/>
      <c r="I195" s="1806"/>
      <c r="J195" s="1807"/>
      <c r="K195" s="1807"/>
      <c r="L195" s="1807"/>
      <c r="M195" s="1807"/>
      <c r="N195" s="1807"/>
      <c r="O195" s="1808"/>
      <c r="P195" s="2375"/>
      <c r="Q195" s="2376"/>
      <c r="R195" s="2376"/>
      <c r="S195" s="2376"/>
      <c r="T195" s="2376"/>
      <c r="U195" s="2376"/>
      <c r="V195" s="2377"/>
      <c r="W195" s="2264"/>
      <c r="X195" s="2265"/>
      <c r="Y195" s="2265"/>
      <c r="Z195" s="2266"/>
      <c r="AA195" s="1777"/>
      <c r="AB195" s="1778"/>
      <c r="AC195" s="1778"/>
      <c r="AD195" s="1778"/>
      <c r="AE195" s="1779"/>
      <c r="AF195" s="1646"/>
      <c r="AG195" s="1647"/>
      <c r="AH195" s="1647"/>
      <c r="AI195" s="1648"/>
      <c r="AJ195" s="1454"/>
      <c r="AK195" s="1454"/>
      <c r="AL195" s="1788"/>
      <c r="AM195" s="1789"/>
      <c r="AN195" s="1789"/>
      <c r="AO195" s="1789"/>
      <c r="AP195" s="1789"/>
      <c r="AQ195" s="1789"/>
      <c r="AR195" s="1789"/>
      <c r="AS195" s="1789"/>
      <c r="AT195" s="1789"/>
      <c r="AU195" s="1789"/>
      <c r="AV195" s="1789"/>
      <c r="AW195" s="1789"/>
      <c r="AX195" s="1790"/>
      <c r="AY195" s="1489"/>
      <c r="AZ195" s="2576"/>
      <c r="BA195" s="2577"/>
    </row>
    <row r="196" spans="1:53" ht="18" customHeight="1" thickBot="1">
      <c r="A196" s="476" t="str">
        <f ca="1">UPPER(SUBSTITUTE(SUBSTITUTE(SUBSTITUTE(SUBSTITUTE(SUBSTITUTE(SUBSTITUTE(TABLEAU!$AA$143,JH,"DATE.HEURE"),DANS.GP,"DANS.F1"),DEP.GP,"DEP.GP"),"] &amp; DEPASSE","]# &amp; #DEPASSE"),"MODIFIER#                #MODIFIER","MODIFIER="),")# D",")# &amp; #D"))</f>
        <v/>
      </c>
      <c r="B196" s="2234"/>
      <c r="C196" s="2371"/>
      <c r="D196" s="1917"/>
      <c r="E196" s="1918"/>
      <c r="F196" s="1008"/>
      <c r="G196" s="1690"/>
      <c r="H196" s="1692"/>
      <c r="I196" s="1809"/>
      <c r="J196" s="1810"/>
      <c r="K196" s="1810"/>
      <c r="L196" s="1810"/>
      <c r="M196" s="1810"/>
      <c r="N196" s="1810"/>
      <c r="O196" s="1811"/>
      <c r="P196" s="2378"/>
      <c r="Q196" s="2379"/>
      <c r="R196" s="2379"/>
      <c r="S196" s="2379"/>
      <c r="T196" s="2379"/>
      <c r="U196" s="2379"/>
      <c r="V196" s="2380"/>
      <c r="W196" s="2267"/>
      <c r="X196" s="2268"/>
      <c r="Y196" s="2268"/>
      <c r="Z196" s="2269"/>
      <c r="AA196" s="1780"/>
      <c r="AB196" s="1781"/>
      <c r="AC196" s="1781"/>
      <c r="AD196" s="1781"/>
      <c r="AE196" s="1782"/>
      <c r="AF196" s="1649"/>
      <c r="AG196" s="1650"/>
      <c r="AH196" s="1650"/>
      <c r="AI196" s="1651"/>
      <c r="AJ196" s="1455"/>
      <c r="AK196" s="1455"/>
      <c r="AL196" s="1791"/>
      <c r="AM196" s="1792"/>
      <c r="AN196" s="1792"/>
      <c r="AO196" s="1792"/>
      <c r="AP196" s="1792"/>
      <c r="AQ196" s="1792"/>
      <c r="AR196" s="1792"/>
      <c r="AS196" s="1792"/>
      <c r="AT196" s="1792"/>
      <c r="AU196" s="1792"/>
      <c r="AV196" s="1792"/>
      <c r="AW196" s="1792"/>
      <c r="AX196" s="1793"/>
      <c r="AY196" s="1493"/>
      <c r="AZ196" s="2570"/>
      <c r="BA196" s="2571"/>
    </row>
    <row r="197" spans="1:53" ht="62.1" customHeight="1" thickTop="1" thickBot="1">
      <c r="A197" s="70">
        <f ca="1">COUNTIF(TABLEAU!$A$55:'TABLEAU'!$A$82,"#DEPASSE#")</f>
        <v>0</v>
      </c>
      <c r="B197" s="1922" t="str">
        <f ca="1">UPPER(TRIM(SUBSTITUTE(TABLEAU!$O$2,"~  &amp;","~")))</f>
        <v>~SAMEDI 2 NOVEMBRE 2019 [13:00:00]~ #DANS 3J= ''67H00'' ~ (5 NOV A 8H00): [COUPE OEUF]# &amp; #DANS 7H45 (A 20H45): [CHAMPIONNAT]# &amp; #DANS 7H40 (A 20H40 SUR AB1): [SMACKDOWN]#</v>
      </c>
      <c r="C197" s="1923"/>
      <c r="D197" s="1923"/>
      <c r="E197" s="1923"/>
      <c r="F197" s="1523"/>
      <c r="G197" s="1989"/>
      <c r="H197" s="1872"/>
      <c r="I197" s="1840" t="str">
        <f ca="1">IF(DATE.DEPASSE&gt;0,TABLEAU!$B$33,PROGRAMMES.DEPASSE.2)</f>
        <v/>
      </c>
      <c r="J197" s="1841"/>
      <c r="K197" s="1841"/>
      <c r="L197" s="1841"/>
      <c r="M197" s="1841"/>
      <c r="N197" s="1841"/>
      <c r="O197" s="1842"/>
      <c r="P197" s="1944" t="str">
        <f ca="1">IF(TRIM(TABLEAU!$A$211)=SUBSTITUTE(TRIM(TABLEAU!$K$55),"#",""),TABLEAU!$K$55,IF(TRIM(TABLEAU!$A$211)=SUBSTITUTE(TRIM(TABLEAU!$K$59),"#",""),TABLEAU!$K$59,IF(TRIM(TABLEAU!$A$211)=SUBSTITUTE(TRIM(TABLEAU!$K$63),"#",""),TABLEAU!$K$63,IF(TRIM(TABLEAU!$A$211)=SUBSTITUTE(TRIM(TABLEAU!$K$67),"#",""),TABLEAU!$K$67,IF(TRIM(TABLEAU!$A$211)=SUBSTITUTE(TRIM(TABLEAU!$K$71),"#",""),TABLEAU!$K$71,IF(TRIM(TABLEAU!$A$211)=SUBSTITUTE(TRIM(TABLEAU!$K$75),"#",""),TABLEAU!$K$75,IF(TRIM(TABLEAU!$A$211)=SUBSTITUTE(TRIM(TABLEAU!$K$79),"#",""),TABLEAU!$K$79,"")))))))</f>
        <v/>
      </c>
      <c r="Q197" s="1945"/>
      <c r="R197" s="1945"/>
      <c r="S197" s="1945"/>
      <c r="T197" s="1945"/>
      <c r="U197" s="1945"/>
      <c r="V197" s="1946"/>
      <c r="W197" s="1953" t="s">
        <v>171</v>
      </c>
      <c r="X197" s="1954"/>
      <c r="Y197" s="1954"/>
      <c r="Z197" s="1955"/>
      <c r="AA197" s="1971"/>
      <c r="AB197" s="1972"/>
      <c r="AC197" s="1972"/>
      <c r="AD197" s="1972"/>
      <c r="AE197" s="1973"/>
      <c r="AF197" s="1774" t="str">
        <f ca="1">IF(DATE.DEPASSE&gt;0,"",TRIM(SUBSTITUTE(SUBSTITUTE(SUBSTITUTE(IF(DATE.RDV.TV=TABLEAU!$K$3,CONCATENATE(TABLEAU!$AC$58," #ALLEZ L'OM#"),IF(DATE.RDV.TV="MARDI",CONCATENATE(TABLEAU!$AC$62," #ALLEZ L'OM#"),IF(DATE.RDV.TV="MERCREDI",CONCATENATE(TABLEAU!$AC$66," #ALLEZ L'OM#"),IF(DATE.RDV.TV="JEUDI",CONCATENATE(TABLEAU!$AC$70," #ALLEZ L'OM#"),IF(DATE.RDV.TV="VENDREDI",CONCATENATE(TABLEAU!$AC$74," #ALLEZ L'OM#"),IF(DATE.RDV.TV="SAMEDI",CONCATENATE(TABLEAU!$AC$78," #ALLEZ L'OM#"),IF(DATE.RDV.TV="DIMANCHE",CONCATENATE(TABLEAU!$AC$82," #ALLEZ L'OM#"))))))))," &amp;  #ALLEZ L'OM#",""),"#ALLEZ L'OM#",""),CONCATENATE(DATE.RDV.TV," A "),"A ")))</f>
        <v/>
      </c>
      <c r="AG197" s="1775"/>
      <c r="AH197" s="1775"/>
      <c r="AI197" s="1776"/>
      <c r="AJ197" s="1453"/>
      <c r="AK197" s="1453"/>
      <c r="AL197" s="1643"/>
      <c r="AM197" s="1644"/>
      <c r="AN197" s="1644"/>
      <c r="AO197" s="1644"/>
      <c r="AP197" s="1644"/>
      <c r="AQ197" s="1644"/>
      <c r="AR197" s="1644"/>
      <c r="AS197" s="1644"/>
      <c r="AT197" s="1644"/>
      <c r="AU197" s="1644"/>
      <c r="AV197" s="1644"/>
      <c r="AW197" s="1644"/>
      <c r="AX197" s="1645"/>
      <c r="AY197" s="1489"/>
      <c r="AZ197" s="1687"/>
      <c r="BA197" s="1689"/>
    </row>
    <row r="198" spans="1:53" ht="50.1" customHeight="1" thickTop="1">
      <c r="A198" s="474" t="str">
        <f ca="1">SUBSTITUTE(SUBSTITUTE(IF([2]!MANQUE&lt;&gt;"",TABLEAU!$A$209,SUBSTITUTE(TABLEAU!$A$209,TABLEAU!$A$210,"")),"AAA",DANS.GP),CONCATENATE("= [1ER ",[2]!LEADER," (",'[2]PILOTES &amp; ECURIES'!$AG$4," PTS) {+",'[2]PILOTES &amp; ECURIES'!$AG$4-[2]!DEUXIEME.POINTS,"} ",'[2]PILOTES &amp; ECURIES'!$AA$5," (",[2]!DEUXIEME.POINTS," PTS)]#"),"]")</f>
        <v>#DEMAIN= ''28H00'' ~ (DIMANCHE 3 NOVEMBRE A 17H00): [GP DES USA 2019]</v>
      </c>
      <c r="B198" s="115" t="str">
        <f ca="1">IF(COUNTIF(TABLEAU!$A$1:'TABLEAU'!$AN$197,"#VALEUR!")=0,"",CONCATENATE(COUNTIF(TABLEAU!$A$1:'TABLEAU'!$AN$197,"#VALEUR!")," VALEUR"))</f>
        <v/>
      </c>
      <c r="C198" s="116" t="str">
        <f ca="1">IF(COUNTIF(ATTEINDRE!$A$1:'ATTEINDRE'!$C$27,"#VALEUR!")=0,"",CONCATENATE(COUNTIF(ATTEINDRE!$A$1:'ATTEINDRE'!$C$27,"#VALEUR!")," VALEUR"))</f>
        <v/>
      </c>
      <c r="D198" s="117" t="str">
        <f ca="1">IF(COUNTIF(SUITE!$A$1:'SUITE'!$C$20,"#VALEUR!")=0,"",CONCATENATE(COUNTIF(SUITE!$A$1:'SUITE'!$C$20,"#VALEUR!")," VALEUR"))</f>
        <v/>
      </c>
      <c r="E198" s="1924" t="str">
        <f ca="1">UPPER(TRIM(SUBSTITUTE(CONCATENATE(TABLEAU!$B$202," ",TABLEAU!$C$202," ",TABLEAU!$D$202)," + + ","")))</f>
        <v/>
      </c>
      <c r="F198" s="1524"/>
      <c r="G198" s="1936"/>
      <c r="H198" s="1743"/>
      <c r="I198" s="1843"/>
      <c r="J198" s="1990"/>
      <c r="K198" s="1990"/>
      <c r="L198" s="1990"/>
      <c r="M198" s="1990"/>
      <c r="N198" s="1990"/>
      <c r="O198" s="1845"/>
      <c r="P198" s="1947"/>
      <c r="Q198" s="1948"/>
      <c r="R198" s="1948"/>
      <c r="S198" s="1948"/>
      <c r="T198" s="1948"/>
      <c r="U198" s="1948"/>
      <c r="V198" s="1949"/>
      <c r="W198" s="1956"/>
      <c r="X198" s="1957"/>
      <c r="Y198" s="1957"/>
      <c r="Z198" s="1958"/>
      <c r="AA198" s="1974"/>
      <c r="AB198" s="1975"/>
      <c r="AC198" s="1975"/>
      <c r="AD198" s="1975"/>
      <c r="AE198" s="1976"/>
      <c r="AF198" s="1777"/>
      <c r="AG198" s="1778"/>
      <c r="AH198" s="1778"/>
      <c r="AI198" s="1779"/>
      <c r="AJ198" s="1454"/>
      <c r="AK198" s="1454"/>
      <c r="AL198" s="1646"/>
      <c r="AM198" s="1647"/>
      <c r="AN198" s="1647"/>
      <c r="AO198" s="1647"/>
      <c r="AP198" s="1647"/>
      <c r="AQ198" s="1647"/>
      <c r="AR198" s="1647"/>
      <c r="AS198" s="1647"/>
      <c r="AT198" s="1647"/>
      <c r="AU198" s="1647"/>
      <c r="AV198" s="1647"/>
      <c r="AW198" s="1647"/>
      <c r="AX198" s="1648"/>
      <c r="AY198" s="1489"/>
      <c r="AZ198" s="1762"/>
      <c r="BA198" s="1764"/>
    </row>
    <row r="199" spans="1:53" ht="50.1" customHeight="1">
      <c r="A199" s="614" t="str">
        <f ca="1">IF(NBR.DEP=0,"",CONCATENATE(NBR.DEP," PROG DEPASSE"))</f>
        <v/>
      </c>
      <c r="B199" s="257" t="str">
        <f ca="1">IF(COUNTIF(TABLEAU!$A$1:'TABLEAU'!$AN$98,"#NOM?")=0,"",CONCATENATE(COUNTIF(TABLEAU!$A$1:'TABLEAU'!$AN$197,"#NOM?")," NOM"))</f>
        <v/>
      </c>
      <c r="C199" s="258" t="str">
        <f ca="1">IF(COUNTIF(ATTEINDRE!$A$1:'ATTEINDRE'!$C$27,"#NOM?")=0,"",CONCATENATE(COUNTIF(ATTEINDRE!$A$1:'ATTEINDRE'!$C$27,"#NOM?")," NOM"))</f>
        <v/>
      </c>
      <c r="D199" s="259" t="str">
        <f ca="1">IF(COUNTIF(SUITE!$A$1:'SUITE'!$C$20,"#NOM?")=0,"",CONCATENATE(COUNTIF(SUITE!$A$1:'SUITE'!$C$20,"#NOM?")," NOM"))</f>
        <v/>
      </c>
      <c r="E199" s="1925"/>
      <c r="F199" s="1524"/>
      <c r="G199" s="1936"/>
      <c r="H199" s="1743"/>
      <c r="I199" s="1843"/>
      <c r="J199" s="1990"/>
      <c r="K199" s="1990"/>
      <c r="L199" s="1990"/>
      <c r="M199" s="1990"/>
      <c r="N199" s="1990"/>
      <c r="O199" s="1845"/>
      <c r="P199" s="1947"/>
      <c r="Q199" s="1948"/>
      <c r="R199" s="1948"/>
      <c r="S199" s="1948"/>
      <c r="T199" s="1948"/>
      <c r="U199" s="1948"/>
      <c r="V199" s="1949"/>
      <c r="W199" s="1956"/>
      <c r="X199" s="1957"/>
      <c r="Y199" s="1957"/>
      <c r="Z199" s="1958"/>
      <c r="AA199" s="1974"/>
      <c r="AB199" s="1975"/>
      <c r="AC199" s="1975"/>
      <c r="AD199" s="1975"/>
      <c r="AE199" s="1976"/>
      <c r="AF199" s="1777"/>
      <c r="AG199" s="1778"/>
      <c r="AH199" s="1778"/>
      <c r="AI199" s="1779"/>
      <c r="AJ199" s="1454"/>
      <c r="AK199" s="1454"/>
      <c r="AL199" s="1646"/>
      <c r="AM199" s="1647"/>
      <c r="AN199" s="1647"/>
      <c r="AO199" s="1647"/>
      <c r="AP199" s="1647"/>
      <c r="AQ199" s="1647"/>
      <c r="AR199" s="1647"/>
      <c r="AS199" s="1647"/>
      <c r="AT199" s="1647"/>
      <c r="AU199" s="1647"/>
      <c r="AV199" s="1647"/>
      <c r="AW199" s="1647"/>
      <c r="AX199" s="1648"/>
      <c r="AY199" s="1489"/>
      <c r="AZ199" s="1762"/>
      <c r="BA199" s="1764"/>
    </row>
    <row r="200" spans="1:53" ht="50.1" customHeight="1">
      <c r="A200" s="474" t="str">
        <f ca="1">SUBSTITUTE(SUBSTITUTE(SUBSTITUTE(SUBSTITUTE(SUBSTITUTE(SUBSTITUTE(SUBSTITUTE(SUBSTITUTE(SUBSTITUTE([2]COURSES!$AH$12,"#(",CONCATENATE("#",DANS.GP," (")),DANS.GP,"DANS.GP")," ]","]"),": DE [",": ["),": []#",""),"#GP",CONCATENATE("#",DANS.GP," ",[2]DATES!$F$11," [GP")),"]]","]"),"] #","]#"),"[= ","[")</f>
        <v>#DANS 5 JOURS= ''121H58'' ~ (DIMANCHE 3 NOVEMBRE A 17H00): [GP DES USA 2019= 1ER HAMILTON (361 PTS) {+71} BOTTAS (290 PTS)]#</v>
      </c>
      <c r="B200" s="118" t="str">
        <f ca="1">IF(COUNTIF(TABLEAU!$A$1:'TABLEAU'!$AN$197,"#DIV/0!")=0,"",CONCATENATE(COUNTIF(TABLEAU!$A$1:'TABLEAU'!$AN$197,"#DIV/0!")," DIV/0"))</f>
        <v/>
      </c>
      <c r="C200" s="119" t="str">
        <f ca="1">IF(COUNTIF(ATTEINDRE!$A$1:'ATTEINDRE'!$C$27,"#DIV/0!")=0,"",CONCATENATE(COUNTIF(ATTEINDRE!$A$1:'ATTEINDRE'!$C$27,"#DIV/0!")," DIV/0"))</f>
        <v/>
      </c>
      <c r="D200" s="120" t="str">
        <f ca="1">IF(COUNTIF(SUITE!$A$1:'SUITE'!$C$20,"#DIV/0!")=0,"",CONCATENATE(COUNTIF(SUITE!$A$1:'SUITE'!$C$20,"#DIV/0!")," DIV/0"))</f>
        <v/>
      </c>
      <c r="E200" s="1925"/>
      <c r="F200" s="1524"/>
      <c r="G200" s="1936"/>
      <c r="H200" s="1743"/>
      <c r="I200" s="1843"/>
      <c r="J200" s="1990"/>
      <c r="K200" s="1990"/>
      <c r="L200" s="1990"/>
      <c r="M200" s="1990"/>
      <c r="N200" s="1990"/>
      <c r="O200" s="1845"/>
      <c r="P200" s="1947"/>
      <c r="Q200" s="1948"/>
      <c r="R200" s="1948"/>
      <c r="S200" s="1948"/>
      <c r="T200" s="1948"/>
      <c r="U200" s="1948"/>
      <c r="V200" s="1949"/>
      <c r="W200" s="1956"/>
      <c r="X200" s="1957"/>
      <c r="Y200" s="1957"/>
      <c r="Z200" s="1958"/>
      <c r="AA200" s="1974"/>
      <c r="AB200" s="1975"/>
      <c r="AC200" s="1975"/>
      <c r="AD200" s="1975"/>
      <c r="AE200" s="1976"/>
      <c r="AF200" s="1777"/>
      <c r="AG200" s="1778"/>
      <c r="AH200" s="1778"/>
      <c r="AI200" s="1779"/>
      <c r="AJ200" s="1454"/>
      <c r="AK200" s="1454"/>
      <c r="AL200" s="1646"/>
      <c r="AM200" s="1647"/>
      <c r="AN200" s="1647"/>
      <c r="AO200" s="1647"/>
      <c r="AP200" s="1647"/>
      <c r="AQ200" s="1647"/>
      <c r="AR200" s="1647"/>
      <c r="AS200" s="1647"/>
      <c r="AT200" s="1647"/>
      <c r="AU200" s="1647"/>
      <c r="AV200" s="1647"/>
      <c r="AW200" s="1647"/>
      <c r="AX200" s="1648"/>
      <c r="AY200" s="1489"/>
      <c r="AZ200" s="1762"/>
      <c r="BA200" s="1764"/>
    </row>
    <row r="201" spans="1:53" ht="50.1" customHeight="1" thickBot="1">
      <c r="A201" s="614" t="str">
        <f ca="1">IF(TABLEAU!$A$202="FAUX","",TABLEAU!$A$202)</f>
        <v/>
      </c>
      <c r="B201" s="260" t="str">
        <f ca="1">IF(COUNTIF(TABLEAU!$A$1:'TABLEAU'!$AN$197,"#REF!")=0,"",CONCATENATE(COUNTIF(TABLEAU!$A$1:'TABLEAU'!$AN$197,"#REF!")," REF"))</f>
        <v/>
      </c>
      <c r="C201" s="261" t="str">
        <f ca="1">IF(COUNTIF(ATTEINDRE!$A$1:'ATTEINDRE'!$C$27,"#REF!")=0,"",CONCATENATE(COUNTIF(ATTEINDRE!$A$1:'ATTEINDRE'!$C$27,"#REF!")," REF"))</f>
        <v/>
      </c>
      <c r="D201" s="262" t="str">
        <f ca="1">IF(COUNTIF(SUITE!$A$1:'SUITE'!$C$20,"#REF!")=0,"",CONCATENATE(COUNTIF(SUITE!$A$1:'SUITE'!$C$20,"#REF!")," REF"))</f>
        <v/>
      </c>
      <c r="E201" s="1925"/>
      <c r="F201" s="1524"/>
      <c r="G201" s="1936"/>
      <c r="H201" s="1743"/>
      <c r="I201" s="1843"/>
      <c r="J201" s="1990"/>
      <c r="K201" s="1990"/>
      <c r="L201" s="1990"/>
      <c r="M201" s="1990"/>
      <c r="N201" s="1990"/>
      <c r="O201" s="1845"/>
      <c r="P201" s="1947"/>
      <c r="Q201" s="1948"/>
      <c r="R201" s="1948"/>
      <c r="S201" s="1948"/>
      <c r="T201" s="1948"/>
      <c r="U201" s="1948"/>
      <c r="V201" s="1949"/>
      <c r="W201" s="1956"/>
      <c r="X201" s="1957"/>
      <c r="Y201" s="1957"/>
      <c r="Z201" s="1958"/>
      <c r="AA201" s="1974"/>
      <c r="AB201" s="1975"/>
      <c r="AC201" s="1975"/>
      <c r="AD201" s="1975"/>
      <c r="AE201" s="1976"/>
      <c r="AF201" s="1777"/>
      <c r="AG201" s="1778"/>
      <c r="AH201" s="1778"/>
      <c r="AI201" s="1779"/>
      <c r="AJ201" s="1454"/>
      <c r="AK201" s="1454"/>
      <c r="AL201" s="1646"/>
      <c r="AM201" s="1647"/>
      <c r="AN201" s="1647"/>
      <c r="AO201" s="1647"/>
      <c r="AP201" s="1647"/>
      <c r="AQ201" s="1647"/>
      <c r="AR201" s="1647"/>
      <c r="AS201" s="1647"/>
      <c r="AT201" s="1647"/>
      <c r="AU201" s="1647"/>
      <c r="AV201" s="1647"/>
      <c r="AW201" s="1647"/>
      <c r="AX201" s="1648"/>
      <c r="AY201" s="1489"/>
      <c r="AZ201" s="1762"/>
      <c r="BA201" s="1764"/>
    </row>
    <row r="202" spans="1:53" ht="50.1" customHeight="1" thickBot="1">
      <c r="A202" s="614" t="str">
        <f ca="1">UPPER(SUBSTITUTE(IF(DATE.RDV.TV&lt;&gt;"DIMANCHE","",IF(AND(DIMANCHE.DATE+1=RDV.1.DATE,TYPE.1="PPW DE CATCH"),TABLEAU!$B$49,IF(AND(DIMANCHE.DATE+1=RDV.2.DATE,TYPE.2="PPW DE CATCH"),TABLEAU!$B$50,IF(AND(DIMANCHE.DATE+1=RDV.3.DATE,TYPE.3="PPW DE CATCH"),TABLEAU!$B$51,IF(AND(DIMANCHE.DATE+1=RDV.4.DATE,TYPE.4="PPW DE CATCH"),TABLEAU!$B$53))))),CONCATENATE("DEMAIN (LUNDI ",DAY(B)," ",LOOKUP(MONTH(B),MOIS)," ",YEAR(A)," "),"CETTE NUIT ("))</f>
        <v/>
      </c>
      <c r="B202" s="1535" t="str">
        <f ca="1">TRIM(SUBSTITUTE(SUBSTITUTE(SUBSTITUTE(SUBSTITUTE(SUBSTITUTE(IF(4-COUNTBLANK(TABLEAU!$B$198:'TABLEAU'!$B$201)=0,"",CONCATENATE("[",TABLEAU!$B$198," + ",TABLEAU!$B$199," + ",TABLEAU!$B$200," + ",TABLEAU!$B$201,"= CHARGEMENT.XLS!TABLEAU]"))," + =CHARGEMENT.XLS!TABLEAU"," CHARGEMENT.XLS!TABLEAU"),"[ +","[")," +  + ","")," + =","="),"[ ","["))</f>
        <v/>
      </c>
      <c r="C202" s="1536" t="str">
        <f ca="1">TRIM(SUBSTITUTE(SUBSTITUTE(SUBSTITUTE(SUBSTITUTE(SUBSTITUTE(IF(4-COUNTBLANK(TABLEAU!$C$198:'TABLEAU'!$C$201)=0,"",CONCATENATE("[",TABLEAU!$C$198," + ",TABLEAU!$C$199," + ",TABLEAU!$C$200," + ",TABLEAU!$C$201,"= CHARGEMENT.XLS!ATTEINDRE]"))," + =CHARGEMENT.XLS!ATTEINDRE"," DANSCHARGEMENT.XLS!ATTEINDRE"),"[ +","[")," +  + ","")," + =","="),"[ ","["))</f>
        <v/>
      </c>
      <c r="D202" s="1537" t="str">
        <f ca="1">TRIM(SUBSTITUTE(SUBSTITUTE(SUBSTITUTE(SUBSTITUTE(SUBSTITUTE(IF(4-COUNTBLANK(TABLEAU!$D$198:'TABLEAU'!$D$201)=0,"",CONCATENATE("[",TABLEAU!$D$198," + ",TABLEAU!$D$199," + ",TABLEAU!$D$200," + ",TABLEAU!$D$201,"= CHARGEMENT.XLS!SUITE]"))," + =CHARGEMENT.XLS!SUITE"," CHARGEMENT.XLS!SUITE"),"[ +","[")," +  + ","")," + =","="),"[ ","["))</f>
        <v/>
      </c>
      <c r="E202" s="1926"/>
      <c r="F202" s="1524"/>
      <c r="G202" s="1936"/>
      <c r="H202" s="1743"/>
      <c r="I202" s="1843"/>
      <c r="J202" s="1990"/>
      <c r="K202" s="1990"/>
      <c r="L202" s="1990"/>
      <c r="M202" s="1990"/>
      <c r="N202" s="1990"/>
      <c r="O202" s="1845"/>
      <c r="P202" s="1947"/>
      <c r="Q202" s="1948"/>
      <c r="R202" s="1948"/>
      <c r="S202" s="1948"/>
      <c r="T202" s="1948"/>
      <c r="U202" s="1948"/>
      <c r="V202" s="1949"/>
      <c r="W202" s="1956"/>
      <c r="X202" s="1957"/>
      <c r="Y202" s="1957"/>
      <c r="Z202" s="1958"/>
      <c r="AA202" s="1974"/>
      <c r="AB202" s="1975"/>
      <c r="AC202" s="1975"/>
      <c r="AD202" s="1975"/>
      <c r="AE202" s="1976"/>
      <c r="AF202" s="1777"/>
      <c r="AG202" s="1778"/>
      <c r="AH202" s="1778"/>
      <c r="AI202" s="1779"/>
      <c r="AJ202" s="1454"/>
      <c r="AK202" s="1454"/>
      <c r="AL202" s="1646"/>
      <c r="AM202" s="1647"/>
      <c r="AN202" s="1647"/>
      <c r="AO202" s="1647"/>
      <c r="AP202" s="1647"/>
      <c r="AQ202" s="1647"/>
      <c r="AR202" s="1647"/>
      <c r="AS202" s="1647"/>
      <c r="AT202" s="1647"/>
      <c r="AU202" s="1647"/>
      <c r="AV202" s="1647"/>
      <c r="AW202" s="1647"/>
      <c r="AX202" s="1648"/>
      <c r="AY202" s="1489"/>
      <c r="AZ202" s="1762"/>
      <c r="BA202" s="1764"/>
    </row>
    <row r="203" spans="1:53" ht="54" customHeight="1" thickBot="1">
      <c r="A203" s="615" t="str">
        <f ca="1">UPPER(IF(VER.99="","MACRO_MISE_A_JOUR","MACRO_ATTEINDRE_VER"))</f>
        <v>MACRO_MISE_A_JOUR</v>
      </c>
      <c r="B203" s="1896" t="str">
        <f ca="1">UPPER(TRIM(CONCATENATE([3]!VER.99," ",[1]!VER.99," ",[5]!VER.99," ",[6]!VER.99," ",[7]!VER.99," ",[2]!VER.99," ",[8]!VER.99," ",[9]!VER.99," ",[10]!VER.99," ",IF([4]!DATE&gt;0,"",[4]TABLEAU!$CG$6))))</f>
        <v/>
      </c>
      <c r="C203" s="1897"/>
      <c r="D203" s="1897"/>
      <c r="E203" s="1897"/>
      <c r="F203" s="1898"/>
      <c r="G203" s="1937"/>
      <c r="H203" s="1746"/>
      <c r="I203" s="1846"/>
      <c r="J203" s="1847"/>
      <c r="K203" s="1847"/>
      <c r="L203" s="1847"/>
      <c r="M203" s="1847"/>
      <c r="N203" s="1847"/>
      <c r="O203" s="1848"/>
      <c r="P203" s="1950"/>
      <c r="Q203" s="1951"/>
      <c r="R203" s="1951"/>
      <c r="S203" s="1951"/>
      <c r="T203" s="1951"/>
      <c r="U203" s="1951"/>
      <c r="V203" s="1952"/>
      <c r="W203" s="1959"/>
      <c r="X203" s="1960"/>
      <c r="Y203" s="1960"/>
      <c r="Z203" s="1961"/>
      <c r="AA203" s="1977"/>
      <c r="AB203" s="1978"/>
      <c r="AC203" s="1978"/>
      <c r="AD203" s="1978"/>
      <c r="AE203" s="1979"/>
      <c r="AF203" s="1780"/>
      <c r="AG203" s="1781"/>
      <c r="AH203" s="1781"/>
      <c r="AI203" s="1782"/>
      <c r="AJ203" s="1455"/>
      <c r="AK203" s="1455"/>
      <c r="AL203" s="1649"/>
      <c r="AM203" s="1650"/>
      <c r="AN203" s="1650"/>
      <c r="AO203" s="1650"/>
      <c r="AP203" s="1650"/>
      <c r="AQ203" s="1650"/>
      <c r="AR203" s="1650"/>
      <c r="AS203" s="1650"/>
      <c r="AT203" s="1650"/>
      <c r="AU203" s="1650"/>
      <c r="AV203" s="1650"/>
      <c r="AW203" s="1650"/>
      <c r="AX203" s="1651"/>
      <c r="AY203" s="1493"/>
      <c r="AZ203" s="1690"/>
      <c r="BA203" s="1692"/>
    </row>
    <row r="204" spans="1:53" ht="23.45" customHeight="1" thickTop="1">
      <c r="A204" s="866"/>
      <c r="B204" s="1899" t="str">
        <f>UPPER("PHRASES")</f>
        <v>PHRASES</v>
      </c>
      <c r="C204" s="2005" t="str">
        <f>UPPER("ANNEE")</f>
        <v>ANNEE</v>
      </c>
      <c r="D204" s="2006"/>
      <c r="E204" s="2007"/>
      <c r="F204" s="1212"/>
      <c r="G204" s="1871"/>
      <c r="H204" s="1872"/>
      <c r="I204" s="1867" t="str">
        <f ca="1">FERIE.3</f>
        <v/>
      </c>
      <c r="J204" s="1868"/>
      <c r="K204" s="1991" t="str">
        <f ca="1">UPPER(SUBSTITUTE(FERIE,Q,""))</f>
        <v/>
      </c>
      <c r="L204" s="1992"/>
      <c r="M204" s="1992"/>
      <c r="N204" s="1992"/>
      <c r="O204" s="1993"/>
      <c r="P204" s="1980" t="str">
        <f ca="1">UPPER(IF(FERIE.3&lt;&gt;"",CONCATENATE("#",FERIE.3,"#"),FERIE.3))</f>
        <v/>
      </c>
      <c r="Q204" s="1981"/>
      <c r="R204" s="1981"/>
      <c r="S204" s="1981"/>
      <c r="T204" s="1981"/>
      <c r="U204" s="1981"/>
      <c r="V204" s="1982"/>
      <c r="W204" s="1803" t="str">
        <f ca="1">UPPER(TRIM(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SUBSTITUTE(TABLEAU!$A$6,"= &amp; ","= "),"] DANS","] &amp; DANS"),"DEPASSE= DEPASSE","DEPASSE"),"DEPASSEDEPASSE","DEPASSE")," VA (A"," VA A")," &amp; &gt;{1 PROG}=&lt;",""),"GP DE [","GP DE "),"&gt;","#"),"&lt;","#"),"(A ",CONCATENATE("(",DATE.RDV.TV," A ")),"   ","                "),"LIGUE#DANS","LIGUE# &amp; #DANS"),"1ER ERREUR","1 ERREUR"),"DEPASSE #DEPUIS","DEPASSE DEPUIS"),"#DEPUIS","#DEPASSE DEPUIS"),TABLEAU!$V$33,""),"# &amp; ","#"),"# #","# &amp; #"),"##","# &amp; #"),"# &amp; ","#"),"# #","# &amp; #"),"##","# &amp; #"),"]# &amp; #{","] {")," &amp; DANS","# &amp; #DANS"),"] {","] &amp; #{"),CONCATENATE(PHRASE.SUITE," &amp; ",PHRASE.SUITE),PHRASE.SUITE),"JOURS1","JOURS &amp; 1"),"JOURS2","JOURS &amp; 2")," AN"," AN &amp; "),"MOIS","MOIS &amp; ")," &amp;  &amp;  &amp;  "," &amp; ")," &amp;  &amp; "," &amp; "),"##","# &amp; #"),CONCATENATE("DEMAIN (",LOOKUP(WEEKDAY(B),SEMAINE)," (",LOOKUP(WEEKDAY(A),SEMAINE)),CONCATENATE("DEMAIN (",LOOKUP(WEEKDAY(B),SEMAINE)))))</f>
        <v/>
      </c>
      <c r="X204" s="1804"/>
      <c r="Y204" s="1804"/>
      <c r="Z204" s="1805"/>
      <c r="AA204" s="1774"/>
      <c r="AB204" s="1775"/>
      <c r="AC204" s="1775"/>
      <c r="AD204" s="1775"/>
      <c r="AE204" s="1776"/>
      <c r="AF204" s="1643"/>
      <c r="AG204" s="1644"/>
      <c r="AH204" s="1644"/>
      <c r="AI204" s="1645"/>
      <c r="AJ204" s="1456"/>
      <c r="AK204" s="1456"/>
      <c r="AL204" s="1794"/>
      <c r="AM204" s="1795"/>
      <c r="AN204" s="1795"/>
      <c r="AO204" s="1795"/>
      <c r="AP204" s="1795"/>
      <c r="AQ204" s="1795"/>
      <c r="AR204" s="1795"/>
      <c r="AS204" s="1795"/>
      <c r="AT204" s="1795"/>
      <c r="AU204" s="1795"/>
      <c r="AV204" s="1795"/>
      <c r="AW204" s="1795"/>
      <c r="AX204" s="1796"/>
      <c r="AY204" s="1489"/>
      <c r="AZ204" s="2568"/>
      <c r="BA204" s="2569"/>
    </row>
    <row r="205" spans="1:53" ht="23.45" customHeight="1" thickBot="1">
      <c r="A205" s="474" t="str">
        <f ca="1">IF(RESULT=TABLEAU!$B$49,"",SUBSTITUTE(IF(TABLEAU!$AM$41&lt;&gt;"",TV.SUITE,TV.DEPAS)," 0"," "))</f>
        <v/>
      </c>
      <c r="B205" s="1900"/>
      <c r="C205" s="1997">
        <f ca="1">YEAR(A)</f>
        <v>2019</v>
      </c>
      <c r="D205" s="1998"/>
      <c r="E205" s="1999"/>
      <c r="F205" s="1213"/>
      <c r="G205" s="1742"/>
      <c r="H205" s="1743"/>
      <c r="I205" s="1869"/>
      <c r="J205" s="1870"/>
      <c r="K205" s="1994"/>
      <c r="L205" s="1995"/>
      <c r="M205" s="1995"/>
      <c r="N205" s="1995"/>
      <c r="O205" s="1996"/>
      <c r="P205" s="1983"/>
      <c r="Q205" s="1984"/>
      <c r="R205" s="1984"/>
      <c r="S205" s="1984"/>
      <c r="T205" s="1984"/>
      <c r="U205" s="1984"/>
      <c r="V205" s="1985"/>
      <c r="W205" s="1806"/>
      <c r="X205" s="1807"/>
      <c r="Y205" s="1807"/>
      <c r="Z205" s="1808"/>
      <c r="AA205" s="1777"/>
      <c r="AB205" s="1778"/>
      <c r="AC205" s="1778"/>
      <c r="AD205" s="1778"/>
      <c r="AE205" s="1779"/>
      <c r="AF205" s="1646"/>
      <c r="AG205" s="1647"/>
      <c r="AH205" s="1647"/>
      <c r="AI205" s="1648"/>
      <c r="AJ205" s="1457"/>
      <c r="AK205" s="1457"/>
      <c r="AL205" s="1797"/>
      <c r="AM205" s="1798"/>
      <c r="AN205" s="1798"/>
      <c r="AO205" s="1798"/>
      <c r="AP205" s="1798"/>
      <c r="AQ205" s="1798"/>
      <c r="AR205" s="1798"/>
      <c r="AS205" s="1798"/>
      <c r="AT205" s="1798"/>
      <c r="AU205" s="1798"/>
      <c r="AV205" s="1798"/>
      <c r="AW205" s="1798"/>
      <c r="AX205" s="1799"/>
      <c r="AY205" s="1489"/>
      <c r="AZ205" s="2576"/>
      <c r="BA205" s="2577"/>
    </row>
    <row r="206" spans="1:53" ht="17.100000000000001" customHeight="1" thickTop="1">
      <c r="A206" s="474" t="str">
        <f ca="1">SUBSTITUTE(CONCATENATE("#",TABLEAU!$T$33," (A ",HEURE.L1.VERIFIER,"): [CHAMPIONNAT]#"),"# DEPUIS","#DEPUIS")</f>
        <v>#DANS 7H45 (A 20H45): [CHAMPIONNAT]#</v>
      </c>
      <c r="B206" s="254" t="s">
        <v>165</v>
      </c>
      <c r="C206" s="255">
        <f ca="1">DATE(ANNEE,1,7)</f>
        <v>43472</v>
      </c>
      <c r="D206" s="256" t="str">
        <f ca="1">LOOKUP(WEEKDAY(TABLEAU!$C$206),SEMAINE)</f>
        <v>LUNDI</v>
      </c>
      <c r="E206" s="458" t="str">
        <f ca="1">UPPER(SUBSTITUTE(IF(TABLEAU!$C$206-A=0,"AUJOURD'HUI",IF(TABLEAU!$C$206-A=-1,"#DEPASSE DEPUIS HIER#",IF(TABLEAU!$C$206-A&lt;1,CONCATENATE("#DEPASSE DEPUIS ",A-TABLEAU!$C$206," JOURS#"),IF(TABLEAU!$C$206-A=0,"AUJOURD'HUI",CONCATENATE("DANS ",TABLEAU!$C$206-A," JOURS"))))),"DANS 1 JOURS","DEMAIN"))</f>
        <v>#DEPASSE DEPUIS 299 JOURS#</v>
      </c>
      <c r="F206" s="1211"/>
      <c r="G206" s="1742"/>
      <c r="H206" s="1743"/>
      <c r="I206" s="121" t="str">
        <f ca="1">IF(MONTH(TABLEAU!$C$206)&lt;10,CONCATENATE(DAY(TABLEAU!$C$206),"/",MONTH(TABLEAU!$C$206),"/",YEAR(TABLEAU!$C$206)),TABLEAU!$C$206)</f>
        <v>7/1/2019</v>
      </c>
      <c r="J206" s="122" t="str">
        <f ca="1">IF(TABLEAU!$E$206="AUJOURD'HUI",TABLEAU!$E$206,"")</f>
        <v/>
      </c>
      <c r="K206" s="1962" t="str">
        <f ca="1">UPPER(IF(AND(DATE.RDV.TV="DIMANCHE",MOIS.MAINTENANT.2="MAI",DAY(A)=31),"#FETE DES MERES#",IF(AND(DATE.RDV.TV="DIMANCHE",MOIS.MAINTENANT.2="MAI",DAY(A)=30),"FETE DES MERES",IF(AND(DATE.RDV.TV="DIMANCHE",MOIS.MAINTENANT.2="MAI",DAY(A)=29),"FETE DES MERES",IF(AND(DATE.RDV.TV="DIMANCHE",MOIS.MAINTENANT.2="MAI",DAY(A)=28),"FETE DES MERES",IF(AND(DATE.RDV.TV="DIMANCHE",MOIS.MAINTENANT.2="MAI",DAY(A)=27),"FETE DES MERES",IF(AND(DATE.RDV.TV="DIMANCHE",MOIS.MAINTENANT.2="MAI",DAY(A)=26),"FETE DES MERES",IF(AND(DATE.RDV.TV="DIMANCHE",MOIS.MAINTENANT.2="MAI",DAY(A)=25),"FETE DES MERES",IF(AND(DATE.RDV.TV="DIMANCHE",MOIS.MAINTENANT.2="MAI",DAY(A)=24),"FETE DES MERES",IF(TABLEAU!$J$206="AUJOURD'HUI",TABLEAU!$B$206,IF(TABLEAU!$J$207="AUJOURD'HUI",TABLEAU!$B$207,IF(TABLEAU!$J$208="AUJOURD'HUI",TABLEAU!$B$208,IF(TABLEAU!$J$209="AUJOURD'HUI",TABLEAU!$B$209,IF(TABLEAU!$J$210="AUJOURD'HUI",TABLEAU!$B$210,IF(TABLEAU!$J$211="AUJOURD'HUI",TABLEAU!$B$211,IF(TABLEAU!$J$212="AUJOURD'HUI",TABLEAU!$B$212,IF(TABLEAU!$J$213="AUJOURD'HUI",TABLEAU!$B$213,IF(TABLEAU!$J$214="AUJOURD'HUI",TABLEAU!$B$214,IF(TABLEAU!$J$215="AUJOURD'HUI",TABLEAU!$B$215,IF(TABLEAU!$J$216="AUJOURD'HUI",TABLEAU!$B$216,IF(TABLEAU!$J$217="AUJOURD'HUI",TABLEAU!$B$217,IF(TABLEAU!$J$218="AUJOURD'HUI",TABLEAU!$B$218,IF(TABLEAU!$J$219="AUJOURD'HUI",TABLEAU!$B$219,IF(TABLEAU!$J$220="AUJOURD'HUI",TABLEAU!$B$220,IF(TABLEAU!$J$221="AUJOURD'HUI",TABLEAU!$B$221,IF(TABLEAU!$J$222="AUJOURD'HUI",TABLEAU!$B$222,IF(TABLEAU!$J$223="AUJOURD'HUI",TABLEAU!$B$223,IF(TABLEAU!$J$224="AUJOURD'HUI",TABLEAU!$B$224,""))))))))))))))))))))))))))))</f>
        <v/>
      </c>
      <c r="L206" s="1963"/>
      <c r="M206" s="1963"/>
      <c r="N206" s="1963"/>
      <c r="O206" s="1964"/>
      <c r="P206" s="1983"/>
      <c r="Q206" s="1984"/>
      <c r="R206" s="1984"/>
      <c r="S206" s="1984"/>
      <c r="T206" s="1984"/>
      <c r="U206" s="1984"/>
      <c r="V206" s="1985"/>
      <c r="W206" s="1806"/>
      <c r="X206" s="1807"/>
      <c r="Y206" s="1807"/>
      <c r="Z206" s="1808"/>
      <c r="AA206" s="1777"/>
      <c r="AB206" s="1778"/>
      <c r="AC206" s="1778"/>
      <c r="AD206" s="1778"/>
      <c r="AE206" s="1779"/>
      <c r="AF206" s="1646"/>
      <c r="AG206" s="1647"/>
      <c r="AH206" s="1647"/>
      <c r="AI206" s="1648"/>
      <c r="AJ206" s="1457"/>
      <c r="AK206" s="1457"/>
      <c r="AL206" s="1797"/>
      <c r="AM206" s="1798"/>
      <c r="AN206" s="1798"/>
      <c r="AO206" s="1798"/>
      <c r="AP206" s="1798"/>
      <c r="AQ206" s="1798"/>
      <c r="AR206" s="1798"/>
      <c r="AS206" s="1798"/>
      <c r="AT206" s="1798"/>
      <c r="AU206" s="1798"/>
      <c r="AV206" s="1798"/>
      <c r="AW206" s="1798"/>
      <c r="AX206" s="1799"/>
      <c r="AY206" s="1489"/>
      <c r="AZ206" s="2576"/>
      <c r="BA206" s="2577"/>
    </row>
    <row r="207" spans="1:53" ht="17.100000000000001" customHeight="1">
      <c r="A207" s="866"/>
      <c r="B207" s="1347" t="s">
        <v>131</v>
      </c>
      <c r="C207" s="1348">
        <f ca="1">DATE(ANNEE,3,10)</f>
        <v>43534</v>
      </c>
      <c r="D207" s="1349" t="str">
        <f ca="1">LOOKUP(WEEKDAY(TABLEAU!$C$207),SEMAINE)</f>
        <v>DIMANCHE</v>
      </c>
      <c r="E207" s="1350" t="str">
        <f ca="1">UPPER(SUBSTITUTE(IF(TABLEAU!$C$207-A=0,"AUJOURD'HUI",IF(TABLEAU!$C$207-A=-1,"#DEPASSE DEPUIS HIER#",IF(TABLEAU!$C$207-A&lt;1,CONCATENATE("#DEPASSE DEPUIS ",A-TABLEAU!$C$207," JOURS#"),IF(TABLEAU!$C$207-A=0,"AUJOURD'HUI",CONCATENATE("DANS ",TABLEAU!$C$207-A," JOURS"))))),"DANS 1 JOURS","DEMAIN"))</f>
        <v>#DEPASSE DEPUIS 237 JOURS#</v>
      </c>
      <c r="F207" s="1214"/>
      <c r="G207" s="1742"/>
      <c r="H207" s="1743"/>
      <c r="I207" s="131" t="str">
        <f ca="1">IF(MONTH(TABLEAU!$C$207)&lt;10,CONCATENATE(DAY(TABLEAU!$C$207),"/",MONTH(TABLEAU!$C$207),"/",YEAR(TABLEAU!$C$207)),TABLEAU!$C$207)</f>
        <v>10/3/2019</v>
      </c>
      <c r="J207" s="132" t="str">
        <f ca="1">IF(TABLEAU!$E$207="AUJOURD'HUI",TABLEAU!$E$207,"")</f>
        <v/>
      </c>
      <c r="K207" s="1965"/>
      <c r="L207" s="1966"/>
      <c r="M207" s="1966"/>
      <c r="N207" s="1966"/>
      <c r="O207" s="1967"/>
      <c r="P207" s="1983"/>
      <c r="Q207" s="1984"/>
      <c r="R207" s="1984"/>
      <c r="S207" s="1984"/>
      <c r="T207" s="1984"/>
      <c r="U207" s="1984"/>
      <c r="V207" s="1985"/>
      <c r="W207" s="1806"/>
      <c r="X207" s="1807"/>
      <c r="Y207" s="1807"/>
      <c r="Z207" s="1808"/>
      <c r="AA207" s="1777"/>
      <c r="AB207" s="1778"/>
      <c r="AC207" s="1778"/>
      <c r="AD207" s="1778"/>
      <c r="AE207" s="1779"/>
      <c r="AF207" s="1646"/>
      <c r="AG207" s="1647"/>
      <c r="AH207" s="1647"/>
      <c r="AI207" s="1648"/>
      <c r="AJ207" s="1457"/>
      <c r="AK207" s="1457"/>
      <c r="AL207" s="1797"/>
      <c r="AM207" s="1798"/>
      <c r="AN207" s="1798"/>
      <c r="AO207" s="1798"/>
      <c r="AP207" s="1798"/>
      <c r="AQ207" s="1798"/>
      <c r="AR207" s="1798"/>
      <c r="AS207" s="1798"/>
      <c r="AT207" s="1798"/>
      <c r="AU207" s="1798"/>
      <c r="AV207" s="1798"/>
      <c r="AW207" s="1798"/>
      <c r="AX207" s="1799"/>
      <c r="AY207" s="1489"/>
      <c r="AZ207" s="2576"/>
      <c r="BA207" s="2577"/>
    </row>
    <row r="208" spans="1:53" ht="17.100000000000001" customHeight="1">
      <c r="A208" s="622" t="str">
        <f ca="1">UPPER(SUBSTITUTE(IF(TABLEAU!$A$212="FAUX","",TABLEAU!$A$212),"0HIER","HIER"))</f>
        <v>#DANS 7H45 (A 20H45): [CHAMPIONNAT]# &amp; #DANS 7H40 (A 20H40 SUR AB1): [SMACKDOWN]#</v>
      </c>
      <c r="B208" s="254" t="s">
        <v>134</v>
      </c>
      <c r="C208" s="255">
        <f ca="1">ROUND(DATE(ANNEE,4,MOD(234-11*MOD(ANNEE,19),30))/7,0)*7-6</f>
        <v>43576</v>
      </c>
      <c r="D208" s="256" t="str">
        <f ca="1">LOOKUP(WEEKDAY(TABLEAU!$C$208),SEMAINE)</f>
        <v>DIMANCHE</v>
      </c>
      <c r="E208" s="458" t="str">
        <f ca="1">UPPER(SUBSTITUTE(IF(TABLEAU!$C$208-A=0,"AUJOURD'HUI",IF(TABLEAU!$C$208-A=-1,"#DEPASSE DEPUIS HIER#",IF(TABLEAU!$C$208-A&lt;1,CONCATENATE("#DEPASSE DEPUIS ",A-TABLEAU!$C$208," JOURS#"),IF(TABLEAU!$C$208-A=0,"AUJOURD'HUI",CONCATENATE("DANS ",TABLEAU!$C$208-A," JOURS"))))),"DANS 1 JOURS","DEMAIN"))</f>
        <v>#DEPASSE DEPUIS 195 JOURS#</v>
      </c>
      <c r="F208" s="1213"/>
      <c r="G208" s="1742"/>
      <c r="H208" s="1743"/>
      <c r="I208" s="123" t="str">
        <f ca="1">IF(MONTH(TABLEAU!$C$208)&lt;10,CONCATENATE(DAY(TABLEAU!$C$208),"/",MONTH(TABLEAU!$C$208),"/",YEAR(TABLEAU!$C$208)),TABLEAU!$C$208)</f>
        <v>21/4/2019</v>
      </c>
      <c r="J208" s="124" t="str">
        <f ca="1">IF(TABLEAU!$E$208="AUJOURD'HUI",TABLEAU!$E$208,"")</f>
        <v/>
      </c>
      <c r="K208" s="1965"/>
      <c r="L208" s="1966"/>
      <c r="M208" s="1966"/>
      <c r="N208" s="1966"/>
      <c r="O208" s="1967"/>
      <c r="P208" s="1983"/>
      <c r="Q208" s="1984"/>
      <c r="R208" s="1984"/>
      <c r="S208" s="1984"/>
      <c r="T208" s="1984"/>
      <c r="U208" s="1984"/>
      <c r="V208" s="1985"/>
      <c r="W208" s="1806"/>
      <c r="X208" s="1807"/>
      <c r="Y208" s="1807"/>
      <c r="Z208" s="1808"/>
      <c r="AA208" s="1777"/>
      <c r="AB208" s="1778"/>
      <c r="AC208" s="1778"/>
      <c r="AD208" s="1778"/>
      <c r="AE208" s="1779"/>
      <c r="AF208" s="1646"/>
      <c r="AG208" s="1647"/>
      <c r="AH208" s="1647"/>
      <c r="AI208" s="1648"/>
      <c r="AJ208" s="1457"/>
      <c r="AK208" s="1457"/>
      <c r="AL208" s="1797"/>
      <c r="AM208" s="1798"/>
      <c r="AN208" s="1798"/>
      <c r="AO208" s="1798"/>
      <c r="AP208" s="1798"/>
      <c r="AQ208" s="1798"/>
      <c r="AR208" s="1798"/>
      <c r="AS208" s="1798"/>
      <c r="AT208" s="1798"/>
      <c r="AU208" s="1798"/>
      <c r="AV208" s="1798"/>
      <c r="AW208" s="1798"/>
      <c r="AX208" s="1799"/>
      <c r="AY208" s="1489"/>
      <c r="AZ208" s="2576"/>
      <c r="BA208" s="2577"/>
    </row>
    <row r="209" spans="1:53" ht="17.100000000000001" customHeight="1">
      <c r="A209" s="622" t="str">
        <f ca="1">SUBSTITUTE(SUBSTITUTE(SUBSTITUTE(SUBSTITUTE(SUBSTITUTE(SUBSTITUTE(SUBSTITUTE(SUBSTITUTE(SUBSTITUTE(SUBSTITUTE(SUBSTITUTE([2]COURSES!$AH$33,"#(",CONCATENATE("#",DANS.GP," (")),DANS.GP,"DANS.GP")," ]","]"),": DE [",": ["),": []#",""),"#GP",CONCATENATE("#",DANS.GP," ",[2]DATES!$F$11," [GP")),"]]","]"),"] #","]#"),"[= ","["),"= ","= [")," PTS "," PTS] ")</f>
        <v>#AAA (DIMANCHE 3 NOVEMBRE A 17H00): [GP DES USA 2019= [1ER HAMILTON (361 PTS) {+71} BOTTAS (290 PTS)]#</v>
      </c>
      <c r="B209" s="1347" t="s">
        <v>141</v>
      </c>
      <c r="C209" s="1348">
        <f ca="1">PAQUES+1</f>
        <v>43577</v>
      </c>
      <c r="D209" s="1349" t="str">
        <f ca="1">LOOKUP(WEEKDAY(TABLEAU!$C$209),SEMAINE)</f>
        <v>LUNDI</v>
      </c>
      <c r="E209" s="1350" t="str">
        <f ca="1">UPPER(SUBSTITUTE(IF(TABLEAU!$C$209-A=0,"AUJOURD'HUI",IF(TABLEAU!$C$209-A=-1,"#DEPASSE DEPUIS HIER#",IF(TABLEAU!$C$209-A&lt;1,CONCATENATE("#DEPASSE DEPUIS ",A-TABLEAU!$C$209," JOURS#"),IF(TABLEAU!$C$209-A=0,"AUJOURD'HUI",CONCATENATE("DANS ",TABLEAU!$C$209-A," JOURS"))))),"DANS 1 JOURS","DEMAIN"))</f>
        <v>#DEPASSE DEPUIS 194 JOURS#</v>
      </c>
      <c r="F209" s="1213"/>
      <c r="G209" s="1742"/>
      <c r="H209" s="1743"/>
      <c r="I209" s="131" t="str">
        <f ca="1">IF(MONTH(TABLEAU!$C$209)&lt;10,CONCATENATE(DAY(TABLEAU!$C$209),"/",MONTH(TABLEAU!$C$209),"/",YEAR(TABLEAU!$C$209)),TABLEAU!$C$209)</f>
        <v>22/4/2019</v>
      </c>
      <c r="J209" s="132" t="str">
        <f ca="1">IF(TABLEAU!$E$209="AUJOURD'HUI",TABLEAU!$E$209,"")</f>
        <v/>
      </c>
      <c r="K209" s="1965"/>
      <c r="L209" s="1966"/>
      <c r="M209" s="1966"/>
      <c r="N209" s="1966"/>
      <c r="O209" s="1967"/>
      <c r="P209" s="1983"/>
      <c r="Q209" s="1984"/>
      <c r="R209" s="1984"/>
      <c r="S209" s="1984"/>
      <c r="T209" s="1984"/>
      <c r="U209" s="1984"/>
      <c r="V209" s="1985"/>
      <c r="W209" s="1806"/>
      <c r="X209" s="1807"/>
      <c r="Y209" s="1807"/>
      <c r="Z209" s="1808"/>
      <c r="AA209" s="1777"/>
      <c r="AB209" s="1778"/>
      <c r="AC209" s="1778"/>
      <c r="AD209" s="1778"/>
      <c r="AE209" s="1779"/>
      <c r="AF209" s="1646"/>
      <c r="AG209" s="1647"/>
      <c r="AH209" s="1647"/>
      <c r="AI209" s="1648"/>
      <c r="AJ209" s="1457"/>
      <c r="AK209" s="1457"/>
      <c r="AL209" s="1797"/>
      <c r="AM209" s="1798"/>
      <c r="AN209" s="1798"/>
      <c r="AO209" s="1798"/>
      <c r="AP209" s="1798"/>
      <c r="AQ209" s="1798"/>
      <c r="AR209" s="1798"/>
      <c r="AS209" s="1798"/>
      <c r="AT209" s="1798"/>
      <c r="AU209" s="1798"/>
      <c r="AV209" s="1798"/>
      <c r="AW209" s="1798"/>
      <c r="AX209" s="1799"/>
      <c r="AY209" s="1489"/>
      <c r="AZ209" s="2576"/>
      <c r="BA209" s="2577"/>
    </row>
    <row r="210" spans="1:53" ht="17.100000000000001" customHeight="1" thickBot="1">
      <c r="A210" s="1049" t="str">
        <f>IF([2]!MANQUE&lt;&gt;"","",CONCATENATE("= 1ER ",[2]!LEADER," (",'[2]PILOTES &amp; ECURIES'!$AG$4," PTS) {+",'[2]PILOTES &amp; ECURIES'!$AG$4-[2]!DEUXIEME.POINTS,"} ",[2]!SECOND," (",[2]!DEUXIEME.POINTS," PTS)"))</f>
        <v/>
      </c>
      <c r="B210" s="254" t="s">
        <v>126</v>
      </c>
      <c r="C210" s="255">
        <f ca="1">DATE(ANNEE,5,1)</f>
        <v>43586</v>
      </c>
      <c r="D210" s="256" t="str">
        <f ca="1">LOOKUP(WEEKDAY(TABLEAU!$C$210),SEMAINE)</f>
        <v>MERCREDI</v>
      </c>
      <c r="E210" s="458" t="str">
        <f ca="1">UPPER(SUBSTITUTE(IF(TABLEAU!$C$210-A=0,"AUJOURD'HUI",IF(TABLEAU!$C$210-A=-1,"#DEPASSE DEPUIS HIER#",IF(TABLEAU!$C$210-A&lt;1,CONCATENATE("#DEPASSE DEPUIS ",A-TABLEAU!$C$210," JOURS#"),IF(TABLEAU!$C$210-A=0,"AUJOURD'HUI",CONCATENATE("DANS ",TABLEAU!$C$210-A," JOURS"))))),"DANS 1 JOURS","DEMAIN"))</f>
        <v>#DEPASSE DEPUIS 185 JOURS#</v>
      </c>
      <c r="F210" s="1213"/>
      <c r="G210" s="1742"/>
      <c r="H210" s="1743"/>
      <c r="I210" s="123" t="str">
        <f ca="1">IF(MONTH(TABLEAU!$C$210)&lt;10,CONCATENATE(DAY(TABLEAU!$C$210),"/",MONTH(TABLEAU!$C$210),"/",YEAR(TABLEAU!$C$210)),TABLEAU!$C$210)</f>
        <v>1/5/2019</v>
      </c>
      <c r="J210" s="124" t="str">
        <f ca="1">IF(TABLEAU!$E$210="AUJOURD'HUI",TABLEAU!$E$210,"")</f>
        <v/>
      </c>
      <c r="K210" s="1965"/>
      <c r="L210" s="1966"/>
      <c r="M210" s="1966"/>
      <c r="N210" s="1966"/>
      <c r="O210" s="1967"/>
      <c r="P210" s="1983"/>
      <c r="Q210" s="1984"/>
      <c r="R210" s="1984"/>
      <c r="S210" s="1984"/>
      <c r="T210" s="1984"/>
      <c r="U210" s="1984"/>
      <c r="V210" s="1985"/>
      <c r="W210" s="1806"/>
      <c r="X210" s="1807"/>
      <c r="Y210" s="1807"/>
      <c r="Z210" s="1808"/>
      <c r="AA210" s="1777"/>
      <c r="AB210" s="1778"/>
      <c r="AC210" s="1778"/>
      <c r="AD210" s="1778"/>
      <c r="AE210" s="1779"/>
      <c r="AF210" s="1646"/>
      <c r="AG210" s="1647"/>
      <c r="AH210" s="1647"/>
      <c r="AI210" s="1648"/>
      <c r="AJ210" s="1457"/>
      <c r="AK210" s="1457"/>
      <c r="AL210" s="1797"/>
      <c r="AM210" s="1798"/>
      <c r="AN210" s="1798"/>
      <c r="AO210" s="1798"/>
      <c r="AP210" s="1798"/>
      <c r="AQ210" s="1798"/>
      <c r="AR210" s="1798"/>
      <c r="AS210" s="1798"/>
      <c r="AT210" s="1798"/>
      <c r="AU210" s="1798"/>
      <c r="AV210" s="1798"/>
      <c r="AW210" s="1798"/>
      <c r="AX210" s="1799"/>
      <c r="AY210" s="1489"/>
      <c r="AZ210" s="2576"/>
      <c r="BA210" s="2577"/>
    </row>
    <row r="211" spans="1:53" ht="17.100000000000001" customHeight="1" thickTop="1">
      <c r="A211" s="991" t="str">
        <f ca="1">CONCATENATE(TABLEAU!$K$204,"R")</f>
        <v>R</v>
      </c>
      <c r="B211" s="1347" t="s">
        <v>117</v>
      </c>
      <c r="C211" s="1348">
        <f ca="1">DATE(ANNEE,5,8)</f>
        <v>43593</v>
      </c>
      <c r="D211" s="1349" t="str">
        <f ca="1">LOOKUP(WEEKDAY(TABLEAU!$C$211),SEMAINE)</f>
        <v>MERCREDI</v>
      </c>
      <c r="E211" s="1350" t="str">
        <f ca="1">UPPER(SUBSTITUTE(IF(TABLEAU!$C$211-A=0,"AUJOURD'HUI",IF(TABLEAU!$C$211-A=-1,"#DEPASSE DEPUIS HIER#",IF(TABLEAU!$C$211-A&lt;1,CONCATENATE("#DEPASSE DEPUIS ",A-TABLEAU!$C$211," JOURS#"),IF(TABLEAU!$C$211-A=0,"AUJOURD'HUI",CONCATENATE("DANS ",TABLEAU!$C$211-A," JOURS"))))),"DANS 1 JOURS","DEMAIN"))</f>
        <v>#DEPASSE DEPUIS 178 JOURS#</v>
      </c>
      <c r="F211" s="1213"/>
      <c r="G211" s="1742"/>
      <c r="H211" s="1743"/>
      <c r="I211" s="131" t="str">
        <f ca="1">IF(MONTH(TABLEAU!$C$211)&lt;10,CONCATENATE(DAY(TABLEAU!$C$211),"/",MONTH(TABLEAU!$C$211),"/",YEAR(TABLEAU!$C$211)),TABLEAU!$C$211)</f>
        <v>8/5/2019</v>
      </c>
      <c r="J211" s="132" t="str">
        <f ca="1">IF(TABLEAU!$E$211="AUJOURD'HUI",TABLEAU!$E$211,"")</f>
        <v/>
      </c>
      <c r="K211" s="1965"/>
      <c r="L211" s="1966"/>
      <c r="M211" s="1966"/>
      <c r="N211" s="1966"/>
      <c r="O211" s="1967"/>
      <c r="P211" s="1983"/>
      <c r="Q211" s="1984"/>
      <c r="R211" s="1984"/>
      <c r="S211" s="1984"/>
      <c r="T211" s="1984"/>
      <c r="U211" s="1984"/>
      <c r="V211" s="1985"/>
      <c r="W211" s="1806"/>
      <c r="X211" s="1807"/>
      <c r="Y211" s="1807"/>
      <c r="Z211" s="1808"/>
      <c r="AA211" s="1777"/>
      <c r="AB211" s="1778"/>
      <c r="AC211" s="1778"/>
      <c r="AD211" s="1778"/>
      <c r="AE211" s="1779"/>
      <c r="AF211" s="1646"/>
      <c r="AG211" s="1647"/>
      <c r="AH211" s="1647"/>
      <c r="AI211" s="1648"/>
      <c r="AJ211" s="1457"/>
      <c r="AK211" s="1457"/>
      <c r="AL211" s="1797"/>
      <c r="AM211" s="1798"/>
      <c r="AN211" s="1798"/>
      <c r="AO211" s="1798"/>
      <c r="AP211" s="1798"/>
      <c r="AQ211" s="1798"/>
      <c r="AR211" s="1798"/>
      <c r="AS211" s="1798"/>
      <c r="AT211" s="1798"/>
      <c r="AU211" s="1798"/>
      <c r="AV211" s="1798"/>
      <c r="AW211" s="1798"/>
      <c r="AX211" s="1799"/>
      <c r="AY211" s="1489"/>
      <c r="AZ211" s="2576"/>
      <c r="BA211" s="2577"/>
    </row>
    <row r="212" spans="1:53" ht="17.100000000000001" customHeight="1">
      <c r="A212" s="616" t="str">
        <f ca="1">UPPER(SUBSTITUTE(SUBSTITUTE(SUBSTITUTE(SUBSTITUTE(SUBSTITUTE(SUBSTITUTE(SUBSTITUTE(SUBSTITUTE(SUBSTITUTE(SUBSTITUTE(SUBSTITUTE(IF(TV&lt;&gt;"",TV,A.VERIFIER),CONCATENATE(DATE.RDV.TV," "),""),"GRAND PRIX","GP"),"#DEPASSE #DEPASSE","#DEPASSE"),"# #","# &amp; #"),"= #","= "),CONCATENATE(" &amp; ",TABLEAU!$AI$33),"# &amp; #"),"##","# &amp; #"),"]#D","]# &amp; #D"),"&amp; # &amp; # &amp;","&amp;"),"# &amp; # &amp; #","#"),"0HIER","HIER"))</f>
        <v>#DANS 7H45 (A 20H45): [CHAMPIONNAT]# &amp; #DANS 7H40 (A 20H40 SUR AB1): [SMACKDOWN]#</v>
      </c>
      <c r="B212" s="254" t="s">
        <v>159</v>
      </c>
      <c r="C212" s="255">
        <f ca="1">PAQUES+39</f>
        <v>43615</v>
      </c>
      <c r="D212" s="256" t="str">
        <f ca="1">LOOKUP(WEEKDAY(TABLEAU!$C$212),SEMAINE)</f>
        <v>JEUDI</v>
      </c>
      <c r="E212" s="458" t="str">
        <f ca="1">UPPER(SUBSTITUTE(IF(TABLEAU!$C$212-A=0,"AUJOURD'HUI",IF(TABLEAU!$C$212-A=-1,"#DEPASSE DEPUIS HIER#",IF(TABLEAU!$C$212-A&lt;1,CONCATENATE("#DEPASSE DEPUIS ",A-TABLEAU!$C$212," JOURS#"),IF(TABLEAU!$C$212-A=0,"AUJOURD'HUI",CONCATENATE("DANS ",TABLEAU!$C$212-A," JOURS"))))),"DANS 1 JOURS","DEMAIN"))</f>
        <v>#DEPASSE DEPUIS 156 JOURS#</v>
      </c>
      <c r="F212" s="1213"/>
      <c r="G212" s="1742"/>
      <c r="H212" s="1743"/>
      <c r="I212" s="125" t="str">
        <f ca="1">IF(MONTH(TABLEAU!$C$212)&lt;10,CONCATENATE(DAY(TABLEAU!$C$212),"/",MONTH(TABLEAU!$C$212),"/",YEAR(TABLEAU!$C$212)),TABLEAU!$C$212)</f>
        <v>30/5/2019</v>
      </c>
      <c r="J212" s="126" t="str">
        <f ca="1">IF(TABLEAU!$E$212="AUJOURD'HUI",TABLEAU!$E$212,"")</f>
        <v/>
      </c>
      <c r="K212" s="1965"/>
      <c r="L212" s="1966"/>
      <c r="M212" s="1966"/>
      <c r="N212" s="1966"/>
      <c r="O212" s="1967"/>
      <c r="P212" s="1983"/>
      <c r="Q212" s="1984"/>
      <c r="R212" s="1984"/>
      <c r="S212" s="1984"/>
      <c r="T212" s="1984"/>
      <c r="U212" s="1984"/>
      <c r="V212" s="1985"/>
      <c r="W212" s="1806"/>
      <c r="X212" s="1807"/>
      <c r="Y212" s="1807"/>
      <c r="Z212" s="1808"/>
      <c r="AA212" s="1777"/>
      <c r="AB212" s="1778"/>
      <c r="AC212" s="1778"/>
      <c r="AD212" s="1778"/>
      <c r="AE212" s="1779"/>
      <c r="AF212" s="1646"/>
      <c r="AG212" s="1647"/>
      <c r="AH212" s="1647"/>
      <c r="AI212" s="1648"/>
      <c r="AJ212" s="1457"/>
      <c r="AK212" s="1457"/>
      <c r="AL212" s="1797"/>
      <c r="AM212" s="1798"/>
      <c r="AN212" s="1798"/>
      <c r="AO212" s="1798"/>
      <c r="AP212" s="1798"/>
      <c r="AQ212" s="1798"/>
      <c r="AR212" s="1798"/>
      <c r="AS212" s="1798"/>
      <c r="AT212" s="1798"/>
      <c r="AU212" s="1798"/>
      <c r="AV212" s="1798"/>
      <c r="AW212" s="1798"/>
      <c r="AX212" s="1799"/>
      <c r="AY212" s="1489"/>
      <c r="AZ212" s="2576"/>
      <c r="BA212" s="2577"/>
    </row>
    <row r="213" spans="1:53" ht="17.100000000000001" customHeight="1">
      <c r="A213" s="869" t="str">
        <f ca="1">CONCATENATE(A.VERIFIER," &amp; ",TV.SUITE)</f>
        <v xml:space="preserve"> &amp; #DANS 7H45 (A 20H45): [CHAMPIONNAT]# &amp; #DANS 7H40 (A 20H40 SUR AB1): [SMACKDOWN]#</v>
      </c>
      <c r="B213" s="1347" t="s">
        <v>164</v>
      </c>
      <c r="C213" s="1348">
        <f ca="1">DATE(ANNEE,6,3)</f>
        <v>43619</v>
      </c>
      <c r="D213" s="1349" t="str">
        <f ca="1">LOOKUP(WEEKDAY(TABLEAU!$C$213),SEMAINE)</f>
        <v>LUNDI</v>
      </c>
      <c r="E213" s="1350" t="str">
        <f ca="1">UPPER(SUBSTITUTE(IF(TABLEAU!$C$213-A=0,"AUJOURD'HUI",IF(TABLEAU!$C$213-A=-1,"#DEPASSE DEPUIS HIER#",IF(TABLEAU!$C$213-A&lt;1,CONCATENATE("#DEPASSE DEPUIS ",A-TABLEAU!$C$213," JOURS#"),IF(TABLEAU!$C$213-A=0,"AUJOURD'HUI",CONCATENATE("DANS ",TABLEAU!$C$213-A," JOURS"))))),"DANS 1 JOURS","DEMAIN"))</f>
        <v>#DEPASSE DEPUIS 152 JOURS#</v>
      </c>
      <c r="F213" s="1213"/>
      <c r="G213" s="1742"/>
      <c r="H213" s="1743"/>
      <c r="I213" s="131" t="str">
        <f ca="1">IF(MONTH(TABLEAU!$C$213)&lt;10,CONCATENATE(DAY(TABLEAU!$C$213),"/",MONTH(TABLEAU!$C$213),"/",YEAR(TABLEAU!$C$213)),TABLEAU!$C$213)</f>
        <v>3/6/2019</v>
      </c>
      <c r="J213" s="133" t="str">
        <f ca="1">IF(TABLEAU!$E$213="AUJOURD'HUI",TABLEAU!$E$213,"")</f>
        <v/>
      </c>
      <c r="K213" s="1965"/>
      <c r="L213" s="1966"/>
      <c r="M213" s="1966"/>
      <c r="N213" s="1966"/>
      <c r="O213" s="1967"/>
      <c r="P213" s="1983"/>
      <c r="Q213" s="1984"/>
      <c r="R213" s="1984"/>
      <c r="S213" s="1984"/>
      <c r="T213" s="1984"/>
      <c r="U213" s="1984"/>
      <c r="V213" s="1985"/>
      <c r="W213" s="1806"/>
      <c r="X213" s="1807"/>
      <c r="Y213" s="1807"/>
      <c r="Z213" s="1808"/>
      <c r="AA213" s="1777"/>
      <c r="AB213" s="1778"/>
      <c r="AC213" s="1778"/>
      <c r="AD213" s="1778"/>
      <c r="AE213" s="1779"/>
      <c r="AF213" s="1646"/>
      <c r="AG213" s="1647"/>
      <c r="AH213" s="1647"/>
      <c r="AI213" s="1648"/>
      <c r="AJ213" s="1457"/>
      <c r="AK213" s="1457"/>
      <c r="AL213" s="1797"/>
      <c r="AM213" s="1798"/>
      <c r="AN213" s="1798"/>
      <c r="AO213" s="1798"/>
      <c r="AP213" s="1798"/>
      <c r="AQ213" s="1798"/>
      <c r="AR213" s="1798"/>
      <c r="AS213" s="1798"/>
      <c r="AT213" s="1798"/>
      <c r="AU213" s="1798"/>
      <c r="AV213" s="1798"/>
      <c r="AW213" s="1798"/>
      <c r="AX213" s="1799"/>
      <c r="AY213" s="1489"/>
      <c r="AZ213" s="2576"/>
      <c r="BA213" s="2577"/>
    </row>
    <row r="214" spans="1:53" ht="17.100000000000001" customHeight="1">
      <c r="A214" s="772" t="str">
        <f ca="1">SUBSTITUTE(SUBSTITUTE(SUBSTITUTE(SUBSTITUTE(SUBSTITUTE(TV.DEPAS,"1 PROG EST ",""),"2 PROG SONT ",""),"3 PROG SONT ",""),"4 PROG SONT ",""),CONCATENATE(DATE.RDV.TV," "),"")</f>
        <v/>
      </c>
      <c r="B214" s="254" t="s">
        <v>118</v>
      </c>
      <c r="C214" s="255">
        <f ca="1">PAQUES+49</f>
        <v>43625</v>
      </c>
      <c r="D214" s="256" t="str">
        <f ca="1">LOOKUP(WEEKDAY(TABLEAU!$C$214),SEMAINE)</f>
        <v>DIMANCHE</v>
      </c>
      <c r="E214" s="458" t="str">
        <f ca="1">UPPER(SUBSTITUTE(IF(TABLEAU!$C$214-A=0,"AUJOURD'HUI",IF(TABLEAU!$C$214-A=-1,"#DEPASSE DEPUIS HIER#",IF(TABLEAU!$C$214-A&lt;1,CONCATENATE("#DEPASSE DEPUIS ",A-TABLEAU!$C$214," JOURS#"),IF(TABLEAU!$C$214-A=0,"AUJOURD'HUI",CONCATENATE("DANS ",TABLEAU!$C$214-A," JOURS"))))),"DANS 1 JOURS","DEMAIN"))</f>
        <v>#DEPASSE DEPUIS 146 JOURS#</v>
      </c>
      <c r="F214" s="1213"/>
      <c r="G214" s="1742"/>
      <c r="H214" s="1743"/>
      <c r="I214" s="123" t="str">
        <f ca="1">IF(MONTH(TABLEAU!$C$214)&lt;10,CONCATENATE(DAY(TABLEAU!$C$214),"/",MONTH(TABLEAU!$C$214),"/",YEAR(TABLEAU!$C$214)),TABLEAU!$C$214)</f>
        <v>9/6/2019</v>
      </c>
      <c r="J214" s="127" t="str">
        <f ca="1">IF(TABLEAU!$E$214="AUJOURD'HUI",TABLEAU!$E$214,"")</f>
        <v/>
      </c>
      <c r="K214" s="1965"/>
      <c r="L214" s="1966"/>
      <c r="M214" s="1966"/>
      <c r="N214" s="1966"/>
      <c r="O214" s="1967"/>
      <c r="P214" s="1983"/>
      <c r="Q214" s="1984"/>
      <c r="R214" s="1984"/>
      <c r="S214" s="1984"/>
      <c r="T214" s="1984"/>
      <c r="U214" s="1984"/>
      <c r="V214" s="1985"/>
      <c r="W214" s="1806"/>
      <c r="X214" s="1807"/>
      <c r="Y214" s="1807"/>
      <c r="Z214" s="1808"/>
      <c r="AA214" s="1777"/>
      <c r="AB214" s="1778"/>
      <c r="AC214" s="1778"/>
      <c r="AD214" s="1778"/>
      <c r="AE214" s="1779"/>
      <c r="AF214" s="1646"/>
      <c r="AG214" s="1647"/>
      <c r="AH214" s="1647"/>
      <c r="AI214" s="1648"/>
      <c r="AJ214" s="1457"/>
      <c r="AK214" s="1457"/>
      <c r="AL214" s="1797"/>
      <c r="AM214" s="1798"/>
      <c r="AN214" s="1798"/>
      <c r="AO214" s="1798"/>
      <c r="AP214" s="1798"/>
      <c r="AQ214" s="1798"/>
      <c r="AR214" s="1798"/>
      <c r="AS214" s="1798"/>
      <c r="AT214" s="1798"/>
      <c r="AU214" s="1798"/>
      <c r="AV214" s="1798"/>
      <c r="AW214" s="1798"/>
      <c r="AX214" s="1799"/>
      <c r="AY214" s="1489"/>
      <c r="AZ214" s="2576"/>
      <c r="BA214" s="2577"/>
    </row>
    <row r="215" spans="1:53" ht="17.100000000000001" customHeight="1">
      <c r="A215" s="772" t="str">
        <f ca="1">SUBSTITUTE(SUBSTITUTE(CONCATENATE(A.VERIFIER," &amp; ",TV.SUITE),TABLEAU!$A$214,"")," &amp;  &amp; "," &amp; ")</f>
        <v xml:space="preserve"> &amp; #DANS 7H45 (A 20H45): [CHAMPIONNAT]# &amp; #DANS 7H40 (A 20H40 SUR AB1): [SMACKDOWN]#</v>
      </c>
      <c r="B215" s="1347" t="s">
        <v>166</v>
      </c>
      <c r="C215" s="1348">
        <f ca="1">PAQUES+50</f>
        <v>43626</v>
      </c>
      <c r="D215" s="1349" t="str">
        <f ca="1">LOOKUP(WEEKDAY(TABLEAU!$C$215),SEMAINE)</f>
        <v>LUNDI</v>
      </c>
      <c r="E215" s="1350" t="str">
        <f ca="1">UPPER(SUBSTITUTE(IF(TABLEAU!$C$215-A=0,"AUJOURD'HUI",IF(TABLEAU!$C$215-A=-1,"#DEPASSE DEPUIS HIER#",IF(TABLEAU!$C$215-A&lt;1,CONCATENATE("#DEPASSE DEPUIS ",A-TABLEAU!$C$215," JOURS#"),IF(TABLEAU!$C$215-A=0,"AUJOURD'HUI",CONCATENATE("DANS ",TABLEAU!$C$215-A," JOURS"))))),"DANS 1 JOURS","DEMAIN"))</f>
        <v>#DEPASSE DEPUIS 145 JOURS#</v>
      </c>
      <c r="F215" s="1213"/>
      <c r="G215" s="1742"/>
      <c r="H215" s="1743"/>
      <c r="I215" s="131" t="str">
        <f ca="1">IF(MONTH(TABLEAU!$C$215)&lt;10,CONCATENATE(DAY(TABLEAU!$C$215),"/",MONTH(TABLEAU!$C$215),"/",YEAR(TABLEAU!$C$215)),TABLEAU!$C$215)</f>
        <v>10/6/2019</v>
      </c>
      <c r="J215" s="133" t="str">
        <f ca="1">IF(TABLEAU!$E$215="AUJOURD'HUI",TABLEAU!$E$215,"")</f>
        <v/>
      </c>
      <c r="K215" s="1965"/>
      <c r="L215" s="1966"/>
      <c r="M215" s="1966"/>
      <c r="N215" s="1966"/>
      <c r="O215" s="1967"/>
      <c r="P215" s="1983"/>
      <c r="Q215" s="1984"/>
      <c r="R215" s="1984"/>
      <c r="S215" s="1984"/>
      <c r="T215" s="1984"/>
      <c r="U215" s="1984"/>
      <c r="V215" s="1985"/>
      <c r="W215" s="1806"/>
      <c r="X215" s="1807"/>
      <c r="Y215" s="1807"/>
      <c r="Z215" s="1808"/>
      <c r="AA215" s="1777"/>
      <c r="AB215" s="1778"/>
      <c r="AC215" s="1778"/>
      <c r="AD215" s="1778"/>
      <c r="AE215" s="1779"/>
      <c r="AF215" s="1646"/>
      <c r="AG215" s="1647"/>
      <c r="AH215" s="1647"/>
      <c r="AI215" s="1648"/>
      <c r="AJ215" s="1457"/>
      <c r="AK215" s="1457"/>
      <c r="AL215" s="1797"/>
      <c r="AM215" s="1798"/>
      <c r="AN215" s="1798"/>
      <c r="AO215" s="1798"/>
      <c r="AP215" s="1798"/>
      <c r="AQ215" s="1798"/>
      <c r="AR215" s="1798"/>
      <c r="AS215" s="1798"/>
      <c r="AT215" s="1798"/>
      <c r="AU215" s="1798"/>
      <c r="AV215" s="1798"/>
      <c r="AW215" s="1798"/>
      <c r="AX215" s="1799"/>
      <c r="AY215" s="1489"/>
      <c r="AZ215" s="2576"/>
      <c r="BA215" s="2577"/>
    </row>
    <row r="216" spans="1:53" ht="17.100000000000001" customHeight="1">
      <c r="A216" s="868"/>
      <c r="B216" s="254" t="s">
        <v>127</v>
      </c>
      <c r="C216" s="255">
        <v>43659</v>
      </c>
      <c r="D216" s="256" t="str">
        <f>LOOKUP(WEEKDAY(TABLEAU!$C$216),SEMAINE)</f>
        <v>SAMEDI</v>
      </c>
      <c r="E216" s="458" t="str">
        <f ca="1">UPPER(SUBSTITUTE(IF(TABLEAU!$C$216-A=0,"AUJOURD'HUI",IF(TABLEAU!$C$216-A=-1,"#DEPASSE DEPUIS HIER#",IF(TABLEAU!$C$216-A&lt;1,CONCATENATE("#DEPASSE DEPUIS ",A-TABLEAU!$C$216," JOURS#"),IF(TABLEAU!$C$216-A=0,"AUJOURD'HUI",CONCATENATE("DANS ",TABLEAU!$C$216-A," JOURS"))))),"DANS 1 JOURS","DEMAIN"))</f>
        <v>#DEPASSE DEPUIS 112 JOURS#</v>
      </c>
      <c r="F216" s="1213"/>
      <c r="G216" s="1742"/>
      <c r="H216" s="1743"/>
      <c r="I216" s="123" t="str">
        <f>IF(MONTH(TABLEAU!$C$216)&lt;10,CONCATENATE(DAY(TABLEAU!$C$216),"/",MONTH(TABLEAU!$C$216),"/",YEAR(TABLEAU!$C$216)),TABLEAU!$C$216)</f>
        <v>13/7/2019</v>
      </c>
      <c r="J216" s="127" t="str">
        <f ca="1">IF(TABLEAU!$E$216="AUJOURD'HUI",TABLEAU!$E$216,"")</f>
        <v/>
      </c>
      <c r="K216" s="1965"/>
      <c r="L216" s="1966"/>
      <c r="M216" s="1966"/>
      <c r="N216" s="1966"/>
      <c r="O216" s="1967"/>
      <c r="P216" s="1983"/>
      <c r="Q216" s="1984"/>
      <c r="R216" s="1984"/>
      <c r="S216" s="1984"/>
      <c r="T216" s="1984"/>
      <c r="U216" s="1984"/>
      <c r="V216" s="1985"/>
      <c r="W216" s="1806"/>
      <c r="X216" s="1807"/>
      <c r="Y216" s="1807"/>
      <c r="Z216" s="1808"/>
      <c r="AA216" s="1777"/>
      <c r="AB216" s="1778"/>
      <c r="AC216" s="1778"/>
      <c r="AD216" s="1778"/>
      <c r="AE216" s="1779"/>
      <c r="AF216" s="1646"/>
      <c r="AG216" s="1647"/>
      <c r="AH216" s="1647"/>
      <c r="AI216" s="1648"/>
      <c r="AJ216" s="1457"/>
      <c r="AK216" s="1457"/>
      <c r="AL216" s="1797"/>
      <c r="AM216" s="1798"/>
      <c r="AN216" s="1798"/>
      <c r="AO216" s="1798"/>
      <c r="AP216" s="1798"/>
      <c r="AQ216" s="1798"/>
      <c r="AR216" s="1798"/>
      <c r="AS216" s="1798"/>
      <c r="AT216" s="1798"/>
      <c r="AU216" s="1798"/>
      <c r="AV216" s="1798"/>
      <c r="AW216" s="1798"/>
      <c r="AX216" s="1799"/>
      <c r="AY216" s="1489"/>
      <c r="AZ216" s="2576"/>
      <c r="BA216" s="2577"/>
    </row>
    <row r="217" spans="1:53" ht="17.100000000000001" customHeight="1">
      <c r="A217" s="614" t="str">
        <f ca="1">SUBSTITUTE(SUBSTITUTE(SUBSTITUTE(TABLEAU!$D$227," &amp; ",""),"MOIS DANS","MOISDANS"),"1 JOUR","1 JOUR")</f>
        <v>3 ANS5 MOIS9 JOURS6H00</v>
      </c>
      <c r="B217" s="1347" t="s">
        <v>128</v>
      </c>
      <c r="C217" s="1348">
        <f ca="1">DATE(ANNEE,7,14)</f>
        <v>43660</v>
      </c>
      <c r="D217" s="1349" t="str">
        <f ca="1">LOOKUP(WEEKDAY(TABLEAU!$C$217),SEMAINE)</f>
        <v>DIMANCHE</v>
      </c>
      <c r="E217" s="1350" t="str">
        <f ca="1">UPPER(SUBSTITUTE(IF(TABLEAU!$C$217-A=0,"AUJOURD'HUI",IF(TABLEAU!$C$217-A=-1,"#DEPASSE DEPUIS HIER#",IF(TABLEAU!$C$217-A&lt;1,CONCATENATE("#DEPASSE DEPUIS ",A-TABLEAU!$C$217," JOURS#"),IF(TABLEAU!$C$217-A=0,"AUJOURD'HUI",CONCATENATE("DANS ",TABLEAU!$C$217-A," JOURS"))))),"DANS 1 JOURS","DEMAIN"))</f>
        <v>#DEPASSE DEPUIS 111 JOURS#</v>
      </c>
      <c r="F217" s="1213"/>
      <c r="G217" s="1742"/>
      <c r="H217" s="1743"/>
      <c r="I217" s="131" t="str">
        <f ca="1">IF(MONTH(TABLEAU!$C$217)&lt;10,CONCATENATE(DAY(TABLEAU!$C$217),"/",MONTH(TABLEAU!$C$217),"/",YEAR(TABLEAU!$C$217)),TABLEAU!$C$217)</f>
        <v>14/7/2019</v>
      </c>
      <c r="J217" s="133" t="str">
        <f ca="1">IF(TABLEAU!$E$217="AUJOURD'HUI",TABLEAU!$E$217,"")</f>
        <v/>
      </c>
      <c r="K217" s="1965"/>
      <c r="L217" s="1966"/>
      <c r="M217" s="1966"/>
      <c r="N217" s="1966"/>
      <c r="O217" s="1967"/>
      <c r="P217" s="1983"/>
      <c r="Q217" s="1984"/>
      <c r="R217" s="1984"/>
      <c r="S217" s="1984"/>
      <c r="T217" s="1984"/>
      <c r="U217" s="1984"/>
      <c r="V217" s="1985"/>
      <c r="W217" s="1806"/>
      <c r="X217" s="1807"/>
      <c r="Y217" s="1807"/>
      <c r="Z217" s="1808"/>
      <c r="AA217" s="1777"/>
      <c r="AB217" s="1778"/>
      <c r="AC217" s="1778"/>
      <c r="AD217" s="1778"/>
      <c r="AE217" s="1779"/>
      <c r="AF217" s="1646"/>
      <c r="AG217" s="1647"/>
      <c r="AH217" s="1647"/>
      <c r="AI217" s="1648"/>
      <c r="AJ217" s="1457"/>
      <c r="AK217" s="1457"/>
      <c r="AL217" s="1797"/>
      <c r="AM217" s="1798"/>
      <c r="AN217" s="1798"/>
      <c r="AO217" s="1798"/>
      <c r="AP217" s="1798"/>
      <c r="AQ217" s="1798"/>
      <c r="AR217" s="1798"/>
      <c r="AS217" s="1798"/>
      <c r="AT217" s="1798"/>
      <c r="AU217" s="1798"/>
      <c r="AV217" s="1798"/>
      <c r="AW217" s="1798"/>
      <c r="AX217" s="1799"/>
      <c r="AY217" s="1489"/>
      <c r="AZ217" s="2576"/>
      <c r="BA217" s="2577"/>
    </row>
    <row r="218" spans="1:53" ht="17.100000000000001" customHeight="1">
      <c r="A218" s="614" t="str">
        <f ca="1">SUBSTITUTE(BBB,"MOISDANS","MOIS DANS")</f>
        <v>3 ANS5 MOIS9 JOURS6H00</v>
      </c>
      <c r="B218" s="254" t="s">
        <v>114</v>
      </c>
      <c r="C218" s="255">
        <f ca="1">DATE(ANNEE,8,15)</f>
        <v>43692</v>
      </c>
      <c r="D218" s="256" t="str">
        <f ca="1">LOOKUP(WEEKDAY(TABLEAU!$C$218),SEMAINE)</f>
        <v>JEUDI</v>
      </c>
      <c r="E218" s="458" t="str">
        <f ca="1">UPPER(SUBSTITUTE(IF(TABLEAU!$C$218-A=0,"AUJOURD'HUI",IF(TABLEAU!$C$218-A=-1,"#DEPASSE DEPUIS HIER#",IF(TABLEAU!$C$218-A&lt;1,CONCATENATE("#DEPASSE DEPUIS ",A-TABLEAU!$C$218," JOURS#"),IF(TABLEAU!$C$218-A=0,"AUJOURD'HUI",CONCATENATE("DANS ",TABLEAU!$C$218-A," JOURS"))))),"DANS 1 JOURS","DEMAIN"))</f>
        <v>#DEPASSE DEPUIS 79 JOURS#</v>
      </c>
      <c r="F218" s="1213"/>
      <c r="G218" s="1742"/>
      <c r="H218" s="1743"/>
      <c r="I218" s="123" t="str">
        <f ca="1">IF(MONTH(TABLEAU!$C$218)&lt;10,CONCATENATE(DAY(TABLEAU!$C$218),"/",MONTH(TABLEAU!$C$218),"/",YEAR(TABLEAU!$C$218)),TABLEAU!$C$218)</f>
        <v>15/8/2019</v>
      </c>
      <c r="J218" s="127" t="str">
        <f ca="1">IF(TABLEAU!$E$218="AUJOURD'HUI",TABLEAU!$E$218,"")</f>
        <v/>
      </c>
      <c r="K218" s="1965"/>
      <c r="L218" s="1966"/>
      <c r="M218" s="1966"/>
      <c r="N218" s="1966"/>
      <c r="O218" s="1967"/>
      <c r="P218" s="1983"/>
      <c r="Q218" s="1984"/>
      <c r="R218" s="1984"/>
      <c r="S218" s="1984"/>
      <c r="T218" s="1984"/>
      <c r="U218" s="1984"/>
      <c r="V218" s="1985"/>
      <c r="W218" s="1806"/>
      <c r="X218" s="1807"/>
      <c r="Y218" s="1807"/>
      <c r="Z218" s="1808"/>
      <c r="AA218" s="1777"/>
      <c r="AB218" s="1778"/>
      <c r="AC218" s="1778"/>
      <c r="AD218" s="1778"/>
      <c r="AE218" s="1779"/>
      <c r="AF218" s="1646"/>
      <c r="AG218" s="1647"/>
      <c r="AH218" s="1647"/>
      <c r="AI218" s="1648"/>
      <c r="AJ218" s="1457"/>
      <c r="AK218" s="1457"/>
      <c r="AL218" s="1797"/>
      <c r="AM218" s="1798"/>
      <c r="AN218" s="1798"/>
      <c r="AO218" s="1798"/>
      <c r="AP218" s="1798"/>
      <c r="AQ218" s="1798"/>
      <c r="AR218" s="1798"/>
      <c r="AS218" s="1798"/>
      <c r="AT218" s="1798"/>
      <c r="AU218" s="1798"/>
      <c r="AV218" s="1798"/>
      <c r="AW218" s="1798"/>
      <c r="AX218" s="1799"/>
      <c r="AY218" s="1489"/>
      <c r="AZ218" s="2576"/>
      <c r="BA218" s="2577"/>
    </row>
    <row r="219" spans="1:53" ht="17.100000000000001" customHeight="1">
      <c r="A219" s="614" t="str">
        <f ca="1">SUBSTITUTE(CCC,"AN","AN ")</f>
        <v>3 AN S5 MOIS9 JOURS6H00</v>
      </c>
      <c r="B219" s="1347" t="s">
        <v>132</v>
      </c>
      <c r="C219" s="1348">
        <f ca="1">DATE(ANNEE,9,8)</f>
        <v>43716</v>
      </c>
      <c r="D219" s="1349" t="str">
        <f ca="1">LOOKUP(WEEKDAY(TABLEAU!$C$219),SEMAINE)</f>
        <v>DIMANCHE</v>
      </c>
      <c r="E219" s="1350" t="str">
        <f ca="1">UPPER(SUBSTITUTE(IF(TABLEAU!$C$219-A=0,"AUJOURD'HUI",IF(TABLEAU!$C$219-A=-1,"#DEPASSE DEPUIS HIER#",IF(TABLEAU!$C$219-A&lt;1,CONCATENATE("#DEPASSE DEPUIS ",A-TABLEAU!$C$219," JOURS#"),IF(TABLEAU!$C$219-A=0,"AUJOURD'HUI",CONCATENATE("DANS ",TABLEAU!$C$219-A," JOURS"))))),"DANS 1 JOURS","DEMAIN"))</f>
        <v>#DEPASSE DEPUIS 55 JOURS#</v>
      </c>
      <c r="F219" s="1213"/>
      <c r="G219" s="1742"/>
      <c r="H219" s="1743"/>
      <c r="I219" s="131" t="str">
        <f ca="1">IF(MONTH(TABLEAU!$C$219)&lt;10,CONCATENATE(DAY(TABLEAU!$C$219),"/",MONTH(TABLEAU!$C$219),"/",YEAR(TABLEAU!$C$219)),TABLEAU!$C$219)</f>
        <v>8/9/2019</v>
      </c>
      <c r="J219" s="133" t="str">
        <f ca="1">IF(TABLEAU!$E$219="AUJOURD'HUI",TABLEAU!$E$219,"")</f>
        <v/>
      </c>
      <c r="K219" s="1965"/>
      <c r="L219" s="1966"/>
      <c r="M219" s="1966"/>
      <c r="N219" s="1966"/>
      <c r="O219" s="1967"/>
      <c r="P219" s="1983"/>
      <c r="Q219" s="1984"/>
      <c r="R219" s="1984"/>
      <c r="S219" s="1984"/>
      <c r="T219" s="1984"/>
      <c r="U219" s="1984"/>
      <c r="V219" s="1985"/>
      <c r="W219" s="1806"/>
      <c r="X219" s="1807"/>
      <c r="Y219" s="1807"/>
      <c r="Z219" s="1808"/>
      <c r="AA219" s="1777"/>
      <c r="AB219" s="1778"/>
      <c r="AC219" s="1778"/>
      <c r="AD219" s="1778"/>
      <c r="AE219" s="1779"/>
      <c r="AF219" s="1646"/>
      <c r="AG219" s="1647"/>
      <c r="AH219" s="1647"/>
      <c r="AI219" s="1648"/>
      <c r="AJ219" s="1457"/>
      <c r="AK219" s="1457"/>
      <c r="AL219" s="1797"/>
      <c r="AM219" s="1798"/>
      <c r="AN219" s="1798"/>
      <c r="AO219" s="1798"/>
      <c r="AP219" s="1798"/>
      <c r="AQ219" s="1798"/>
      <c r="AR219" s="1798"/>
      <c r="AS219" s="1798"/>
      <c r="AT219" s="1798"/>
      <c r="AU219" s="1798"/>
      <c r="AV219" s="1798"/>
      <c r="AW219" s="1798"/>
      <c r="AX219" s="1799"/>
      <c r="AY219" s="1489"/>
      <c r="AZ219" s="2576"/>
      <c r="BA219" s="2577"/>
    </row>
    <row r="220" spans="1:53" ht="17.100000000000001" customHeight="1">
      <c r="A220" s="868"/>
      <c r="B220" s="254" t="s">
        <v>135</v>
      </c>
      <c r="C220" s="255">
        <f ca="1">DATE(ANNEE,11,1)</f>
        <v>43770</v>
      </c>
      <c r="D220" s="256" t="str">
        <f ca="1">LOOKUP(WEEKDAY(TABLEAU!$C$220),SEMAINE)</f>
        <v>VENDREDI</v>
      </c>
      <c r="E220" s="458" t="str">
        <f ca="1">UPPER(SUBSTITUTE(IF(TABLEAU!$C$220-A=0,"AUJOURD'HUI",IF(TABLEAU!$C$220-A=-1,"#DEPASSE DEPUIS HIER#",IF(TABLEAU!$C$220-A&lt;1,CONCATENATE("#DEPASSE DEPUIS ",A-TABLEAU!$C$220," JOURS#"),IF(TABLEAU!$C$220-A=0,"AUJOURD'HUI",CONCATENATE("DANS ",TABLEAU!$C$220-A," JOURS"))))),"DANS 1 JOURS","DEMAIN"))</f>
        <v>#DEPASSE DEPUIS HIER#</v>
      </c>
      <c r="F220" s="1213"/>
      <c r="G220" s="1742"/>
      <c r="H220" s="1743"/>
      <c r="I220" s="123">
        <f ca="1">IF(MONTH(TABLEAU!$C$220)&lt;10,CONCATENATE(DAY(TABLEAU!$C$220),"/",MONTH(TABLEAU!$C$220),"/",YEAR(TABLEAU!$C$220)),TABLEAU!$C$220)</f>
        <v>43770</v>
      </c>
      <c r="J220" s="127" t="str">
        <f ca="1">IF(TABLEAU!$E$220="AUJOURD'HUI",TABLEAU!$E$220,"")</f>
        <v/>
      </c>
      <c r="K220" s="1965"/>
      <c r="L220" s="1966"/>
      <c r="M220" s="1966"/>
      <c r="N220" s="1966"/>
      <c r="O220" s="1967"/>
      <c r="P220" s="1983"/>
      <c r="Q220" s="1984"/>
      <c r="R220" s="1984"/>
      <c r="S220" s="1984"/>
      <c r="T220" s="1984"/>
      <c r="U220" s="1984"/>
      <c r="V220" s="1985"/>
      <c r="W220" s="1806"/>
      <c r="X220" s="1807"/>
      <c r="Y220" s="1807"/>
      <c r="Z220" s="1808"/>
      <c r="AA220" s="1777"/>
      <c r="AB220" s="1778"/>
      <c r="AC220" s="1778"/>
      <c r="AD220" s="1778"/>
      <c r="AE220" s="1779"/>
      <c r="AF220" s="1646"/>
      <c r="AG220" s="1647"/>
      <c r="AH220" s="1647"/>
      <c r="AI220" s="1648"/>
      <c r="AJ220" s="1457"/>
      <c r="AK220" s="1457"/>
      <c r="AL220" s="1797"/>
      <c r="AM220" s="1798"/>
      <c r="AN220" s="1798"/>
      <c r="AO220" s="1798"/>
      <c r="AP220" s="1798"/>
      <c r="AQ220" s="1798"/>
      <c r="AR220" s="1798"/>
      <c r="AS220" s="1798"/>
      <c r="AT220" s="1798"/>
      <c r="AU220" s="1798"/>
      <c r="AV220" s="1798"/>
      <c r="AW220" s="1798"/>
      <c r="AX220" s="1799"/>
      <c r="AY220" s="1489"/>
      <c r="AZ220" s="2576"/>
      <c r="BA220" s="2577"/>
    </row>
    <row r="221" spans="1:53" ht="17.100000000000001" customHeight="1">
      <c r="A221" s="867"/>
      <c r="B221" s="1347" t="s">
        <v>137</v>
      </c>
      <c r="C221" s="1348">
        <f ca="1">DATE(ANNEE,11,11)</f>
        <v>43780</v>
      </c>
      <c r="D221" s="1349" t="str">
        <f ca="1">LOOKUP(WEEKDAY(TABLEAU!$C$221),SEMAINE)</f>
        <v>LUNDI</v>
      </c>
      <c r="E221" s="1350" t="str">
        <f ca="1">UPPER(SUBSTITUTE(IF(TABLEAU!$C$221-A=0,"AUJOURD'HUI",IF(TABLEAU!$C$221-A=-1,"#DEPASSE DEPUIS HIER#",IF(TABLEAU!$C$221-A&lt;1,CONCATENATE("#DEPASSE DEPUIS ",A-TABLEAU!$C$221," JOURS#"),IF(TABLEAU!$C$221-A=0,"AUJOURD'HUI",CONCATENATE("DANS ",TABLEAU!$C$221-A," JOURS"))))),"DANS 1 JOURS","DEMAIN"))</f>
        <v>DANS 9 JOURS</v>
      </c>
      <c r="F221" s="1213"/>
      <c r="G221" s="1742"/>
      <c r="H221" s="1743"/>
      <c r="I221" s="131">
        <f ca="1">IF(MONTH(TABLEAU!$C$221)&lt;10,CONCATENATE(DAY(TABLEAU!$C$221),"/",MONTH(TABLEAU!$C$221),"/",YEAR(TABLEAU!$C$221)),TABLEAU!$C$221)</f>
        <v>43780</v>
      </c>
      <c r="J221" s="133" t="str">
        <f ca="1">IF(TABLEAU!$E$221="AUJOURD'HUI",TABLEAU!$E$221,"")</f>
        <v/>
      </c>
      <c r="K221" s="1965"/>
      <c r="L221" s="1966"/>
      <c r="M221" s="1966"/>
      <c r="N221" s="1966"/>
      <c r="O221" s="1967"/>
      <c r="P221" s="1983"/>
      <c r="Q221" s="1984"/>
      <c r="R221" s="1984"/>
      <c r="S221" s="1984"/>
      <c r="T221" s="1984"/>
      <c r="U221" s="1984"/>
      <c r="V221" s="1985"/>
      <c r="W221" s="1806"/>
      <c r="X221" s="1807"/>
      <c r="Y221" s="1807"/>
      <c r="Z221" s="1808"/>
      <c r="AA221" s="1777"/>
      <c r="AB221" s="1778"/>
      <c r="AC221" s="1778"/>
      <c r="AD221" s="1778"/>
      <c r="AE221" s="1779"/>
      <c r="AF221" s="1646"/>
      <c r="AG221" s="1647"/>
      <c r="AH221" s="1647"/>
      <c r="AI221" s="1648"/>
      <c r="AJ221" s="1457"/>
      <c r="AK221" s="1457"/>
      <c r="AL221" s="1797"/>
      <c r="AM221" s="1798"/>
      <c r="AN221" s="1798"/>
      <c r="AO221" s="1798"/>
      <c r="AP221" s="1798"/>
      <c r="AQ221" s="1798"/>
      <c r="AR221" s="1798"/>
      <c r="AS221" s="1798"/>
      <c r="AT221" s="1798"/>
      <c r="AU221" s="1798"/>
      <c r="AV221" s="1798"/>
      <c r="AW221" s="1798"/>
      <c r="AX221" s="1799"/>
      <c r="AY221" s="1489"/>
      <c r="AZ221" s="2576"/>
      <c r="BA221" s="2577"/>
    </row>
    <row r="222" spans="1:53" ht="17.100000000000001" customHeight="1">
      <c r="A222" s="652" t="str">
        <f ca="1">SUBSTITUTE(SUBSTITUTE(SUBSTITUTE(SUBSTITUTE(SUBSTITUTE(TV.DEPAS,"1 PROG EST ",""),"2 PROG SONT ",""),"3 PROG SONT ",""),"4 PROG SONT ",""),CONCATENATE(DATE.RDV.TV," "),"")</f>
        <v/>
      </c>
      <c r="B222" s="254" t="s">
        <v>115</v>
      </c>
      <c r="C222" s="255">
        <f ca="1">DATE(ANNEE,12,24)</f>
        <v>43823</v>
      </c>
      <c r="D222" s="256" t="str">
        <f ca="1">LOOKUP(WEEKDAY(TABLEAU!$C$222),SEMAINE)</f>
        <v>MARDI</v>
      </c>
      <c r="E222" s="458" t="str">
        <f ca="1">UPPER(SUBSTITUTE(IF(TABLEAU!$C$222-A=0,"AUJOURD'HUI",IF(TABLEAU!$C$222-A=-1,"#DEPASSE DEPUIS HIER#",IF(TABLEAU!$C$222-A&lt;1,CONCATENATE("#DEPASSE DEPUIS ",A-TABLEAU!$C$222," JOURS#"),IF(TABLEAU!$C$222-A=0,"AUJOURD'HUI",CONCATENATE("DANS ",TABLEAU!$C$222-A," JOURS"))))),"DANS 1 JOURS","DEMAIN"))</f>
        <v>DANS 52 JOURS</v>
      </c>
      <c r="F222" s="1215"/>
      <c r="G222" s="1742"/>
      <c r="H222" s="1743"/>
      <c r="I222" s="123">
        <f ca="1">IF(MONTH(TABLEAU!$C$222)&lt;10,CONCATENATE(DAY(TABLEAU!$C$222),"/",MONTH(TABLEAU!$C$222),"/",YEAR(TABLEAU!$C$222)),TABLEAU!$C$222)</f>
        <v>43823</v>
      </c>
      <c r="J222" s="127" t="str">
        <f ca="1">IF(TABLEAU!$E$222="AUJOURD'HUI",TABLEAU!$E$222,"")</f>
        <v/>
      </c>
      <c r="K222" s="1965"/>
      <c r="L222" s="1966"/>
      <c r="M222" s="1966"/>
      <c r="N222" s="1966"/>
      <c r="O222" s="1967"/>
      <c r="P222" s="1983"/>
      <c r="Q222" s="1984"/>
      <c r="R222" s="1984"/>
      <c r="S222" s="1984"/>
      <c r="T222" s="1984"/>
      <c r="U222" s="1984"/>
      <c r="V222" s="1985"/>
      <c r="W222" s="1806"/>
      <c r="X222" s="1807"/>
      <c r="Y222" s="1807"/>
      <c r="Z222" s="1808"/>
      <c r="AA222" s="1777"/>
      <c r="AB222" s="1778"/>
      <c r="AC222" s="1778"/>
      <c r="AD222" s="1778"/>
      <c r="AE222" s="1779"/>
      <c r="AF222" s="1646"/>
      <c r="AG222" s="1647"/>
      <c r="AH222" s="1647"/>
      <c r="AI222" s="1648"/>
      <c r="AJ222" s="1457"/>
      <c r="AK222" s="1457"/>
      <c r="AL222" s="1797"/>
      <c r="AM222" s="1798"/>
      <c r="AN222" s="1798"/>
      <c r="AO222" s="1798"/>
      <c r="AP222" s="1798"/>
      <c r="AQ222" s="1798"/>
      <c r="AR222" s="1798"/>
      <c r="AS222" s="1798"/>
      <c r="AT222" s="1798"/>
      <c r="AU222" s="1798"/>
      <c r="AV222" s="1798"/>
      <c r="AW222" s="1798"/>
      <c r="AX222" s="1799"/>
      <c r="AY222" s="1489"/>
      <c r="AZ222" s="2576"/>
      <c r="BA222" s="2577"/>
    </row>
    <row r="223" spans="1:53" ht="17.100000000000001" customHeight="1">
      <c r="A223" s="474" t="str">
        <f ca="1">IF(AND(RESULT&lt;&gt;"",TV&lt;&gt;""),CONCATENATE(RESULT," &amp; ",TV),IF(AND(RESULT&lt;&gt;"",TV=""),RESULT,IF(AND(RESULT="",TV&lt;&gt;""),TV,"")))</f>
        <v>#DANS 7H45 (A 20H45): [CHAMPIONNAT]# &amp; #DANS 7H40 (A 20H40 SUR AB1): [SMACKDOWN]#</v>
      </c>
      <c r="B223" s="1347" t="s">
        <v>139</v>
      </c>
      <c r="C223" s="1348">
        <f ca="1">DATE(ANNEE,12,25)</f>
        <v>43824</v>
      </c>
      <c r="D223" s="1349" t="str">
        <f ca="1">LOOKUP(WEEKDAY(TABLEAU!$C$223),SEMAINE)</f>
        <v>MERCREDI</v>
      </c>
      <c r="E223" s="1350" t="str">
        <f ca="1">UPPER(SUBSTITUTE(IF(TABLEAU!$C$223-A=0,"AUJOURD'HUI",IF(TABLEAU!$C$223-A=-1,"#DEPASSE DEPUIS HIER#",IF(TABLEAU!$C$223-A&lt;1,CONCATENATE("#DEPASSE DEPUIS ",A-TABLEAU!$C$223," JOURS#"),IF(TABLEAU!$C$223-A=0,"AUJOURD'HUI",CONCATENATE("DANS ",TABLEAU!$C$223-A," JOURS"))))),"DANS 1 JOURS","DEMAIN"))</f>
        <v>DANS 53 JOURS</v>
      </c>
      <c r="F223" s="1213"/>
      <c r="G223" s="1742"/>
      <c r="H223" s="1743"/>
      <c r="I223" s="131">
        <f ca="1">IF(MONTH(TABLEAU!$C$223)&lt;10,CONCATENATE(DAY(TABLEAU!$C$223),"/",MONTH(TABLEAU!$C$223),"/",YEAR(TABLEAU!$C$223)),TABLEAU!$C$223)</f>
        <v>43824</v>
      </c>
      <c r="J223" s="133" t="str">
        <f ca="1">IF(TABLEAU!$E$223="AUJOURD'HUI",TABLEAU!$E$223,"")</f>
        <v/>
      </c>
      <c r="K223" s="1965"/>
      <c r="L223" s="1966"/>
      <c r="M223" s="1966"/>
      <c r="N223" s="1966"/>
      <c r="O223" s="1967"/>
      <c r="P223" s="1983"/>
      <c r="Q223" s="1984"/>
      <c r="R223" s="1984"/>
      <c r="S223" s="1984"/>
      <c r="T223" s="1984"/>
      <c r="U223" s="1984"/>
      <c r="V223" s="1985"/>
      <c r="W223" s="1806"/>
      <c r="X223" s="1807"/>
      <c r="Y223" s="1807"/>
      <c r="Z223" s="1808"/>
      <c r="AA223" s="1777"/>
      <c r="AB223" s="1778"/>
      <c r="AC223" s="1778"/>
      <c r="AD223" s="1778"/>
      <c r="AE223" s="1779"/>
      <c r="AF223" s="1646"/>
      <c r="AG223" s="1647"/>
      <c r="AH223" s="1647"/>
      <c r="AI223" s="1648"/>
      <c r="AJ223" s="1457"/>
      <c r="AK223" s="1457"/>
      <c r="AL223" s="1797"/>
      <c r="AM223" s="1798"/>
      <c r="AN223" s="1798"/>
      <c r="AO223" s="1798"/>
      <c r="AP223" s="1798"/>
      <c r="AQ223" s="1798"/>
      <c r="AR223" s="1798"/>
      <c r="AS223" s="1798"/>
      <c r="AT223" s="1798"/>
      <c r="AU223" s="1798"/>
      <c r="AV223" s="1798"/>
      <c r="AW223" s="1798"/>
      <c r="AX223" s="1799"/>
      <c r="AY223" s="1489"/>
      <c r="AZ223" s="2576"/>
      <c r="BA223" s="2577"/>
    </row>
    <row r="224" spans="1:53" ht="17.100000000000001" customHeight="1" thickBot="1">
      <c r="A224" s="615" t="str">
        <f ca="1">SUBSTITUTE(TABLEAU!$A$217,TABLEAU!$F$227,"")</f>
        <v>3 ANS5 MOIS9 JOURS</v>
      </c>
      <c r="B224" s="254" t="s">
        <v>140</v>
      </c>
      <c r="C224" s="255">
        <f ca="1">DATE(ANNEE,12,31)</f>
        <v>43830</v>
      </c>
      <c r="D224" s="256" t="str">
        <f ca="1">LOOKUP(WEEKDAY(TABLEAU!$C$224),SEMAINE)</f>
        <v>MARDI</v>
      </c>
      <c r="E224" s="458" t="str">
        <f ca="1">UPPER(SUBSTITUTE(IF(TABLEAU!$C$224-A=0,"AUJOURD'HUI",IF(TABLEAU!$C$224-A=-1,"#DEPASSE DEPUIS HIER#",IF(TABLEAU!$C$224-A&lt;1,CONCATENATE("#DEPASSE DEPUIS ",A-TABLEAU!$C$224," JOURS#"),IF(TABLEAU!$C$224-A=0,"AUJOURD'HUI",CONCATENATE("DANS ",TABLEAU!$C$224-A," JOURS"))))),"DANS 1 JOURS","DEMAIN"))</f>
        <v>DANS 59 JOURS</v>
      </c>
      <c r="F224" s="1496"/>
      <c r="G224" s="1742"/>
      <c r="H224" s="1743"/>
      <c r="I224" s="123">
        <f ca="1">IF(MONTH(TABLEAU!$C$224)&lt;10,CONCATENATE(DAY(TABLEAU!$C$224),"/",MONTH(TABLEAU!$C$224),"/",YEAR(TABLEAU!$C$224)),TABLEAU!$C$224)</f>
        <v>43830</v>
      </c>
      <c r="J224" s="127" t="str">
        <f ca="1">IF(TABLEAU!$E$224="AUJOURD'HUI",TABLEAU!$E$224,"")</f>
        <v/>
      </c>
      <c r="K224" s="1968"/>
      <c r="L224" s="1969"/>
      <c r="M224" s="1969"/>
      <c r="N224" s="1969"/>
      <c r="O224" s="1970"/>
      <c r="P224" s="1986"/>
      <c r="Q224" s="1987"/>
      <c r="R224" s="1987"/>
      <c r="S224" s="1987"/>
      <c r="T224" s="1987"/>
      <c r="U224" s="1987"/>
      <c r="V224" s="1988"/>
      <c r="W224" s="1809"/>
      <c r="X224" s="1810"/>
      <c r="Y224" s="1810"/>
      <c r="Z224" s="1811"/>
      <c r="AA224" s="1780"/>
      <c r="AB224" s="1781"/>
      <c r="AC224" s="1781"/>
      <c r="AD224" s="1781"/>
      <c r="AE224" s="1782"/>
      <c r="AF224" s="1649"/>
      <c r="AG224" s="1650"/>
      <c r="AH224" s="1650"/>
      <c r="AI224" s="1651"/>
      <c r="AJ224" s="1458"/>
      <c r="AK224" s="1458"/>
      <c r="AL224" s="1800"/>
      <c r="AM224" s="1801"/>
      <c r="AN224" s="1801"/>
      <c r="AO224" s="1801"/>
      <c r="AP224" s="1801"/>
      <c r="AQ224" s="1801"/>
      <c r="AR224" s="1801"/>
      <c r="AS224" s="1801"/>
      <c r="AT224" s="1801"/>
      <c r="AU224" s="1801"/>
      <c r="AV224" s="1801"/>
      <c r="AW224" s="1801"/>
      <c r="AX224" s="1802"/>
      <c r="AY224" s="1493"/>
      <c r="AZ224" s="2570"/>
      <c r="BA224" s="2571"/>
    </row>
    <row r="225" spans="1:53" ht="120.95" customHeight="1" thickTop="1">
      <c r="A225" s="992" t="str">
        <f ca="1">IF(DATE.FICHIER.A.OUVRIR&gt;0,"",TABLEAU!$B$33)</f>
        <v>#DANS 7H45 (A 20H45): [CHAMPIONNAT]#</v>
      </c>
      <c r="B225" s="1940">
        <v>42514.291666666664</v>
      </c>
      <c r="C225" s="1941"/>
      <c r="D225" s="1942" t="str">
        <f ca="1">UPPER(SUBSTITUTE(SUBSTITUTE(SUBSTITUTE(SUBSTITUTE(SUBSTITUTE(SUBSTITUTE(IF(AND(DAY(TABLEAU!$B$225)=DAY(TABLEAU!$B$226),HOUR(TABLEAU!$B$225)&gt;HOUR(TABLEAU!$B$226)),CONCATENATE(TABLEAU!$H$227,DATEDIF(TABLEAU!$B$225,TABLEAU!$B$226,"YM")&amp;" MOIS"),SUBSTITUTE(SUBSTITUTE(SUBSTITUTE(SUBSTITUTE(SUBSTITUTE(SUBSTITUTE(SUBSTITUTE(SUBSTITUTE(SUBSTITUTE(SUBSTITUTE(SUBSTITUTE(SUBSTITUTE(CONCATENATE("[",DATEDIF(TABLEAU!$B$225,TABLEAU!$B$226,"Y")&amp;" ANS &amp; "&amp;DATEDIF(TABLEAU!$B$225,TABLEAU!$B$226,"YM")&amp;" MOIS &amp; "&amp;DATEDIF(TABLEAU!$B$225,TABLEAU!$B$226,"MD")&amp;" JOURS]"),"[1 ANS","[1 AN")," 0 MOIS","")," , ET ",", "),"[0 ANS, ","["),", 0 JOURS",""),"[0 ANS , ","["),TABLEAU!$F$229,TABLEAU!$G$229)," ,",","),", 1 JOURS",", 1 JOUR"),"[1 JOURS","[1 JOUR"),"[0 JOURS]","")," ET 0 JOURS",""))," 1 JOURS"," 1 JOUR")," &amp; 0 JOURS","")," &amp; &amp; "," &amp; "),"1 AN &amp; 0 MOIS","2 ANS")," &amp;]","]")," &amp; 0 MOIS",""))</f>
        <v>[3 ANS &amp; 5 MOIS &amp; 9 JOURS]</v>
      </c>
      <c r="E225" s="1943"/>
      <c r="F225" s="12">
        <f ca="1">TABLEAU!$H$226-(INT(INT(TABLEAU!$H$226/1000)*1000))</f>
        <v>742</v>
      </c>
      <c r="G225" s="890" t="str">
        <f ca="1">SUBSTITUTE(IF(TABLEAU!$F$225&gt;10,CONCATENATE("0",TABLEAU!$F$225,"H",TABLEAU!$G$228,"''"),CONCATENATE("00",TABLEAU!$F$225,"H",TABLEAU!$G$228)),CONCATENATE(0,TABLEAU!$H$226),TABLEAU!$H$226)</f>
        <v>0742H00''</v>
      </c>
      <c r="H225" s="886" t="str">
        <f ca="1">IF(INT(TABLEAU!$H$226/1000)&gt;0,CONCATENATE("''",INT(TABLEAU!$H$226/1000),"."),"")</f>
        <v>''29.</v>
      </c>
      <c r="I225" s="1927" t="str">
        <f ca="1">UPPER(SUBSTITUTE(SUBSTITUTE(SUBSTITUTE(SUBSTITUTE(IF(TABLEAU!$H$229="1 JOURS",CONCATENATE("#TABAC= ",TABLEAU!$D$226," (",TABLEAU!$D$227,")#"),SUBSTITUTE(SUBSTITUTE(CONCATENATE("#ARRET DU TABAC= ",TABLEAU!$D$226," OU ",TABLEAU!$H$229," (",TABLEAU!$D$227,")#"),"( &amp; ","(")," ET ",", ")),", "," &amp; ")," &amp; 0 JOURS",""),"1 AN &amp; 0 MOIS","2 ANS")," &amp; &amp; "," &amp; "))</f>
        <v>#ARRET DU TABAC= ''29.742H00'' OU 1257 JOURS (3 ANS &amp; 5 MOIS &amp; 9 JOURS &amp; 6H00)#</v>
      </c>
      <c r="J225" s="1928"/>
      <c r="K225" s="1928"/>
      <c r="L225" s="1928"/>
      <c r="M225" s="1928"/>
      <c r="N225" s="1928"/>
      <c r="O225" s="1929"/>
      <c r="P225" s="1936"/>
      <c r="Q225" s="1742"/>
      <c r="R225" s="1742"/>
      <c r="S225" s="1742"/>
      <c r="T225" s="1742"/>
      <c r="U225" s="1742"/>
      <c r="V225" s="1743"/>
      <c r="W225" s="1774" t="str">
        <f ca="1">UPPER(SUBSTITUTE(SUBSTITUTE(SUBSTITUTE(SUBSTITUTE(TABLEAU!$W$204,"{1 PROG}= ",""),"{1 RDV}= ","")," &amp; &amp; "," &amp; "),"##","# &amp; #"))</f>
        <v/>
      </c>
      <c r="X225" s="1775"/>
      <c r="Y225" s="1775"/>
      <c r="Z225" s="1776"/>
      <c r="AA225" s="1936"/>
      <c r="AB225" s="1742"/>
      <c r="AC225" s="1742"/>
      <c r="AD225" s="1742"/>
      <c r="AE225" s="1743"/>
      <c r="AF225" s="1765"/>
      <c r="AG225" s="1766"/>
      <c r="AH225" s="1766"/>
      <c r="AI225" s="1767"/>
      <c r="AJ225" s="1474"/>
      <c r="AK225" s="1474"/>
      <c r="AL225" s="1643"/>
      <c r="AM225" s="1644"/>
      <c r="AN225" s="1644"/>
      <c r="AO225" s="1644"/>
      <c r="AP225" s="1644"/>
      <c r="AQ225" s="1644"/>
      <c r="AR225" s="1644"/>
      <c r="AS225" s="1644"/>
      <c r="AT225" s="1644"/>
      <c r="AU225" s="1644"/>
      <c r="AV225" s="1644"/>
      <c r="AW225" s="1644"/>
      <c r="AX225" s="1645"/>
      <c r="AY225" s="1489"/>
      <c r="AZ225" s="1687"/>
      <c r="BA225" s="1689"/>
    </row>
    <row r="226" spans="1:53" ht="120.95" customHeight="1">
      <c r="A226" s="993" t="str">
        <f>UPPER(TRIM(SUBSTITUTE(IF([3]!MATCH=1520,CONCATENATE("#",TABLEAU!$A$230," (",LOOKUP(WEEKDAY(JOUR.L1),CALENDRIER)," ",DAY(JOUR.L1)," ",LOOKUP(MONTH(JOUR.L1),MOIS)," ",YEAR(A)," A ",HEURE.L1.VERIFIER,"): [NOUVELLE SAISON DE CHAMPIONNAT]#"),IF([3]!MATCH=0,CONCATENATE("#",LOOKUP([3]!LEADER,[3]!TITRE)," GAGNE LE CHAMPIONNAT 2019-20#",SUBSTITUTE(IF(AND(DATE.L1=0,HEURE.L1.VERIFIER=HEURE.MAINTENANT.2),"",IF(DANS.L1.VERIFIER="#DEPASSE#",CONCATENATE(DANS.L1," (",LOOKUP(WEEKDAY(JOUR.L1),CALENDRIER)," ",DAY(JOUR.L1)," ",LOOKUP(MONTH(JOUR.L1),MOIS)," A ",TABLEAU!$F$34,"): [",TABLEAU!$I$19,"]#"),SUBSTITUTE(SUBSTITUTE(SUBSTITUTE(SUBSTITUTE(SUBSTITUTE(SUBSTITUTE(SUBSTITUTE(SUBSTITUTE(SUBSTITUTE(SUBSTITUTE(SUBSTITUTE(CONCATENATE("#",[3]!PPP," [CHAMPIONNAT]#"),"AAA",DANS.L1),[3]!GGG,DANS.JOUR.L1),"# (",CONCATENATE("#",DANS.L1," (")),"#(",CONCATENATE("#",DANS.L1," (")),"(A ",CONCATENATE("(",LOOKUP(WEEKDAY(A+TABLEAU!$D$34),CALENDRIER)," ",DAY(JOUR.L1)," ",LOOKUP(MONTH(JOUR.L1),MOIS)," ",YEAR(JOUR.L1)," A ")),"#DEPASSE #DEPASSE","#DEPASSE"),CONCATENATE(NBA," "),""),"##","#"),"CHAMPIONNAT","L1"),"(A ",CONCATENATE("(",DATE.RDV.TV," A ")),"#DEPASSE DEPUIS #DEPASSE DEPUIS","#DEPASSE DEPUIS"))),"# [CHAMPIONNAT]#","")))),"## [L1]#","#")))</f>
        <v>FAUX</v>
      </c>
      <c r="B226" s="1886">
        <f ca="1">NOW()</f>
        <v>43771.54166412037</v>
      </c>
      <c r="C226" s="1887"/>
      <c r="D226" s="1888" t="str">
        <f ca="1">SUBSTITUTE(IF(LEN(TABLEAU!$G$226)=4,CONCATENATE(TABLEAU!$H$225,TABLEAU!$G$225,"''"),IF(LEN(TABLEAU!$G$226)=5,CONCATENATE(TABLEAU!$H$225,TABLEAU!$F$226,"''"),IF(TABLEAU!$H$226&lt;1000,TABLEAU!$G$226,CONCATENATE(TABLEAU!$H$225,TABLEAU!$G$227,"''")))),"''''","''")</f>
        <v>''29.742H00''</v>
      </c>
      <c r="E226" s="1889"/>
      <c r="F226" s="891" t="str">
        <f ca="1">IF(TABLEAU!$G$225=CONCATENATE("00",TABLEAU!$G$226),CONCATENATE("0",TABLEAU!$G$226),CONCATENATE("0",TABLEAU!$G$226))</f>
        <v>0742H00</v>
      </c>
      <c r="G226" s="887" t="str">
        <f ca="1">UPPER(CONCATENATE(TABLEAU!$H$226-(INT(INT(TABLEAU!$H$226/1000)*1000)),"H",TABLEAU!$G$228))</f>
        <v>742H00</v>
      </c>
      <c r="H226" s="893">
        <f ca="1">TABLEAU!$H$228-HOUR(TABLEAU!$B$225)</f>
        <v>29742</v>
      </c>
      <c r="I226" s="1930"/>
      <c r="J226" s="1931"/>
      <c r="K226" s="1931"/>
      <c r="L226" s="1931"/>
      <c r="M226" s="1931"/>
      <c r="N226" s="1931"/>
      <c r="O226" s="1932"/>
      <c r="P226" s="1936"/>
      <c r="Q226" s="1742"/>
      <c r="R226" s="1742"/>
      <c r="S226" s="1742"/>
      <c r="T226" s="1742"/>
      <c r="U226" s="1742"/>
      <c r="V226" s="1743"/>
      <c r="W226" s="1777"/>
      <c r="X226" s="1778"/>
      <c r="Y226" s="1778"/>
      <c r="Z226" s="1779"/>
      <c r="AA226" s="1936"/>
      <c r="AB226" s="1742"/>
      <c r="AC226" s="1742"/>
      <c r="AD226" s="1742"/>
      <c r="AE226" s="1743"/>
      <c r="AF226" s="1768"/>
      <c r="AG226" s="1769"/>
      <c r="AH226" s="1769"/>
      <c r="AI226" s="1770"/>
      <c r="AJ226" s="1474"/>
      <c r="AK226" s="1474"/>
      <c r="AL226" s="1646"/>
      <c r="AM226" s="1647"/>
      <c r="AN226" s="1647"/>
      <c r="AO226" s="1647"/>
      <c r="AP226" s="1647"/>
      <c r="AQ226" s="1647"/>
      <c r="AR226" s="1647"/>
      <c r="AS226" s="1647"/>
      <c r="AT226" s="1647"/>
      <c r="AU226" s="1647"/>
      <c r="AV226" s="1647"/>
      <c r="AW226" s="1647"/>
      <c r="AX226" s="1648"/>
      <c r="AY226" s="1489"/>
      <c r="AZ226" s="1762"/>
      <c r="BA226" s="1764"/>
    </row>
    <row r="227" spans="1:53" ht="122.45" customHeight="1" thickBot="1">
      <c r="A227" s="994" t="str">
        <f ca="1">SUBSTITUTE(XXX," &amp; "," ")</f>
        <v>3 ANS 5 MOIS 9 JOURS 6H00</v>
      </c>
      <c r="B227" s="2000" t="str">
        <f>UPPER("ARRET DU TABAC")</f>
        <v>ARRET DU TABAC</v>
      </c>
      <c r="C227" s="2001"/>
      <c r="D227" s="1938" t="str">
        <f ca="1">UPPER(SUBSTITUTE(SUBSTITUTE(SUBSTITUTE(SUBSTITUTE(SUBSTITUTE(SUBSTITUTE(IF(AND(DAY(TABLEAU!$B$225)=DAY(TABLEAU!$B$226),HOUR(TABLEAU!$B$225)&gt;HOUR(TABLEAU!$B$226)),CONCATENATE(TABLEAU!$E$228,"= ",TABLEAU!$H$227,DATEDIF(TABLEAU!$B$225,TABLEAU!$B$226,"YM")&amp;" MOIS"),SUBSTITUTE(SUBSTITUTE(SUBSTITUTE(SUBSTITUTE(SUBSTITUTE(SUBSTITUTE(SUBSTITUTE(CONCATENATE("[",TABLEAU!$D$225," &amp; ",TABLEAU!$F$227,"]"),"[0 ANS , ","["),"[0 MOIS ET ","["),"[",""),"]",""),"&amp; 0","&amp; ")," &amp; 0 MIN","")," ET 0 JOURS "," "))," ET "," &amp; "),", "," &amp; ")," &amp; 0 JOURS",""),"1 AN &amp; 0 MOIS","2 ANS")," &amp; &amp; "," &amp; ")," &amp; 0 MOIS",""))</f>
        <v>3 ANS &amp; 5 MOIS &amp; 9 JOURS &amp; 6H00</v>
      </c>
      <c r="E227" s="1939"/>
      <c r="F227" s="888" t="str">
        <f ca="1">UPPER(IF(HOUR(TABLEAU!$B$226)-HOUR(TABLEAU!$B$225)=0,SUBSTITUTE(CONCATENATE(TABLEAU!$F$228," MIN"),"0H",""),TABLEAU!$F$228))</f>
        <v>6H00</v>
      </c>
      <c r="G227" s="892" t="str">
        <f ca="1">IF(LEN(TABLEAU!$F$226)=7,SUBSTITUTE(TABLEAU!$F$226,CONCATENATE("0",TABLEAU!$G$226),TABLEAU!$G$226),TABLEAU!$G$226)</f>
        <v>742H00</v>
      </c>
      <c r="H227" s="889" t="str">
        <f ca="1">UPPER(IF(AND(TABLEAU!$B$228&gt;365,TABLEAU!$B$228&lt;730),"1 AN &amp; ",CONCATENATE(INT(TABLEAU!$B$228/365)," ANS &amp; ")))</f>
        <v xml:space="preserve">3 ANS &amp; </v>
      </c>
      <c r="I227" s="1933"/>
      <c r="J227" s="1934"/>
      <c r="K227" s="1934"/>
      <c r="L227" s="1934"/>
      <c r="M227" s="1934"/>
      <c r="N227" s="1934"/>
      <c r="O227" s="1935"/>
      <c r="P227" s="1937"/>
      <c r="Q227" s="1745"/>
      <c r="R227" s="1745"/>
      <c r="S227" s="1745"/>
      <c r="T227" s="1745"/>
      <c r="U227" s="1745"/>
      <c r="V227" s="1746"/>
      <c r="W227" s="1780"/>
      <c r="X227" s="1781"/>
      <c r="Y227" s="1781"/>
      <c r="Z227" s="1782"/>
      <c r="AA227" s="1937"/>
      <c r="AB227" s="1745"/>
      <c r="AC227" s="1745"/>
      <c r="AD227" s="1745"/>
      <c r="AE227" s="1746"/>
      <c r="AF227" s="1771"/>
      <c r="AG227" s="1772"/>
      <c r="AH227" s="1772"/>
      <c r="AI227" s="1773"/>
      <c r="AJ227" s="1475"/>
      <c r="AK227" s="1475"/>
      <c r="AL227" s="1649"/>
      <c r="AM227" s="1650"/>
      <c r="AN227" s="1650"/>
      <c r="AO227" s="1650"/>
      <c r="AP227" s="1650"/>
      <c r="AQ227" s="1650"/>
      <c r="AR227" s="1650"/>
      <c r="AS227" s="1650"/>
      <c r="AT227" s="1650"/>
      <c r="AU227" s="1650"/>
      <c r="AV227" s="1650"/>
      <c r="AW227" s="1650"/>
      <c r="AX227" s="1651"/>
      <c r="AY227" s="1493"/>
      <c r="AZ227" s="1690"/>
      <c r="BA227" s="1692"/>
    </row>
    <row r="228" spans="1:53" ht="99.95" hidden="1" customHeight="1" thickTop="1" thickBot="1">
      <c r="A228" s="853"/>
      <c r="B228" s="1238">
        <f ca="1">IF(TABLEAU!$B$225-TABLEAU!$B$226=1,1,INT(TABLEAU!$B$226-TABLEAU!$B$225))</f>
        <v>1257</v>
      </c>
      <c r="C228" s="1239" t="str">
        <f ca="1">IF(TABLEAU!$D$228=60,CONCATENATE("00",TABLEAU!$D$228),TABLEAU!$D$228)</f>
        <v>0060</v>
      </c>
      <c r="D228" s="1240">
        <f ca="1">IF(60-MINUTE(TABLEAU!$B$226)&gt;9,60-MINUTE(TABLEAU!$B$226),CONCATENATE("0",60-MINUTE(TABLEAU!$B$226)))</f>
        <v>60</v>
      </c>
      <c r="E228" s="1241" t="str">
        <f ca="1">UPPER(IF(DAY(A)&lt;&gt;24,"",SUBSTITUTE(IF(HOUR(TABLEAU!$B$225)&lt;HOUR(TABLEAU!$B$226),"",CONCATENATE("DANS ",HOUR(TABLEAU!$B$225)-HOUR(TABLEAU!$B$226)-1,"H",TABLEAU!$C$228)),"0060","00")))</f>
        <v/>
      </c>
      <c r="F228" s="894" t="str">
        <f ca="1">UPPER((HOUR(TABLEAU!$B$226)&lt;HOUR(TABLEAU!$B$225))*24+HOUR(TABLEAU!$B$226)-HOUR(TABLEAU!$B$225)&amp;"H"&amp;TABLEAU!$G$228)</f>
        <v>6H00</v>
      </c>
      <c r="G228" s="895" t="str">
        <f ca="1">IF(MINUTE(TABLEAU!$B$226)&gt;9,MINUTE(TABLEAU!$B$226),CONCATENATE("0",MINUTE(TABLEAU!$B$226)))</f>
        <v>00</v>
      </c>
      <c r="H228" s="896" t="str">
        <f ca="1">UPPER(CONCATENATE(DATEDIF(TABLEAU!$B$225,TABLEAU!$B$226,"Y")*(24*360)+DATEDIF(TABLEAU!$B$225,TABLEAU!$B$226,"YM")*(24*30)+DATEDIF(TABLEAU!$B$225,TABLEAU!$B$226,"MD")*24+HOUR(TABLEAU!$B$226)))</f>
        <v>29749</v>
      </c>
      <c r="I228" s="1471"/>
      <c r="J228" s="1472"/>
      <c r="K228" s="1472"/>
      <c r="L228" s="1472"/>
      <c r="M228" s="1472"/>
      <c r="N228" s="1472"/>
      <c r="O228" s="1473"/>
      <c r="P228" s="1459"/>
      <c r="Q228" s="1474"/>
      <c r="R228" s="1474"/>
      <c r="S228" s="1474"/>
      <c r="T228" s="1474"/>
      <c r="U228" s="1474"/>
      <c r="V228" s="1460"/>
      <c r="W228" s="1461"/>
      <c r="X228" s="1462"/>
      <c r="Y228" s="1462"/>
      <c r="Z228" s="1463"/>
      <c r="AA228" s="1459"/>
      <c r="AB228" s="1474"/>
      <c r="AC228" s="1474"/>
      <c r="AD228" s="1474"/>
      <c r="AE228" s="1460"/>
      <c r="AF228" s="1479"/>
      <c r="AG228" s="1480"/>
      <c r="AH228" s="1480"/>
      <c r="AI228" s="1481"/>
      <c r="AJ228" s="1457"/>
      <c r="AK228" s="1457"/>
      <c r="AL228" s="1479"/>
      <c r="AM228" s="1480"/>
      <c r="AN228" s="1480"/>
      <c r="AO228" s="1480"/>
      <c r="AP228" s="1480"/>
      <c r="AQ228" s="1480"/>
      <c r="AR228" s="1480"/>
      <c r="AS228" s="1480"/>
      <c r="AT228" s="1480"/>
      <c r="AU228" s="1480"/>
      <c r="AV228" s="1480"/>
      <c r="AW228" s="1481"/>
      <c r="AX228" s="1486"/>
      <c r="AY228" s="1489"/>
      <c r="AZ228" s="1527"/>
      <c r="BA228" s="1489"/>
    </row>
    <row r="229" spans="1:53" ht="99.95" hidden="1" customHeight="1" thickTop="1" thickBot="1">
      <c r="A229" s="853"/>
      <c r="B229" s="1486"/>
      <c r="C229" s="1497"/>
      <c r="D229" s="1497"/>
      <c r="E229" s="1134"/>
      <c r="F229" s="888" t="str">
        <f ca="1">UPPER(DATEDIF(TABLEAU!$B$225,TABLEAU!$B$226,"MD")&amp;" JOURS")</f>
        <v>9 JOURS</v>
      </c>
      <c r="G229" s="897" t="str">
        <f ca="1">UPPER(SUBSTITUTE(IF(HOUR(TABLEAU!$B$225)&gt;HOUR(TABLEAU!$B$226),CONCATENATE(DATEDIF(TABLEAU!$B$225,TABLEAU!$B$226,"MD")-1&amp;" JOURS"),CONCATENATE(DATEDIF(TABLEAU!$B$225,TABLEAU!$B$226,"MD")&amp;" JOURS")),"-1 JOURS",""))</f>
        <v>9 JOURS</v>
      </c>
      <c r="H229" s="889" t="str">
        <f ca="1">IF(CONCATENATE(INT(TABLEAU!$B$226-TABLEAU!$B$225))&lt;1000,CONCATENATE(INT(TABLEAU!$B$226-TABLEAU!$B$225)),IF(AND(CONCATENATE(INT(TABLEAU!$B$226-TABLEAU!$B$225))&gt;999,LEN(IF(CONCATENATE(INT(TABLEAU!$B$226-TABLEAU!$B$225))&lt;&gt;"",CONCATENATE(INT(TABLEAU!$B$226-TABLEAU!$B$225))-(INT(CONCATENATE(INT(TABLEAU!$B$226-TABLEAU!$B$225))/1000)*1000),CONCATENATE(CONCATENATE(INT(TABLEAU!$B$226-TABLEAU!$B$225)),"H")))=1),CONCATENATE(IF(CONCATENATE(INT(TABLEAU!$B$226-TABLEAU!$B$225))&lt;1000,CONCATENATE(INT(TABLEAU!$B$226-TABLEAU!$B$225)),CONCATENATE(INT(INT(CONCATENATE(INT(TABLEAU!$B$226-TABLEAU!$B$225)))/1000))),"00",IF(CONCATENATE(INT(TABLEAU!$B$226-TABLEAU!$B$225))&lt;&gt;"",CONCATENATE(INT(TABLEAU!$B$226-TABLEAU!$B$225))-(INT(CONCATENATE(INT(TABLEAU!$B$226-TABLEAU!$B$225))/1000)*1000),CONCATENATE(CONCATENATE(INT(TABLEAU!$B$226-TABLEAU!$B$225)),"H"))," JOURS"),IF(AND(CONCATENATE(INT(TABLEAU!$B$226-TABLEAU!$B$225))&gt;999,LEN(IF(CONCATENATE(INT(TABLEAU!$B$226-TABLEAU!$B$225))&lt;&gt;"",CONCATENATE(INT(TABLEAU!$B$226-TABLEAU!$B$225))-(INT(CONCATENATE(INT(TABLEAU!$B$226-TABLEAU!$B$225))/1000)*1000),CONCATENATE(CONCATENATE(INT(TABLEAU!$B$226-TABLEAU!$B$225)),"H")))=2),CONCATENATE(IF(CONCATENATE(INT(TABLEAU!$B$226-TABLEAU!$B$225))&lt;1000,CONCATENATE(INT(TABLEAU!$B$226-TABLEAU!$B$225)),CONCATENATE(INT(INT(CONCATENATE(INT(TABLEAU!$B$226-TABLEAU!$B$225)))/1000),)),"0",IF(CONCATENATE(INT(TABLEAU!$B$226-TABLEAU!$B$225))&lt;&gt;"",CONCATENATE(INT(TABLEAU!$B$226-TABLEAU!$B$225))-(INT(CONCATENATE(INT(TABLEAU!$B$226-TABLEAU!$B$225))/1000)*1000),CONCATENATE(CONCATENATE(INT(TABLEAU!$B$226-TABLEAU!$B$225)),"H"))," JOURS"),IF(AND(CONCATENATE(INT(TABLEAU!$B$226-TABLEAU!$B$225))&gt;999,LEN(IF(CONCATENATE(INT(TABLEAU!$B$226-TABLEAU!$B$225))&lt;&gt;"",CONCATENATE(INT(TABLEAU!$B$226-TABLEAU!$B$225))-(INT(CONCATENATE(INT(TABLEAU!$B$226-TABLEAU!$B$225))/1000)*1000),CONCATENATE(CONCATENATE(INT(TABLEAU!$B$226-TABLEAU!$B$225)),"H")))=3),CONCATENATE(IF(CONCATENATE(INT(TABLEAU!$B$226-TABLEAU!$B$225))&lt;1000,CONCATENATE(INT(TABLEAU!$B$226-TABLEAU!$B$225)),CONCATENATE(INT(INT(CONCATENATE(INT(TABLEAU!$B$226-TABLEAU!$B$225)))/1000))),IF(CONCATENATE(INT(TABLEAU!$B$226-TABLEAU!$B$225))&lt;&gt;"",CONCATENATE(INT(TABLEAU!$B$226-TABLEAU!$B$225))-(INT(CONCATENATE(INT(TABLEAU!$B$226-TABLEAU!$B$225))/1000)*1000),CONCATENATE(CONCATENATE(INT(TABLEAU!$B$226-TABLEAU!$B$225)),"H"))," JOURS")))))</f>
        <v>1257 JOURS</v>
      </c>
      <c r="I229" s="1471"/>
      <c r="J229" s="1472"/>
      <c r="K229" s="1472"/>
      <c r="L229" s="1472"/>
      <c r="M229" s="1472"/>
      <c r="N229" s="1472"/>
      <c r="O229" s="1473"/>
      <c r="P229" s="1459"/>
      <c r="Q229" s="1474"/>
      <c r="R229" s="1474"/>
      <c r="S229" s="1474"/>
      <c r="T229" s="1474"/>
      <c r="U229" s="1474"/>
      <c r="V229" s="1460"/>
      <c r="W229" s="1461"/>
      <c r="X229" s="1462"/>
      <c r="Y229" s="1462"/>
      <c r="Z229" s="1463"/>
      <c r="AA229" s="1459"/>
      <c r="AB229" s="1474"/>
      <c r="AC229" s="1474"/>
      <c r="AD229" s="1474"/>
      <c r="AE229" s="1460"/>
      <c r="AF229" s="1479"/>
      <c r="AG229" s="1480"/>
      <c r="AH229" s="1480"/>
      <c r="AI229" s="1481"/>
      <c r="AJ229" s="1457"/>
      <c r="AK229" s="1457"/>
      <c r="AL229" s="1479"/>
      <c r="AM229" s="1480"/>
      <c r="AN229" s="1480"/>
      <c r="AO229" s="1480"/>
      <c r="AP229" s="1480"/>
      <c r="AQ229" s="1480"/>
      <c r="AR229" s="1480"/>
      <c r="AS229" s="1480"/>
      <c r="AT229" s="1480"/>
      <c r="AU229" s="1480"/>
      <c r="AV229" s="1480"/>
      <c r="AW229" s="1481"/>
      <c r="AX229" s="1486"/>
      <c r="AY229" s="1489"/>
      <c r="AZ229" s="1527"/>
      <c r="BA229" s="1489"/>
    </row>
    <row r="230" spans="1:53" ht="182.1" customHeight="1" thickTop="1" thickBot="1">
      <c r="A230" s="652" t="str">
        <f ca="1">IF(TABLEAU!$A$33="CHAMPIONNAT",CONCATENATE(TABLEAU!$L$33,"= ",DIF.L1),IF(TABLEAU!$A$34="CHAMPIONNAT",CONCATENATE(TABLEAU!$L$34,"= ",DIF.L1),IF(TABLEAU!$A$35="CHAMPIONNAT",CONCATENATE(TABLEAU!$L$35,"= ",DIF.L1),IF(TABLEAU!$A$36="CHAMPIONNAT",CONCATENATE(TABLEAU!$L$36,"= ",DIF.L1),IF(TABLEAU!$A$37="CHAMPIONNAT",CONCATENATE(TABLEAU!$L$37,"= ",DIF.L1),IF(TABLEAU!$A$38="CHAMPIONNAT",CONCATENATE(TABLEAU!$L$38,"= ",DIF.L1),IF(TABLEAU!$A$39="CHAMPIONNAT",CONCATENATE(TABLEAU!$L$39,"= ",DIF.L1),IF(TABLEAU!$A$40="CHAMPIONNAT",CONCATENATE(TABLEAU!$L$40,"= ",DIF.L1),IF(TABLEAU!$A$41="CHAMPIONNAT",CONCATENATE(TABLEAU!$L$41,"= ",DIF.L1))))))))))</f>
        <v>DANS 7H45= ''7H45''</v>
      </c>
      <c r="B230" s="1873" t="str">
        <f ca="1">RESULT</f>
        <v/>
      </c>
      <c r="C230" s="1874"/>
      <c r="D230" s="1874"/>
      <c r="E230" s="1875"/>
      <c r="F230" s="1237"/>
      <c r="G230" s="1133"/>
      <c r="H230" s="897"/>
      <c r="I230" s="1890"/>
      <c r="J230" s="1891"/>
      <c r="K230" s="1891"/>
      <c r="L230" s="1891"/>
      <c r="M230" s="1891"/>
      <c r="N230" s="1891"/>
      <c r="O230" s="1892"/>
      <c r="P230" s="1687"/>
      <c r="Q230" s="1688"/>
      <c r="R230" s="1688"/>
      <c r="S230" s="1688"/>
      <c r="T230" s="1688"/>
      <c r="U230" s="1688"/>
      <c r="V230" s="1689"/>
      <c r="W230" s="1989"/>
      <c r="X230" s="1871"/>
      <c r="Y230" s="1871"/>
      <c r="Z230" s="1872"/>
      <c r="AA230" s="1687"/>
      <c r="AB230" s="1688"/>
      <c r="AC230" s="1688"/>
      <c r="AD230" s="1688"/>
      <c r="AE230" s="1689"/>
      <c r="AF230" s="1756"/>
      <c r="AG230" s="1757"/>
      <c r="AH230" s="1757"/>
      <c r="AI230" s="1758"/>
      <c r="AJ230" s="1498"/>
      <c r="AK230" s="1498"/>
      <c r="AL230" s="1687"/>
      <c r="AM230" s="1688"/>
      <c r="AN230" s="1688"/>
      <c r="AO230" s="1688"/>
      <c r="AP230" s="1688"/>
      <c r="AQ230" s="1688"/>
      <c r="AR230" s="1688"/>
      <c r="AS230" s="1688"/>
      <c r="AT230" s="1688"/>
      <c r="AU230" s="1688"/>
      <c r="AV230" s="1688"/>
      <c r="AW230" s="1688"/>
      <c r="AX230" s="1689"/>
      <c r="AY230" s="1489"/>
      <c r="AZ230" s="2568"/>
      <c r="BA230" s="2569"/>
    </row>
    <row r="231" spans="1:53" ht="183" customHeight="1" thickTop="1" thickBot="1">
      <c r="A231" s="1499" t="str">
        <f ca="1">SUBSTITUTE(SUBSTITUTE(SUBSTITUTE(IF(DATE.DEPASSE&gt;0,"",SUBSTITUTE(MODIF," ~","")),CONCATENATE(DATE.RDV.TV," ",DAY(A)," ",LOOKUP(MONTH(A),MOIS)," "),""),CONCATENATE(YEAR(A)," "),""),"/"," VS ")</f>
        <v>#DANS 7H45 (A 20H45): [CHAMPIONNAT]#</v>
      </c>
      <c r="B231" s="2002" t="str">
        <f ca="1">SUBSTITUTE(TV," ~","")</f>
        <v>#DANS 7H45 (A 20H45): [CHAMPIONNAT]# &amp; #DANS 7H40 (A 20H40 SUR AB1): [SMACKDOWN]#</v>
      </c>
      <c r="C231" s="2003"/>
      <c r="D231" s="2003"/>
      <c r="E231" s="2004"/>
      <c r="F231" s="1500"/>
      <c r="G231" s="1501">
        <f ca="1">IF(TABLEAU!$B$224&lt;&gt;"",INT(TABLEAU!$B$226-(INT(TABLEAU!$B$226/1000)*1000)),INT(CONCATENATE(TABLEAU!$B$226,"H")))</f>
        <v>771</v>
      </c>
      <c r="H231" s="1502"/>
      <c r="I231" s="1893"/>
      <c r="J231" s="1894"/>
      <c r="K231" s="1894"/>
      <c r="L231" s="1894"/>
      <c r="M231" s="1894"/>
      <c r="N231" s="1894"/>
      <c r="O231" s="1895"/>
      <c r="P231" s="1690"/>
      <c r="Q231" s="1691"/>
      <c r="R231" s="1691"/>
      <c r="S231" s="1691"/>
      <c r="T231" s="1691"/>
      <c r="U231" s="1691"/>
      <c r="V231" s="1692"/>
      <c r="W231" s="1937"/>
      <c r="X231" s="1745"/>
      <c r="Y231" s="1745"/>
      <c r="Z231" s="1746"/>
      <c r="AA231" s="1690"/>
      <c r="AB231" s="1691"/>
      <c r="AC231" s="1691"/>
      <c r="AD231" s="1691"/>
      <c r="AE231" s="1692"/>
      <c r="AF231" s="1759"/>
      <c r="AG231" s="1760"/>
      <c r="AH231" s="1760"/>
      <c r="AI231" s="1761"/>
      <c r="AJ231" s="1503"/>
      <c r="AK231" s="1503"/>
      <c r="AL231" s="1690"/>
      <c r="AM231" s="1691"/>
      <c r="AN231" s="1691"/>
      <c r="AO231" s="1691"/>
      <c r="AP231" s="1691"/>
      <c r="AQ231" s="1691"/>
      <c r="AR231" s="1691"/>
      <c r="AS231" s="1691"/>
      <c r="AT231" s="1691"/>
      <c r="AU231" s="1691"/>
      <c r="AV231" s="1691"/>
      <c r="AW231" s="1691"/>
      <c r="AX231" s="1692"/>
      <c r="AY231" s="1493"/>
      <c r="AZ231" s="2570"/>
      <c r="BA231" s="2571"/>
    </row>
    <row r="232" spans="1:53" ht="120.95" customHeight="1" thickTop="1">
      <c r="A232" s="1499"/>
      <c r="B232" s="2547" t="str">
        <f ca="1">UPPER(IF(HOUR(NOW())&lt;8,"",IF(TABLEAU!$E$232="FAIT","MEDOC DU MATIN OK","MEDOC DU MATIN")))</f>
        <v>MEDOC DU MATIN OK</v>
      </c>
      <c r="C232" s="2548"/>
      <c r="D232" s="2549"/>
      <c r="E232" s="1562" t="s">
        <v>172</v>
      </c>
      <c r="G232" s="1525"/>
      <c r="H232" s="1526"/>
      <c r="I232" s="2556" t="str">
        <f ca="1">SUBSTITUTE(SUBSTITUTE(SUBSTITUTE(SUBSTITUTE(SUBSTITUTE(SUBSTITUTE(SUBSTITUTE(SUBSTITUTE(TABLEAU!$P$232,"MEDOC DU MATIN OK",""),"MEDOC DE MIDI OK",""),"MEDOC DU SOIR OK",""),"#/#",""),"#/","#"),"#/","#"),"#/#",""),"##","")</f>
        <v/>
      </c>
      <c r="J232" s="1727"/>
      <c r="K232" s="1727"/>
      <c r="L232" s="1727"/>
      <c r="M232" s="1727"/>
      <c r="N232" s="1727"/>
      <c r="O232" s="1728"/>
      <c r="P232" s="2559" t="str">
        <f ca="1">SUBSTITUTE(SUBSTITUTE(SUBSTITUTE(SUBSTITUTE(SUBSTITUTE(CONCATENATE("#",TABLEAU!$B$232,TABLEAU!$B$233,TABLEAU!$B$234," A PRENDRE#"),"# A PRENDRE#",""),"OKM","OK/M")," OK A PRENDRE"," OK"),"MEDOC DU SOIR OK","/MEDOC DU SOIR OK"),"//","/")</f>
        <v>#MEDOC DU MATIN OK/MEDOC DE MIDI OK#</v>
      </c>
      <c r="Q232" s="2560"/>
      <c r="R232" s="2560"/>
      <c r="S232" s="2560"/>
      <c r="T232" s="2560"/>
      <c r="U232" s="2560"/>
      <c r="V232" s="2561"/>
      <c r="W232" s="1687"/>
      <c r="X232" s="1688"/>
      <c r="Y232" s="1688"/>
      <c r="Z232" s="1689"/>
      <c r="AA232" s="1989"/>
      <c r="AB232" s="1871"/>
      <c r="AC232" s="1871"/>
      <c r="AD232" s="1871"/>
      <c r="AE232" s="1872"/>
      <c r="AF232" s="1596"/>
      <c r="AG232" s="1597"/>
      <c r="AH232" s="1597"/>
      <c r="AI232" s="1598"/>
      <c r="AJ232" s="1498"/>
      <c r="AK232" s="1498"/>
      <c r="AL232" s="1989"/>
      <c r="AM232" s="1871"/>
      <c r="AN232" s="1871"/>
      <c r="AO232" s="1871"/>
      <c r="AP232" s="1871"/>
      <c r="AQ232" s="1871"/>
      <c r="AR232" s="1871"/>
      <c r="AS232" s="1871"/>
      <c r="AT232" s="1871"/>
      <c r="AU232" s="1871"/>
      <c r="AV232" s="1871"/>
      <c r="AW232" s="1871"/>
      <c r="AX232" s="1872"/>
      <c r="AY232" s="1489"/>
      <c r="AZ232" s="1687"/>
      <c r="BA232" s="1689"/>
    </row>
    <row r="233" spans="1:53" ht="120.95" customHeight="1">
      <c r="A233" s="1499"/>
      <c r="B233" s="2550" t="str">
        <f ca="1">UPPER(IF(HOUR(NOW())&lt;12,"",IF(TABLEAU!$E$232&lt;&gt;"FAIT","",IF(TABLEAU!$E$233="FAIT","MEDOC DE MIDI OK","MEDOC DE MIDI"))))</f>
        <v>MEDOC DE MIDI OK</v>
      </c>
      <c r="C233" s="2551"/>
      <c r="D233" s="2552"/>
      <c r="E233" s="1563" t="s">
        <v>172</v>
      </c>
      <c r="F233" s="1559"/>
      <c r="G233" s="1525"/>
      <c r="H233" s="1526"/>
      <c r="I233" s="2557"/>
      <c r="J233" s="1730"/>
      <c r="K233" s="1730"/>
      <c r="L233" s="1730"/>
      <c r="M233" s="1730"/>
      <c r="N233" s="1730"/>
      <c r="O233" s="1731"/>
      <c r="P233" s="2562"/>
      <c r="Q233" s="2563"/>
      <c r="R233" s="2563"/>
      <c r="S233" s="2563"/>
      <c r="T233" s="2563"/>
      <c r="U233" s="2563"/>
      <c r="V233" s="2564"/>
      <c r="W233" s="1762"/>
      <c r="X233" s="1763"/>
      <c r="Y233" s="1763"/>
      <c r="Z233" s="1764"/>
      <c r="AA233" s="1936"/>
      <c r="AB233" s="1742"/>
      <c r="AC233" s="1742"/>
      <c r="AD233" s="1742"/>
      <c r="AE233" s="1743"/>
      <c r="AF233" s="1599"/>
      <c r="AG233" s="1600"/>
      <c r="AH233" s="1600"/>
      <c r="AI233" s="1601"/>
      <c r="AJ233" s="1498"/>
      <c r="AK233" s="1498"/>
      <c r="AL233" s="1936"/>
      <c r="AM233" s="1742"/>
      <c r="AN233" s="1742"/>
      <c r="AO233" s="1742"/>
      <c r="AP233" s="1742"/>
      <c r="AQ233" s="1742"/>
      <c r="AR233" s="1742"/>
      <c r="AS233" s="1742"/>
      <c r="AT233" s="1742"/>
      <c r="AU233" s="1742"/>
      <c r="AV233" s="1742"/>
      <c r="AW233" s="1742"/>
      <c r="AX233" s="1743"/>
      <c r="AY233" s="1489"/>
      <c r="AZ233" s="1762"/>
      <c r="BA233" s="1764"/>
    </row>
    <row r="234" spans="1:53" ht="122.1" customHeight="1" thickBot="1">
      <c r="A234" s="1499"/>
      <c r="B234" s="2553" t="str">
        <f ca="1">UPPER(IF(HOUR(NOW())&lt;20,"",IF(TABLEAU!$E$232&lt;&gt;"FAIT","MEDOC DU MATIN OK",IF(TABLEAU!$E$233&lt;&gt;"FAIT","MEDOC DE MIDI OK",IF(TABLEAU!$E$234="FAIT","MEDOC DU SOIR OK","MEDOC DU SOIR")))))</f>
        <v/>
      </c>
      <c r="C234" s="2554"/>
      <c r="D234" s="2555"/>
      <c r="E234" s="1564"/>
      <c r="F234" s="1560"/>
      <c r="G234" s="1525"/>
      <c r="H234" s="1526"/>
      <c r="I234" s="2558"/>
      <c r="J234" s="1733"/>
      <c r="K234" s="1733"/>
      <c r="L234" s="1733"/>
      <c r="M234" s="1733"/>
      <c r="N234" s="1733"/>
      <c r="O234" s="1734"/>
      <c r="P234" s="2565"/>
      <c r="Q234" s="2566"/>
      <c r="R234" s="2566"/>
      <c r="S234" s="2566"/>
      <c r="T234" s="2566"/>
      <c r="U234" s="2566"/>
      <c r="V234" s="2567"/>
      <c r="W234" s="1762"/>
      <c r="X234" s="1763"/>
      <c r="Y234" s="1763"/>
      <c r="Z234" s="1764"/>
      <c r="AA234" s="1936"/>
      <c r="AB234" s="1742"/>
      <c r="AC234" s="1742"/>
      <c r="AD234" s="1742"/>
      <c r="AE234" s="1743"/>
      <c r="AF234" s="1599"/>
      <c r="AG234" s="1600"/>
      <c r="AH234" s="1600"/>
      <c r="AI234" s="1601"/>
      <c r="AJ234" s="1498"/>
      <c r="AK234" s="1498"/>
      <c r="AL234" s="1936"/>
      <c r="AM234" s="1742"/>
      <c r="AN234" s="1742"/>
      <c r="AO234" s="1742"/>
      <c r="AP234" s="1742"/>
      <c r="AQ234" s="1742"/>
      <c r="AR234" s="1742"/>
      <c r="AS234" s="1742"/>
      <c r="AT234" s="1742"/>
      <c r="AU234" s="1742"/>
      <c r="AV234" s="1742"/>
      <c r="AW234" s="1742"/>
      <c r="AX234" s="1743"/>
      <c r="AY234" s="1489"/>
      <c r="AZ234" s="1690"/>
      <c r="BA234" s="1692"/>
    </row>
    <row r="235" spans="1:53" ht="11.25" customHeight="1" thickTop="1" thickBot="1">
      <c r="A235" s="1529">
        <v>0</v>
      </c>
      <c r="B235" s="1530">
        <v>91</v>
      </c>
      <c r="C235" s="1530">
        <v>46</v>
      </c>
      <c r="D235" s="1530">
        <v>43.5</v>
      </c>
      <c r="E235" s="1531">
        <v>43.67</v>
      </c>
      <c r="F235" s="1530">
        <v>0.09</v>
      </c>
      <c r="G235" s="1530">
        <v>0.09</v>
      </c>
      <c r="H235" s="1530">
        <v>0.09</v>
      </c>
      <c r="I235" s="1530">
        <v>55</v>
      </c>
      <c r="J235" s="1530">
        <v>51</v>
      </c>
      <c r="K235" s="1530">
        <v>27.67</v>
      </c>
      <c r="L235" s="1530">
        <v>13</v>
      </c>
      <c r="M235" s="1530">
        <v>13</v>
      </c>
      <c r="N235" s="1530">
        <v>15.17</v>
      </c>
      <c r="O235" s="1531">
        <v>47</v>
      </c>
      <c r="P235" s="1530">
        <v>25</v>
      </c>
      <c r="Q235" s="1530">
        <v>41</v>
      </c>
      <c r="R235" s="1530">
        <v>41</v>
      </c>
      <c r="S235" s="1530">
        <v>15</v>
      </c>
      <c r="T235" s="1530">
        <v>18</v>
      </c>
      <c r="U235" s="1530">
        <v>65</v>
      </c>
      <c r="V235" s="1531">
        <v>17</v>
      </c>
      <c r="W235" s="1530">
        <v>80.33</v>
      </c>
      <c r="X235" s="1530">
        <v>0</v>
      </c>
      <c r="Y235" s="1530">
        <v>45</v>
      </c>
      <c r="Z235" s="1531">
        <v>100</v>
      </c>
      <c r="AA235" s="1530">
        <v>48</v>
      </c>
      <c r="AB235" s="1530">
        <v>76</v>
      </c>
      <c r="AC235" s="1530">
        <v>20</v>
      </c>
      <c r="AD235" s="1530">
        <v>39.83</v>
      </c>
      <c r="AE235" s="1531">
        <v>39.83</v>
      </c>
      <c r="AF235" s="1530">
        <v>56</v>
      </c>
      <c r="AG235" s="1530">
        <v>56</v>
      </c>
      <c r="AH235" s="1530">
        <v>56.17</v>
      </c>
      <c r="AI235" s="1531">
        <v>56.33</v>
      </c>
      <c r="AJ235" s="1530">
        <v>0</v>
      </c>
      <c r="AK235" s="1530">
        <v>0</v>
      </c>
      <c r="AL235" s="1530">
        <v>48</v>
      </c>
      <c r="AM235" s="1530">
        <v>57</v>
      </c>
      <c r="AN235" s="1530">
        <v>15.17</v>
      </c>
      <c r="AO235" s="1530">
        <v>13.17</v>
      </c>
      <c r="AP235" s="1530">
        <v>10</v>
      </c>
      <c r="AQ235" s="1530">
        <v>10.83</v>
      </c>
      <c r="AR235" s="1530">
        <v>9</v>
      </c>
      <c r="AS235" s="1530">
        <v>9</v>
      </c>
      <c r="AT235" s="1530">
        <v>9</v>
      </c>
      <c r="AU235" s="1530">
        <v>9</v>
      </c>
      <c r="AV235" s="1530">
        <v>9</v>
      </c>
      <c r="AW235" s="1530">
        <v>9</v>
      </c>
      <c r="AX235" s="1531">
        <v>9</v>
      </c>
      <c r="AY235" s="1531">
        <v>13</v>
      </c>
      <c r="AZ235" s="1532">
        <v>50</v>
      </c>
      <c r="BA235" s="1531">
        <v>13</v>
      </c>
    </row>
    <row r="236" spans="1:53" ht="11.25" customHeight="1" thickTop="1">
      <c r="B236" s="654"/>
    </row>
  </sheetData>
  <sheetProtection sheet="1" objects="1" scenarios="1"/>
  <sortState caseSensitive="1" ref="A132:O142">
    <sortCondition ref="O132:O142"/>
    <sortCondition ref="A132:A142"/>
  </sortState>
  <mergeCells count="442">
    <mergeCell ref="AZ225:BA227"/>
    <mergeCell ref="AZ230:BA231"/>
    <mergeCell ref="AZ232:BA234"/>
    <mergeCell ref="AZ18:BA32"/>
    <mergeCell ref="AZ48:BA53"/>
    <mergeCell ref="AZ54:BA82"/>
    <mergeCell ref="AZ132:BA142"/>
    <mergeCell ref="AZ143:BA175"/>
    <mergeCell ref="AZ176:BA176"/>
    <mergeCell ref="AZ177:BA196"/>
    <mergeCell ref="AZ197:BA203"/>
    <mergeCell ref="AZ204:BA224"/>
    <mergeCell ref="AZ47:BA47"/>
    <mergeCell ref="B232:D232"/>
    <mergeCell ref="B233:D233"/>
    <mergeCell ref="B234:D234"/>
    <mergeCell ref="I232:O234"/>
    <mergeCell ref="P232:V234"/>
    <mergeCell ref="W232:Z234"/>
    <mergeCell ref="AA232:AE234"/>
    <mergeCell ref="AF232:AI234"/>
    <mergeCell ref="AL232:AX234"/>
    <mergeCell ref="M137:N137"/>
    <mergeCell ref="B105:B106"/>
    <mergeCell ref="B111:B112"/>
    <mergeCell ref="B123:B124"/>
    <mergeCell ref="E123:E124"/>
    <mergeCell ref="S106:T106"/>
    <mergeCell ref="G135:H135"/>
    <mergeCell ref="E105:E106"/>
    <mergeCell ref="E111:E112"/>
    <mergeCell ref="P132:V142"/>
    <mergeCell ref="M141:N141"/>
    <mergeCell ref="E117:E118"/>
    <mergeCell ref="I140:L140"/>
    <mergeCell ref="G141:H141"/>
    <mergeCell ref="M139:N139"/>
    <mergeCell ref="S105:T105"/>
    <mergeCell ref="M138:N138"/>
    <mergeCell ref="I134:L134"/>
    <mergeCell ref="I132:L132"/>
    <mergeCell ref="M132:N132"/>
    <mergeCell ref="I136:L136"/>
    <mergeCell ref="P128:V131"/>
    <mergeCell ref="B136:E136"/>
    <mergeCell ref="G102:H109"/>
    <mergeCell ref="AZ2:BA4"/>
    <mergeCell ref="AY2:AY4"/>
    <mergeCell ref="AV2:AX4"/>
    <mergeCell ref="AM7:AM9"/>
    <mergeCell ref="AB7:AC7"/>
    <mergeCell ref="AB11:AC11"/>
    <mergeCell ref="AB8:AC8"/>
    <mergeCell ref="AB10:AC10"/>
    <mergeCell ref="AB12:AC12"/>
    <mergeCell ref="G19:H19"/>
    <mergeCell ref="I48:O48"/>
    <mergeCell ref="I28:O31"/>
    <mergeCell ref="I32:O32"/>
    <mergeCell ref="W2:W13"/>
    <mergeCell ref="Y2:Y13"/>
    <mergeCell ref="W14:W17"/>
    <mergeCell ref="Z9:Z13"/>
    <mergeCell ref="Y14:Z17"/>
    <mergeCell ref="G24:H24"/>
    <mergeCell ref="G26:H26"/>
    <mergeCell ref="O2:O13"/>
    <mergeCell ref="I14:O17"/>
    <mergeCell ref="J18:L18"/>
    <mergeCell ref="U19:V27"/>
    <mergeCell ref="P2:V13"/>
    <mergeCell ref="P14:V17"/>
    <mergeCell ref="P18:V18"/>
    <mergeCell ref="G5:H5"/>
    <mergeCell ref="G6:H6"/>
    <mergeCell ref="L2:N8"/>
    <mergeCell ref="G3:H3"/>
    <mergeCell ref="G10:H10"/>
    <mergeCell ref="G9:H9"/>
    <mergeCell ref="B42:E46"/>
    <mergeCell ref="B27:E31"/>
    <mergeCell ref="G42:H42"/>
    <mergeCell ref="G47:H47"/>
    <mergeCell ref="G46:H46"/>
    <mergeCell ref="G27:H27"/>
    <mergeCell ref="G28:H28"/>
    <mergeCell ref="B32:E32"/>
    <mergeCell ref="E99:E100"/>
    <mergeCell ref="B99:B100"/>
    <mergeCell ref="B117:B118"/>
    <mergeCell ref="G30:H30"/>
    <mergeCell ref="G31:H31"/>
    <mergeCell ref="P176:V176"/>
    <mergeCell ref="P143:V175"/>
    <mergeCell ref="I177:O196"/>
    <mergeCell ref="I143:O175"/>
    <mergeCell ref="B177:B186"/>
    <mergeCell ref="C177:C196"/>
    <mergeCell ref="P177:V196"/>
    <mergeCell ref="G45:H45"/>
    <mergeCell ref="G44:H44"/>
    <mergeCell ref="G43:H43"/>
    <mergeCell ref="P83:V97"/>
    <mergeCell ref="T75:T76"/>
    <mergeCell ref="T79:T80"/>
    <mergeCell ref="P28:V32"/>
    <mergeCell ref="I53:O53"/>
    <mergeCell ref="P42:V46"/>
    <mergeCell ref="P51:V51"/>
    <mergeCell ref="P53:V53"/>
    <mergeCell ref="I137:L137"/>
    <mergeCell ref="B132:E132"/>
    <mergeCell ref="M134:N134"/>
    <mergeCell ref="AD1:AE1"/>
    <mergeCell ref="AB9:AC9"/>
    <mergeCell ref="S104:T104"/>
    <mergeCell ref="AB13:AC13"/>
    <mergeCell ref="AD2:AD13"/>
    <mergeCell ref="AB6:AC6"/>
    <mergeCell ref="AA18:AE32"/>
    <mergeCell ref="P48:V48"/>
    <mergeCell ref="B18:E19"/>
    <mergeCell ref="B21:E21"/>
    <mergeCell ref="I42:O46"/>
    <mergeCell ref="I51:O51"/>
    <mergeCell ref="B54:E54"/>
    <mergeCell ref="B20:E20"/>
    <mergeCell ref="B23:E24"/>
    <mergeCell ref="B22:E22"/>
    <mergeCell ref="G48:H48"/>
    <mergeCell ref="B47:F47"/>
    <mergeCell ref="G21:H21"/>
    <mergeCell ref="G20:H20"/>
    <mergeCell ref="G22:H22"/>
    <mergeCell ref="G32:H32"/>
    <mergeCell ref="G23:H23"/>
    <mergeCell ref="G25:H25"/>
    <mergeCell ref="W176:Z176"/>
    <mergeCell ref="W177:Z196"/>
    <mergeCell ref="G143:H175"/>
    <mergeCell ref="G176:H176"/>
    <mergeCell ref="G177:H196"/>
    <mergeCell ref="T81:T82"/>
    <mergeCell ref="T77:T78"/>
    <mergeCell ref="P49:V49"/>
    <mergeCell ref="P52:V52"/>
    <mergeCell ref="I54:O54"/>
    <mergeCell ref="P50:V50"/>
    <mergeCell ref="I98:O101"/>
    <mergeCell ref="M83:O97"/>
    <mergeCell ref="I52:O52"/>
    <mergeCell ref="I50:O50"/>
    <mergeCell ref="K92:L92"/>
    <mergeCell ref="T61:T62"/>
    <mergeCell ref="T69:T70"/>
    <mergeCell ref="T71:T72"/>
    <mergeCell ref="T65:T66"/>
    <mergeCell ref="T63:T64"/>
    <mergeCell ref="I49:O49"/>
    <mergeCell ref="K95:L95"/>
    <mergeCell ref="K83:L83"/>
    <mergeCell ref="G11:H11"/>
    <mergeCell ref="G12:H12"/>
    <mergeCell ref="G2:H2"/>
    <mergeCell ref="G4:H4"/>
    <mergeCell ref="M11:N11"/>
    <mergeCell ref="G7:H7"/>
    <mergeCell ref="G8:H8"/>
    <mergeCell ref="M12:M13"/>
    <mergeCell ref="N12:N13"/>
    <mergeCell ref="G13:H13"/>
    <mergeCell ref="G18:H18"/>
    <mergeCell ref="B133:E133"/>
    <mergeCell ref="B134:E134"/>
    <mergeCell ref="B135:E135"/>
    <mergeCell ref="M136:N136"/>
    <mergeCell ref="I141:L141"/>
    <mergeCell ref="B187:B196"/>
    <mergeCell ref="G14:H14"/>
    <mergeCell ref="G15:H15"/>
    <mergeCell ref="G17:H17"/>
    <mergeCell ref="G16:H16"/>
    <mergeCell ref="B137:E137"/>
    <mergeCell ref="G136:H136"/>
    <mergeCell ref="G138:H138"/>
    <mergeCell ref="B25:E26"/>
    <mergeCell ref="G132:H132"/>
    <mergeCell ref="G133:H133"/>
    <mergeCell ref="G140:H140"/>
    <mergeCell ref="M135:N135"/>
    <mergeCell ref="I109:O109"/>
    <mergeCell ref="M133:N133"/>
    <mergeCell ref="G110:O110"/>
    <mergeCell ref="I133:L133"/>
    <mergeCell ref="G137:H137"/>
    <mergeCell ref="G134:H134"/>
    <mergeCell ref="I135:L135"/>
    <mergeCell ref="I142:L142"/>
    <mergeCell ref="M140:N140"/>
    <mergeCell ref="W29:W32"/>
    <mergeCell ref="K97:L97"/>
    <mergeCell ref="K91:L91"/>
    <mergeCell ref="K84:L84"/>
    <mergeCell ref="K87:L87"/>
    <mergeCell ref="K86:L86"/>
    <mergeCell ref="K90:L90"/>
    <mergeCell ref="K88:L88"/>
    <mergeCell ref="K89:L89"/>
    <mergeCell ref="K93:L93"/>
    <mergeCell ref="K96:L96"/>
    <mergeCell ref="K94:L94"/>
    <mergeCell ref="K85:L85"/>
    <mergeCell ref="I47:O47"/>
    <mergeCell ref="T59:T60"/>
    <mergeCell ref="G29:H29"/>
    <mergeCell ref="S103:T103"/>
    <mergeCell ref="S102:T102"/>
    <mergeCell ref="T57:T58"/>
    <mergeCell ref="P54:V54"/>
    <mergeCell ref="T55:T56"/>
    <mergeCell ref="P47:V47"/>
    <mergeCell ref="AN36:AX37"/>
    <mergeCell ref="AN38:AX39"/>
    <mergeCell ref="T73:T74"/>
    <mergeCell ref="Y53:Z53"/>
    <mergeCell ref="Y51:Z51"/>
    <mergeCell ref="Y52:Z52"/>
    <mergeCell ref="Y54:Z54"/>
    <mergeCell ref="Y49:Z49"/>
    <mergeCell ref="W42:W47"/>
    <mergeCell ref="AA49:AE53"/>
    <mergeCell ref="Y50:Z50"/>
    <mergeCell ref="AN40:AX41"/>
    <mergeCell ref="Y45:Z45"/>
    <mergeCell ref="Y44:Z44"/>
    <mergeCell ref="Y42:Z42"/>
    <mergeCell ref="Y46:Z47"/>
    <mergeCell ref="Y43:Z43"/>
    <mergeCell ref="AL33:AL41"/>
    <mergeCell ref="T67:T68"/>
    <mergeCell ref="Y36:Z36"/>
    <mergeCell ref="Y39:Z39"/>
    <mergeCell ref="Y38:Z38"/>
    <mergeCell ref="AN26:AX26"/>
    <mergeCell ref="AN17:AX17"/>
    <mergeCell ref="AN18:AX18"/>
    <mergeCell ref="AN23:AX23"/>
    <mergeCell ref="AN24:AX24"/>
    <mergeCell ref="AN25:AX25"/>
    <mergeCell ref="AN2:AP2"/>
    <mergeCell ref="AN34:AX35"/>
    <mergeCell ref="AN27:AX27"/>
    <mergeCell ref="AN20:AX20"/>
    <mergeCell ref="AN22:AX22"/>
    <mergeCell ref="AN21:AX21"/>
    <mergeCell ref="AQ2:AQ4"/>
    <mergeCell ref="Z2:Z8"/>
    <mergeCell ref="AA14:AE17"/>
    <mergeCell ref="Y35:Z35"/>
    <mergeCell ref="Y37:Z37"/>
    <mergeCell ref="AL2:AL14"/>
    <mergeCell ref="Y29:Z32"/>
    <mergeCell ref="AM18:AM32"/>
    <mergeCell ref="AM15:AM17"/>
    <mergeCell ref="AM2:AM4"/>
    <mergeCell ref="AM13:AM14"/>
    <mergeCell ref="AM5:AM6"/>
    <mergeCell ref="AL15:AL17"/>
    <mergeCell ref="AM10:AM12"/>
    <mergeCell ref="Y33:Z33"/>
    <mergeCell ref="Y34:Z34"/>
    <mergeCell ref="AF2:AI14"/>
    <mergeCell ref="AF15:AI17"/>
    <mergeCell ref="AE2:AE13"/>
    <mergeCell ref="AB2:AC2"/>
    <mergeCell ref="AB3:AC3"/>
    <mergeCell ref="AB4:AC4"/>
    <mergeCell ref="AB5:AC5"/>
    <mergeCell ref="Y40:Z40"/>
    <mergeCell ref="AV1:AX1"/>
    <mergeCell ref="AN98:AX127"/>
    <mergeCell ref="AR2:AU4"/>
    <mergeCell ref="AG18:AI18"/>
    <mergeCell ref="AF28:AI32"/>
    <mergeCell ref="AN74:AX74"/>
    <mergeCell ref="AN75:AX75"/>
    <mergeCell ref="AF48:AI53"/>
    <mergeCell ref="AF54:AH54"/>
    <mergeCell ref="AN59:AX59"/>
    <mergeCell ref="AI19:AI27"/>
    <mergeCell ref="AN29:AX29"/>
    <mergeCell ref="AN30:AX30"/>
    <mergeCell ref="AN31:AX31"/>
    <mergeCell ref="AN32:AX32"/>
    <mergeCell ref="AN33:AX33"/>
    <mergeCell ref="AL28:AL32"/>
    <mergeCell ref="AN28:AX28"/>
    <mergeCell ref="AN65:AX65"/>
    <mergeCell ref="AN19:AX19"/>
    <mergeCell ref="AR1:AU1"/>
    <mergeCell ref="Y18:Z28"/>
    <mergeCell ref="Y41:Z41"/>
    <mergeCell ref="AA230:AE231"/>
    <mergeCell ref="P230:V231"/>
    <mergeCell ref="I225:O227"/>
    <mergeCell ref="AA225:AE227"/>
    <mergeCell ref="D227:E227"/>
    <mergeCell ref="B225:C225"/>
    <mergeCell ref="P225:V227"/>
    <mergeCell ref="D225:E225"/>
    <mergeCell ref="P197:V203"/>
    <mergeCell ref="W197:Z203"/>
    <mergeCell ref="AA204:AE224"/>
    <mergeCell ref="K206:O224"/>
    <mergeCell ref="AA197:AE203"/>
    <mergeCell ref="P204:V224"/>
    <mergeCell ref="W230:Z231"/>
    <mergeCell ref="I197:O203"/>
    <mergeCell ref="K204:O205"/>
    <mergeCell ref="C205:E205"/>
    <mergeCell ref="W225:Z227"/>
    <mergeCell ref="W204:Z224"/>
    <mergeCell ref="G197:H203"/>
    <mergeCell ref="B227:C227"/>
    <mergeCell ref="B231:E231"/>
    <mergeCell ref="C204:E204"/>
    <mergeCell ref="I204:J205"/>
    <mergeCell ref="G204:H224"/>
    <mergeCell ref="B230:E230"/>
    <mergeCell ref="B138:E138"/>
    <mergeCell ref="B139:E139"/>
    <mergeCell ref="B140:E140"/>
    <mergeCell ref="B141:E141"/>
    <mergeCell ref="B142:E142"/>
    <mergeCell ref="G142:H142"/>
    <mergeCell ref="G139:H139"/>
    <mergeCell ref="B226:C226"/>
    <mergeCell ref="D226:E226"/>
    <mergeCell ref="I230:O231"/>
    <mergeCell ref="B203:F203"/>
    <mergeCell ref="B204:B205"/>
    <mergeCell ref="M142:N142"/>
    <mergeCell ref="I138:L138"/>
    <mergeCell ref="I139:L139"/>
    <mergeCell ref="I176:O176"/>
    <mergeCell ref="D177:E186"/>
    <mergeCell ref="D187:E196"/>
    <mergeCell ref="B176:E176"/>
    <mergeCell ref="B197:E197"/>
    <mergeCell ref="E198:E202"/>
    <mergeCell ref="AL225:AX227"/>
    <mergeCell ref="AA132:AE142"/>
    <mergeCell ref="AA42:AE47"/>
    <mergeCell ref="Y48:Z48"/>
    <mergeCell ref="AA48:AE48"/>
    <mergeCell ref="AD67:AD70"/>
    <mergeCell ref="AD55:AD58"/>
    <mergeCell ref="AD59:AD62"/>
    <mergeCell ref="AA54:AE54"/>
    <mergeCell ref="Y83:Z83"/>
    <mergeCell ref="W98:Z127"/>
    <mergeCell ref="AA98:AE127"/>
    <mergeCell ref="AN55:AX55"/>
    <mergeCell ref="AN56:AX56"/>
    <mergeCell ref="AA143:AE175"/>
    <mergeCell ref="AA177:AE196"/>
    <mergeCell ref="AI67:AI70"/>
    <mergeCell ref="AA128:AE131"/>
    <mergeCell ref="AD63:AD66"/>
    <mergeCell ref="AF204:AI224"/>
    <mergeCell ref="AN58:AX58"/>
    <mergeCell ref="AN63:AX63"/>
    <mergeCell ref="AN42:AX43"/>
    <mergeCell ref="AN46:AX47"/>
    <mergeCell ref="AL230:AX231"/>
    <mergeCell ref="AF98:AI127"/>
    <mergeCell ref="AF132:AI142"/>
    <mergeCell ref="AF143:AH175"/>
    <mergeCell ref="AL197:AX203"/>
    <mergeCell ref="AN77:AX77"/>
    <mergeCell ref="AN78:AX78"/>
    <mergeCell ref="AN79:AX79"/>
    <mergeCell ref="AN80:AX80"/>
    <mergeCell ref="AN81:AX81"/>
    <mergeCell ref="AN82:AX82"/>
    <mergeCell ref="AL132:AX142"/>
    <mergeCell ref="AM143:AX175"/>
    <mergeCell ref="AL176:AX176"/>
    <mergeCell ref="AM98:AM127"/>
    <mergeCell ref="AL83:AX97"/>
    <mergeCell ref="AL128:AX131"/>
    <mergeCell ref="AF230:AI231"/>
    <mergeCell ref="AF83:AI97"/>
    <mergeCell ref="AF225:AI227"/>
    <mergeCell ref="AF197:AI203"/>
    <mergeCell ref="AL155:AL156"/>
    <mergeCell ref="AL177:AX196"/>
    <mergeCell ref="AL204:AX224"/>
    <mergeCell ref="AN44:AX45"/>
    <mergeCell ref="AI63:AI66"/>
    <mergeCell ref="AI75:AI78"/>
    <mergeCell ref="AI79:AI82"/>
    <mergeCell ref="AM43:AM46"/>
    <mergeCell ref="AL48:AX53"/>
    <mergeCell ref="AN54:AX54"/>
    <mergeCell ref="AF42:AI47"/>
    <mergeCell ref="AL42:AL47"/>
    <mergeCell ref="AA83:AE97"/>
    <mergeCell ref="AI55:AI58"/>
    <mergeCell ref="AI59:AI62"/>
    <mergeCell ref="AN71:AX71"/>
    <mergeCell ref="AN72:AX72"/>
    <mergeCell ref="AN73:AX73"/>
    <mergeCell ref="AN68:AX68"/>
    <mergeCell ref="AN69:AX69"/>
    <mergeCell ref="AF177:AI196"/>
    <mergeCell ref="AL157:AL158"/>
    <mergeCell ref="AL159:AL160"/>
    <mergeCell ref="AN1:AO1"/>
    <mergeCell ref="C143:E143"/>
    <mergeCell ref="AF176:AI176"/>
    <mergeCell ref="W84:W97"/>
    <mergeCell ref="AN57:AX57"/>
    <mergeCell ref="AN64:AX64"/>
    <mergeCell ref="AN76:AX76"/>
    <mergeCell ref="Y84:Z97"/>
    <mergeCell ref="AD79:AD82"/>
    <mergeCell ref="AD75:AD78"/>
    <mergeCell ref="AN60:AX60"/>
    <mergeCell ref="AD71:AD74"/>
    <mergeCell ref="AF128:AI131"/>
    <mergeCell ref="Z128:Z131"/>
    <mergeCell ref="AN70:AX70"/>
    <mergeCell ref="AL98:AL127"/>
    <mergeCell ref="AN61:AX61"/>
    <mergeCell ref="AN62:AX62"/>
    <mergeCell ref="AA176:AE176"/>
    <mergeCell ref="AN66:AX66"/>
    <mergeCell ref="AN67:AX67"/>
    <mergeCell ref="AI71:AI74"/>
    <mergeCell ref="W132:Z142"/>
    <mergeCell ref="W143:Z175"/>
  </mergeCells>
  <conditionalFormatting sqref="X83">
    <cfRule type="expression" dxfId="1167" priority="6306" stopIfTrue="1">
      <formula>PROGRAMME.JOUR&lt;&gt;"DIMANCHE"</formula>
    </cfRule>
  </conditionalFormatting>
  <conditionalFormatting sqref="H83">
    <cfRule type="expression" dxfId="1166" priority="6301" stopIfTrue="1">
      <formula>TODAY="VENDREDI"</formula>
    </cfRule>
  </conditionalFormatting>
  <conditionalFormatting sqref="W28">
    <cfRule type="expression" dxfId="1165" priority="6298" stopIfTrue="1">
      <formula>OR(HEURE.DU.RDV&lt;&gt;"",HEURE.DE.LA.TV&lt;&gt;"",EVE.DEP&lt;&gt;"")</formula>
    </cfRule>
  </conditionalFormatting>
  <conditionalFormatting sqref="Z9">
    <cfRule type="expression" dxfId="1164" priority="6262" stopIfTrue="1">
      <formula>VER="OK"</formula>
    </cfRule>
  </conditionalFormatting>
  <conditionalFormatting sqref="M83">
    <cfRule type="expression" dxfId="1163" priority="6259" stopIfTrue="1">
      <formula>OR(DATE.COLLER.2&lt;&gt;DATE.COPIER.2,$AA$18&lt;&gt;"",ATTEINDRE.PHRASE&lt;&gt;"OK",RDV.DEPAS&lt;&gt;"",FERIE&lt;&gt;"",HEURE.DU.RDV&lt;&gt;"",HEURE.DE.LA.TV&lt;&gt;"")</formula>
    </cfRule>
  </conditionalFormatting>
  <conditionalFormatting sqref="I47 B47">
    <cfRule type="expression" dxfId="1162" priority="6254" stopIfTrue="1">
      <formula>A.VERIFIER&lt;&gt;""</formula>
    </cfRule>
    <cfRule type="expression" dxfId="1161" priority="6255" stopIfTrue="1">
      <formula>OR(DATE.FINALE=JH,DATE.FINALE=CONCATENATE(JH," #RIEN AUJOURD'HUI#"))</formula>
    </cfRule>
  </conditionalFormatting>
  <conditionalFormatting sqref="E198">
    <cfRule type="expression" dxfId="1160" priority="6252" stopIfTrue="1">
      <formula>VER.99&lt;&gt;""</formula>
    </cfRule>
  </conditionalFormatting>
  <conditionalFormatting sqref="F19:F21">
    <cfRule type="expression" dxfId="1159" priority="6249" stopIfTrue="1">
      <formula>OR($B$19="BONNE NUIT CEDRIK",$K$10&gt;23)</formula>
    </cfRule>
    <cfRule type="expression" dxfId="1158" priority="6250" stopIfTrue="1">
      <formula>$B$19="BONSOIR CEDRIK"</formula>
    </cfRule>
    <cfRule type="expression" dxfId="1157" priority="6251" stopIfTrue="1">
      <formula>$B$19="BONJOUR CEDRIK"</formula>
    </cfRule>
  </conditionalFormatting>
  <conditionalFormatting sqref="F18 F22">
    <cfRule type="expression" dxfId="1156" priority="6246" stopIfTrue="1">
      <formula>OR($B$19="BONNE NUIT",$I$10&gt;23)</formula>
    </cfRule>
    <cfRule type="expression" dxfId="1155" priority="6247" stopIfTrue="1">
      <formula>$B$19="BONSOIR"</formula>
    </cfRule>
    <cfRule type="expression" dxfId="1154" priority="6248" stopIfTrue="1">
      <formula>$B$19="BONJOUR"</formula>
    </cfRule>
  </conditionalFormatting>
  <conditionalFormatting sqref="AG19:AH19">
    <cfRule type="expression" dxfId="1153" priority="6244" stopIfTrue="1">
      <formula>$W$19&lt;&gt;""</formula>
    </cfRule>
  </conditionalFormatting>
  <conditionalFormatting sqref="AG20:AH20">
    <cfRule type="expression" dxfId="1152" priority="6243" stopIfTrue="1">
      <formula>$W$20&lt;&gt;""</formula>
    </cfRule>
  </conditionalFormatting>
  <conditionalFormatting sqref="AG21:AH21">
    <cfRule type="expression" dxfId="1151" priority="6242" stopIfTrue="1">
      <formula>$W$21&lt;&gt;""</formula>
    </cfRule>
  </conditionalFormatting>
  <conditionalFormatting sqref="AG22:AH22">
    <cfRule type="expression" dxfId="1150" priority="6241" stopIfTrue="1">
      <formula>$W$22&lt;&gt;""</formula>
    </cfRule>
  </conditionalFormatting>
  <conditionalFormatting sqref="AG23:AH23">
    <cfRule type="expression" dxfId="1149" priority="6240" stopIfTrue="1">
      <formula>$W$23&lt;&gt;""</formula>
    </cfRule>
  </conditionalFormatting>
  <conditionalFormatting sqref="AG24:AH24">
    <cfRule type="expression" dxfId="1148" priority="6239" stopIfTrue="1">
      <formula>$W$24&lt;&gt;""</formula>
    </cfRule>
  </conditionalFormatting>
  <conditionalFormatting sqref="AG25:AH25">
    <cfRule type="expression" dxfId="1147" priority="6238" stopIfTrue="1">
      <formula>$W$25&lt;&gt;""</formula>
    </cfRule>
  </conditionalFormatting>
  <conditionalFormatting sqref="AG26:AH26">
    <cfRule type="expression" dxfId="1146" priority="6237" stopIfTrue="1">
      <formula>$W$26&lt;&gt;""</formula>
    </cfRule>
  </conditionalFormatting>
  <conditionalFormatting sqref="AG27:AH27">
    <cfRule type="expression" dxfId="1145" priority="6236" stopIfTrue="1">
      <formula>$W$27&lt;&gt;""</formula>
    </cfRule>
  </conditionalFormatting>
  <conditionalFormatting sqref="I19:O19">
    <cfRule type="expression" dxfId="1144" priority="6234" stopIfTrue="1">
      <formula>$Q19="#DEPASSE#"</formula>
    </cfRule>
    <cfRule type="expression" dxfId="1143" priority="6235" stopIfTrue="1">
      <formula>$M19=0</formula>
    </cfRule>
  </conditionalFormatting>
  <conditionalFormatting sqref="I20:O20">
    <cfRule type="expression" dxfId="1142" priority="6232" stopIfTrue="1">
      <formula>$Q20="#DEPASSE#"</formula>
    </cfRule>
    <cfRule type="expression" dxfId="1141" priority="6233" stopIfTrue="1">
      <formula>$M20=0</formula>
    </cfRule>
  </conditionalFormatting>
  <conditionalFormatting sqref="AA33:AB33">
    <cfRule type="expression" dxfId="1140" priority="6221" stopIfTrue="1">
      <formula>$AA33="CHAMPIONNAT"</formula>
    </cfRule>
    <cfRule type="expression" dxfId="1139" priority="6222" stopIfTrue="1">
      <formula>$AA33="CHAMPION'S LEAGUE"</formula>
    </cfRule>
    <cfRule type="expression" dxfId="1138" priority="6223" stopIfTrue="1">
      <formula>$AA33="UEFA"</formula>
    </cfRule>
    <cfRule type="expression" dxfId="1137" priority="6224" stopIfTrue="1">
      <formula>$AA33="COUPE DE FRANCE"</formula>
    </cfRule>
    <cfRule type="expression" dxfId="1136" priority="6225" stopIfTrue="1">
      <formula>$AA33="COUPE DE LA LIGUE"</formula>
    </cfRule>
    <cfRule type="expression" dxfId="1135" priority="6226" stopIfTrue="1">
      <formula>$AA33="FORMULE 1"</formula>
    </cfRule>
    <cfRule type="expression" dxfId="1134" priority="6227" stopIfTrue="1">
      <formula>$AA33="MONDIAL"</formula>
    </cfRule>
    <cfRule type="expression" dxfId="1133" priority="6228" stopIfTrue="1">
      <formula>$AA33="EURO"</formula>
    </cfRule>
    <cfRule type="expression" dxfId="1132" priority="6229" stopIfTrue="1">
      <formula>$AA33="CONFEDERATIONS"</formula>
    </cfRule>
    <cfRule type="expression" dxfId="1131" priority="6230" stopIfTrue="1">
      <formula>$AB$33="#DEPASSE#"</formula>
    </cfRule>
  </conditionalFormatting>
  <conditionalFormatting sqref="AA49">
    <cfRule type="expression" dxfId="1130" priority="6220" stopIfTrue="1">
      <formula>NBR.RDV.DEPAS&lt;&gt;""</formula>
    </cfRule>
  </conditionalFormatting>
  <conditionalFormatting sqref="B143:C143">
    <cfRule type="expression" dxfId="1129" priority="6209" stopIfTrue="1">
      <formula>$S$33="#DEPASSE#"</formula>
    </cfRule>
    <cfRule type="expression" dxfId="1128" priority="6210" stopIfTrue="1">
      <formula>DATE.FICHIER.A.OUVRIR=0</formula>
    </cfRule>
    <cfRule type="expression" dxfId="1127" priority="6211" stopIfTrue="1">
      <formula>X="CHAMPIONNAT"</formula>
    </cfRule>
    <cfRule type="expression" dxfId="1126" priority="6212" stopIfTrue="1">
      <formula>X="CHAMPION'S LEAGUE"</formula>
    </cfRule>
    <cfRule type="expression" dxfId="1125" priority="6213" stopIfTrue="1">
      <formula>X="UEFA"</formula>
    </cfRule>
    <cfRule type="expression" dxfId="1124" priority="6214" stopIfTrue="1">
      <formula>X="COUPE DE FRANCE"</formula>
    </cfRule>
    <cfRule type="expression" dxfId="1123" priority="6215" stopIfTrue="1">
      <formula>X="COUPE DE LA LIGUE"</formula>
    </cfRule>
    <cfRule type="expression" dxfId="1122" priority="6216" stopIfTrue="1">
      <formula>X="FORMULE 1"</formula>
    </cfRule>
    <cfRule type="expression" dxfId="1121" priority="6217" stopIfTrue="1">
      <formula>X="MONDIAL"</formula>
    </cfRule>
    <cfRule type="expression" dxfId="1120" priority="6218" stopIfTrue="1">
      <formula>X="EURO"</formula>
    </cfRule>
    <cfRule type="expression" dxfId="1119" priority="6219" stopIfTrue="1">
      <formula>X="CONFEDERATIONS"</formula>
    </cfRule>
  </conditionalFormatting>
  <conditionalFormatting sqref="W33">
    <cfRule type="expression" dxfId="1118" priority="6208" stopIfTrue="1">
      <formula>OR($D33="",$L33="A MODIFIER",$L33="#DEPASSE#",#REF!&lt;&gt;"")</formula>
    </cfRule>
  </conditionalFormatting>
  <conditionalFormatting sqref="AA34:AB34">
    <cfRule type="expression" dxfId="1117" priority="6162" stopIfTrue="1">
      <formula>$AA34="CHAMPIONNAT"</formula>
    </cfRule>
    <cfRule type="expression" dxfId="1116" priority="6163" stopIfTrue="1">
      <formula>$AA34="CHAMPIO'S LEAGUE"</formula>
    </cfRule>
    <cfRule type="expression" dxfId="1115" priority="6164" stopIfTrue="1">
      <formula>$AA34="UEFA"</formula>
    </cfRule>
    <cfRule type="expression" dxfId="1114" priority="6165" stopIfTrue="1">
      <formula>$AA34="COUPE DE FRANCE"</formula>
    </cfRule>
    <cfRule type="expression" dxfId="1113" priority="6166" stopIfTrue="1">
      <formula>$AA34="COUPE DE LA LIGUE"</formula>
    </cfRule>
    <cfRule type="expression" dxfId="1112" priority="6167" stopIfTrue="1">
      <formula>$AA34="FORMULE 1"</formula>
    </cfRule>
    <cfRule type="expression" dxfId="1111" priority="6168" stopIfTrue="1">
      <formula>$AA34="MONDIAL"</formula>
    </cfRule>
    <cfRule type="expression" dxfId="1110" priority="6169" stopIfTrue="1">
      <formula>$AA34="EURO"</formula>
    </cfRule>
    <cfRule type="expression" dxfId="1109" priority="6170" stopIfTrue="1">
      <formula>$AA34="CONFEDERATIONS"</formula>
    </cfRule>
    <cfRule type="expression" dxfId="1108" priority="6171" stopIfTrue="1">
      <formula>$AB$34="#DEPASSE#"</formula>
    </cfRule>
  </conditionalFormatting>
  <conditionalFormatting sqref="X34">
    <cfRule type="expression" dxfId="1107" priority="6041" stopIfTrue="1">
      <formula>OR($D34="",$L34="A MODIFIER",$L34="#DEPASSE#")</formula>
    </cfRule>
    <cfRule type="expression" dxfId="1106" priority="6042" stopIfTrue="1">
      <formula>OR($D34&lt;1,$L34="AUJOURD'HUI")</formula>
    </cfRule>
    <cfRule type="expression" dxfId="1105" priority="6043" stopIfTrue="1">
      <formula>$A34="CHAMPIONNAT"</formula>
    </cfRule>
    <cfRule type="expression" dxfId="1104" priority="6044" stopIfTrue="1">
      <formula>$A34="CHAMPION'S LEAGUE"</formula>
    </cfRule>
    <cfRule type="expression" dxfId="1103" priority="6045" stopIfTrue="1">
      <formula>$A34="UEFA"</formula>
    </cfRule>
    <cfRule type="expression" dxfId="1102" priority="6046" stopIfTrue="1">
      <formula>$A34="COUPE DE FRANCE"</formula>
    </cfRule>
    <cfRule type="expression" dxfId="1101" priority="6047" stopIfTrue="1">
      <formula>$A34="COUPE DE LA LIGUE"</formula>
    </cfRule>
    <cfRule type="expression" dxfId="1100" priority="6048" stopIfTrue="1">
      <formula>$A34="FORMULE 1"</formula>
    </cfRule>
    <cfRule type="expression" dxfId="1099" priority="6049" stopIfTrue="1">
      <formula>$A34="MONDIAL"</formula>
    </cfRule>
    <cfRule type="expression" dxfId="1098" priority="6050" stopIfTrue="1">
      <formula>$A34="EURO"</formula>
    </cfRule>
    <cfRule type="expression" dxfId="1097" priority="6051" stopIfTrue="1">
      <formula>$A34="CONFEDERATION"</formula>
    </cfRule>
  </conditionalFormatting>
  <conditionalFormatting sqref="B25:E26">
    <cfRule type="expression" dxfId="1096" priority="784" stopIfTrue="1">
      <formula>AND(TV&lt;&gt;"",OR(DATE.DEPASSE&lt;0,DEPASC&lt;&gt;0,$AN$27="@"))</formula>
    </cfRule>
    <cfRule type="expression" dxfId="1095" priority="3124" stopIfTrue="1">
      <formula>AND(TV.DEPAS&lt;&gt;"",$B$25=TV.DEPAS)</formula>
    </cfRule>
    <cfRule type="expression" dxfId="1094" priority="5734" stopIfTrue="1">
      <formula>OR($P$197&lt;&gt;"")</formula>
    </cfRule>
    <cfRule type="expression" dxfId="1093" priority="5735" stopIfTrue="1">
      <formula>AND(TV&lt;&gt;"",TV=SUBSTITUTE(SUBSTITUTE(DEMAIN.TV,DATE.RDV.TV,""),"{1 PROG}= ",""))</formula>
    </cfRule>
    <cfRule type="expression" dxfId="1092" priority="5736" stopIfTrue="1">
      <formula>AND($B$23="",$B$25="")</formula>
    </cfRule>
    <cfRule type="expression" dxfId="1091" priority="5738" stopIfTrue="1">
      <formula>AND(TV&lt;&gt;"",TV&lt;&gt;TODAY.TV)</formula>
    </cfRule>
    <cfRule type="expression" dxfId="1090" priority="5739" stopIfTrue="1">
      <formula>TV&lt;&gt;""</formula>
    </cfRule>
    <cfRule type="expression" dxfId="1089" priority="5740" stopIfTrue="1">
      <formula>AND(RESULT&lt;&gt;"",TV&lt;&gt;"")</formula>
    </cfRule>
  </conditionalFormatting>
  <conditionalFormatting sqref="B23:E24">
    <cfRule type="expression" dxfId="1088" priority="212" stopIfTrue="1">
      <formula>$D$16="DEPASSE"</formula>
    </cfRule>
    <cfRule type="expression" dxfId="1087" priority="2581" stopIfTrue="1">
      <formula>OR(DANS.1="DEPASSE",ENVIE.DEP&lt;&gt;"",AND($B$18&lt;&gt;"",$B$23&lt;&gt;"",$B$23=$B$18,$D$16="depasse"))</formula>
    </cfRule>
    <cfRule type="expression" dxfId="1086" priority="5729" stopIfTrue="1">
      <formula>AND($B$23&lt;&gt;"",$B$25&lt;&gt;"",$B$23=$B$25)</formula>
    </cfRule>
    <cfRule type="expression" dxfId="1085" priority="5730" stopIfTrue="1">
      <formula>AND($B$23="",$B$25&lt;&gt;"")</formula>
    </cfRule>
    <cfRule type="expression" dxfId="1084" priority="5731" stopIfTrue="1">
      <formula>AND($B$23="",$B$25="")</formula>
    </cfRule>
    <cfRule type="expression" dxfId="1083" priority="5732" stopIfTrue="1">
      <formula>$B$23&lt;&gt;""</formula>
    </cfRule>
    <cfRule type="expression" dxfId="1082" priority="5733" stopIfTrue="1">
      <formula>AND(RESULT&lt;&gt;"",RESULT&lt;&gt;$A$48)</formula>
    </cfRule>
    <cfRule type="expression" dxfId="1081" priority="6038" stopIfTrue="1">
      <formula>RESULT&lt;&gt;""</formula>
    </cfRule>
  </conditionalFormatting>
  <conditionalFormatting sqref="B206:E206">
    <cfRule type="expression" dxfId="1080" priority="5656" stopIfTrue="1">
      <formula>OR($C206-A&lt;-1,$E206="#DEPASSE DEPUIS HIER#")</formula>
    </cfRule>
    <cfRule type="expression" dxfId="1079" priority="5657" stopIfTrue="1">
      <formula>$E206=""</formula>
    </cfRule>
    <cfRule type="expression" dxfId="1078" priority="5658" stopIfTrue="1">
      <formula>MONTH($C206)=MONTH(A)</formula>
    </cfRule>
    <cfRule type="expression" dxfId="1077" priority="5659" stopIfTrue="1">
      <formula>$C206=A</formula>
    </cfRule>
    <cfRule type="expression" dxfId="1076" priority="5661" stopIfTrue="1">
      <formula>OR($D206="SAMEDI",$D206="DIMANCHE")</formula>
    </cfRule>
  </conditionalFormatting>
  <conditionalFormatting sqref="B207:E207">
    <cfRule type="expression" dxfId="1075" priority="5650" stopIfTrue="1">
      <formula>OR($C207-A&lt;-1,$E207="#DEPASSE DEPUIS HIER#")</formula>
    </cfRule>
    <cfRule type="expression" dxfId="1074" priority="5651" stopIfTrue="1">
      <formula>$E207=""</formula>
    </cfRule>
    <cfRule type="expression" dxfId="1073" priority="5652" stopIfTrue="1">
      <formula>MONTH($C207)=MONTH(A)</formula>
    </cfRule>
    <cfRule type="expression" dxfId="1072" priority="5653" stopIfTrue="1">
      <formula>$C207=A</formula>
    </cfRule>
    <cfRule type="expression" dxfId="1071" priority="5655" stopIfTrue="1">
      <formula>OR($D207="SAMEDI",$D207="DIMANCHE")</formula>
    </cfRule>
  </conditionalFormatting>
  <conditionalFormatting sqref="B20:E22">
    <cfRule type="expression" dxfId="1070" priority="5647" stopIfTrue="1">
      <formula>OR(JOUR.NUIT="BONNE NUIT CEDRIK",MAINTENANT&gt;23)</formula>
    </cfRule>
    <cfRule type="expression" dxfId="1069" priority="5648" stopIfTrue="1">
      <formula>JOUR.NUIT="BONSOIR CEDRIK"</formula>
    </cfRule>
    <cfRule type="expression" dxfId="1068" priority="5649" stopIfTrue="1">
      <formula>JOUR.NUIT="BONJOUR CEDRIK"</formula>
    </cfRule>
  </conditionalFormatting>
  <conditionalFormatting sqref="I21:O21">
    <cfRule type="expression" dxfId="1067" priority="5402" stopIfTrue="1">
      <formula>$Q21="#DEPASSE#"</formula>
    </cfRule>
    <cfRule type="expression" dxfId="1066" priority="5403" stopIfTrue="1">
      <formula>$M21=0</formula>
    </cfRule>
  </conditionalFormatting>
  <conditionalFormatting sqref="I22:O22">
    <cfRule type="expression" dxfId="1065" priority="5400" stopIfTrue="1">
      <formula>$Q22="#DEPASSE#"</formula>
    </cfRule>
    <cfRule type="expression" dxfId="1064" priority="5401" stopIfTrue="1">
      <formula>$M22=0</formula>
    </cfRule>
  </conditionalFormatting>
  <conditionalFormatting sqref="I23:O23">
    <cfRule type="expression" dxfId="1063" priority="5398" stopIfTrue="1">
      <formula>$Q23="#DEPASSE#"</formula>
    </cfRule>
    <cfRule type="expression" dxfId="1062" priority="5399" stopIfTrue="1">
      <formula>$M23=0</formula>
    </cfRule>
  </conditionalFormatting>
  <conditionalFormatting sqref="I24:O24">
    <cfRule type="expression" dxfId="1061" priority="5396" stopIfTrue="1">
      <formula>$Q24="#DEPASSE#"</formula>
    </cfRule>
    <cfRule type="expression" dxfId="1060" priority="5397" stopIfTrue="1">
      <formula>$M24=0</formula>
    </cfRule>
  </conditionalFormatting>
  <conditionalFormatting sqref="I25:O25">
    <cfRule type="expression" dxfId="1059" priority="5394" stopIfTrue="1">
      <formula>$Q25="#DEPASSE#"</formula>
    </cfRule>
    <cfRule type="expression" dxfId="1058" priority="5395" stopIfTrue="1">
      <formula>$M25=0</formula>
    </cfRule>
  </conditionalFormatting>
  <conditionalFormatting sqref="I26:O26">
    <cfRule type="expression" dxfId="1057" priority="5392" stopIfTrue="1">
      <formula>$Q26="#DEPASSE#"</formula>
    </cfRule>
    <cfRule type="expression" dxfId="1056" priority="5393" stopIfTrue="1">
      <formula>$M26=0</formula>
    </cfRule>
  </conditionalFormatting>
  <conditionalFormatting sqref="I27:O27">
    <cfRule type="expression" dxfId="1055" priority="5390" stopIfTrue="1">
      <formula>$Q27="#DEPASSE#"</formula>
    </cfRule>
    <cfRule type="expression" dxfId="1054" priority="5391" stopIfTrue="1">
      <formula>$M27=0</formula>
    </cfRule>
  </conditionalFormatting>
  <conditionalFormatting sqref="AD2:AD13">
    <cfRule type="expression" dxfId="1053" priority="4617" stopIfTrue="1">
      <formula>AD2&lt;&gt;0</formula>
    </cfRule>
  </conditionalFormatting>
  <conditionalFormatting sqref="AE2:AE13">
    <cfRule type="expression" dxfId="1052" priority="4616" stopIfTrue="1">
      <formula>$AE$2&lt;&gt;0</formula>
    </cfRule>
  </conditionalFormatting>
  <conditionalFormatting sqref="AA14:AE17">
    <cfRule type="expression" dxfId="1051" priority="4614" stopIfTrue="1">
      <formula>PROGRAMMES.DEPASSE&lt;&gt;""</formula>
    </cfRule>
  </conditionalFormatting>
  <conditionalFormatting sqref="X34">
    <cfRule type="expression" dxfId="1050" priority="5262" stopIfTrue="1">
      <formula>OR($D34="",$L34="A MODIFIER",$L34="#DEPASSE#")</formula>
    </cfRule>
    <cfRule type="expression" dxfId="1049" priority="5263" stopIfTrue="1">
      <formula>OR($D34&lt;1,$L34="AUJOURD'HUI")</formula>
    </cfRule>
    <cfRule type="expression" dxfId="1048" priority="5264" stopIfTrue="1">
      <formula>$A34="CHAMPIONNAT"</formula>
    </cfRule>
    <cfRule type="expression" dxfId="1047" priority="5265" stopIfTrue="1">
      <formula>$A34="CHAMPION'S LEAGUE"</formula>
    </cfRule>
    <cfRule type="expression" dxfId="1046" priority="5266" stopIfTrue="1">
      <formula>$A34="UEFA"</formula>
    </cfRule>
    <cfRule type="expression" dxfId="1045" priority="5267" stopIfTrue="1">
      <formula>$A34="COUPE DE FRANCE"</formula>
    </cfRule>
    <cfRule type="expression" dxfId="1044" priority="5268" stopIfTrue="1">
      <formula>$A34="COUPE DE LA LIGUE"</formula>
    </cfRule>
    <cfRule type="expression" dxfId="1043" priority="5269" stopIfTrue="1">
      <formula>$A34="FORMULE 1"</formula>
    </cfRule>
    <cfRule type="expression" dxfId="1042" priority="5270" stopIfTrue="1">
      <formula>$A34="MONDIAL"</formula>
    </cfRule>
    <cfRule type="expression" dxfId="1041" priority="5271" stopIfTrue="1">
      <formula>$A34="EURO"</formula>
    </cfRule>
  </conditionalFormatting>
  <conditionalFormatting sqref="A35">
    <cfRule type="expression" dxfId="1040" priority="4111" stopIfTrue="1">
      <formula>OR($D35="",$L35="A MODIFIER",$L35="#DEPASSE#")</formula>
    </cfRule>
    <cfRule type="expression" dxfId="1039" priority="4112" stopIfTrue="1">
      <formula>OR($D35&lt;1,$L35="AUJOURD'HUI")</formula>
    </cfRule>
    <cfRule type="expression" dxfId="1038" priority="4113" stopIfTrue="1">
      <formula>$A35="CHAMPIONNAT"</formula>
    </cfRule>
    <cfRule type="expression" dxfId="1037" priority="4114" stopIfTrue="1">
      <formula>$A35="CHAMPION'S LEAGUE"</formula>
    </cfRule>
    <cfRule type="expression" dxfId="1036" priority="4115" stopIfTrue="1">
      <formula>$A35="UEFA"</formula>
    </cfRule>
    <cfRule type="expression" dxfId="1035" priority="4116" stopIfTrue="1">
      <formula>$A35="COUPE DE FRANCE"</formula>
    </cfRule>
    <cfRule type="expression" dxfId="1034" priority="4117" stopIfTrue="1">
      <formula>$A35="COUPE DE LA LIGUE"</formula>
    </cfRule>
    <cfRule type="expression" dxfId="1033" priority="4118" stopIfTrue="1">
      <formula>$A35="FORMULE 1"</formula>
    </cfRule>
    <cfRule type="expression" dxfId="1032" priority="4119" stopIfTrue="1">
      <formula>$A35="MONDIAL"</formula>
    </cfRule>
    <cfRule type="expression" dxfId="1031" priority="4120" stopIfTrue="1">
      <formula>$A35="EURO"</formula>
    </cfRule>
    <cfRule type="expression" dxfId="1030" priority="4121" stopIfTrue="1">
      <formula>$A35="CONFEDERATIONS"</formula>
    </cfRule>
  </conditionalFormatting>
  <conditionalFormatting sqref="A36">
    <cfRule type="expression" dxfId="1029" priority="4110" stopIfTrue="1">
      <formula>OR($D36="",$L36="A MODIFIER",$L36="#DEPASSE#")</formula>
    </cfRule>
  </conditionalFormatting>
  <conditionalFormatting sqref="A36">
    <cfRule type="expression" dxfId="1028" priority="4109" stopIfTrue="1">
      <formula>OR($D36&lt;1,$L36="AUJOURD'HUI")</formula>
    </cfRule>
  </conditionalFormatting>
  <conditionalFormatting sqref="A36">
    <cfRule type="expression" dxfId="1027" priority="4108" stopIfTrue="1">
      <formula>$A36="CHAMPIONNAT"</formula>
    </cfRule>
  </conditionalFormatting>
  <conditionalFormatting sqref="A36">
    <cfRule type="expression" dxfId="1026" priority="4107" stopIfTrue="1">
      <formula>$A36="CHAMPION'S LEAGUE"</formula>
    </cfRule>
  </conditionalFormatting>
  <conditionalFormatting sqref="A36">
    <cfRule type="expression" dxfId="1025" priority="4106" stopIfTrue="1">
      <formula>$A36="UEFA"</formula>
    </cfRule>
  </conditionalFormatting>
  <conditionalFormatting sqref="A36">
    <cfRule type="expression" dxfId="1024" priority="4105" stopIfTrue="1">
      <formula>$A36="COUPE DE FRANCE"</formula>
    </cfRule>
  </conditionalFormatting>
  <conditionalFormatting sqref="A36">
    <cfRule type="expression" dxfId="1023" priority="4104" stopIfTrue="1">
      <formula>$A36="FORMULE 1"</formula>
    </cfRule>
  </conditionalFormatting>
  <conditionalFormatting sqref="A36">
    <cfRule type="expression" dxfId="1022" priority="4103" stopIfTrue="1">
      <formula>$A36="COUPE DE LA LIGUE"</formula>
    </cfRule>
  </conditionalFormatting>
  <conditionalFormatting sqref="A36">
    <cfRule type="expression" dxfId="1021" priority="4102" stopIfTrue="1">
      <formula>$A36="MONDIAL"</formula>
    </cfRule>
  </conditionalFormatting>
  <conditionalFormatting sqref="A36">
    <cfRule type="expression" dxfId="1020" priority="4101" stopIfTrue="1">
      <formula>$A36="EURO"</formula>
    </cfRule>
  </conditionalFormatting>
  <conditionalFormatting sqref="A36">
    <cfRule type="expression" dxfId="1019" priority="4100" stopIfTrue="1">
      <formula>$A36="CONFEDERATIONS"</formula>
    </cfRule>
  </conditionalFormatting>
  <conditionalFormatting sqref="A37">
    <cfRule type="expression" dxfId="1018" priority="4078" stopIfTrue="1">
      <formula>OR($D37="",$L37="A MODIFIER",$L37="#DEPASSE#")</formula>
    </cfRule>
    <cfRule type="expression" dxfId="1017" priority="4079" stopIfTrue="1">
      <formula>OR($D37&lt;1,$L37="AUJOURD'HUI")</formula>
    </cfRule>
    <cfRule type="expression" dxfId="1016" priority="4080" stopIfTrue="1">
      <formula>$A37="CHAMPIONNAT"</formula>
    </cfRule>
    <cfRule type="expression" dxfId="1015" priority="4081" stopIfTrue="1">
      <formula>$A37="CHAMPION'S LEAGUE"</formula>
    </cfRule>
    <cfRule type="expression" dxfId="1014" priority="4082" stopIfTrue="1">
      <formula>$A37="UEFA"</formula>
    </cfRule>
    <cfRule type="expression" dxfId="1013" priority="4083" stopIfTrue="1">
      <formula>$A37="COUPE DE FRANCE"</formula>
    </cfRule>
    <cfRule type="expression" dxfId="1012" priority="4084" stopIfTrue="1">
      <formula>$A37="COUPE DE LA LIGUE"</formula>
    </cfRule>
    <cfRule type="expression" dxfId="1011" priority="4085" stopIfTrue="1">
      <formula>$A37="FORMULE 1"</formula>
    </cfRule>
    <cfRule type="expression" dxfId="1010" priority="4086" stopIfTrue="1">
      <formula>$A37="MONDIAL"</formula>
    </cfRule>
    <cfRule type="expression" dxfId="1009" priority="4087" stopIfTrue="1">
      <formula>$A37="EURO"</formula>
    </cfRule>
    <cfRule type="expression" dxfId="1008" priority="4088" stopIfTrue="1">
      <formula>$A37="CONFEDERATIONS"</formula>
    </cfRule>
  </conditionalFormatting>
  <conditionalFormatting sqref="U19 Y46 B27 B42 B197 E24 I28 I42 AF28 AA48 L2 O2:P2 P42 P28 AL2 AA42 W2 AF42 W48 AF2 Y2">
    <cfRule type="expression" dxfId="1007" priority="3821" stopIfTrue="1">
      <formula>OR(QSD&lt;&gt;FALSE,A.VERIFIER&lt;&gt;"",$E$14=TRUE,$K$3&lt;&gt;"LUNDI",$AP$3&lt;&gt;"",$O$2="#ERREUR HORAIRE#")</formula>
    </cfRule>
  </conditionalFormatting>
  <conditionalFormatting sqref="P47 B32 B47 I32 I47 P32">
    <cfRule type="expression" dxfId="1006" priority="3851" stopIfTrue="1">
      <formula>OR(QSD&lt;&gt;FALSE,A.VERIFIER&lt;&gt;"")</formula>
    </cfRule>
    <cfRule type="expression" dxfId="1005" priority="3855" stopIfTrue="1">
      <formula>AND($B$32="",QSD&lt;&gt;FALSE)</formula>
    </cfRule>
    <cfRule type="expression" dxfId="1004" priority="6256" stopIfTrue="1">
      <formula>$B$32=""</formula>
    </cfRule>
  </conditionalFormatting>
  <conditionalFormatting sqref="AA35:AB35">
    <cfRule type="expression" dxfId="1003" priority="3339" stopIfTrue="1">
      <formula>$AA35="CHAMPIONNAT"</formula>
    </cfRule>
    <cfRule type="expression" dxfId="1002" priority="3340" stopIfTrue="1">
      <formula>$AA35="CHAMPION'S LEAGUE"</formula>
    </cfRule>
    <cfRule type="expression" dxfId="1001" priority="3341" stopIfTrue="1">
      <formula>$AA35="UEFA"</formula>
    </cfRule>
    <cfRule type="expression" dxfId="1000" priority="3342" stopIfTrue="1">
      <formula>$AA35="COUPE DE FRANCE"</formula>
    </cfRule>
    <cfRule type="expression" dxfId="999" priority="3343" stopIfTrue="1">
      <formula>$AA35="COUPE DE LA LIGUE"</formula>
    </cfRule>
    <cfRule type="expression" dxfId="998" priority="3344" stopIfTrue="1">
      <formula>$AA35="FORMULE 1"</formula>
    </cfRule>
    <cfRule type="expression" dxfId="997" priority="3345" stopIfTrue="1">
      <formula>$AA35="MONDIAL"</formula>
    </cfRule>
    <cfRule type="expression" dxfId="996" priority="3346" stopIfTrue="1">
      <formula>$AA35="EURO"</formula>
    </cfRule>
    <cfRule type="expression" dxfId="995" priority="3347" stopIfTrue="1">
      <formula>$AA35="CONFEDERATIONS"</formula>
    </cfRule>
    <cfRule type="expression" dxfId="994" priority="3348" stopIfTrue="1">
      <formula>$AB$33="#DEPASSE#"</formula>
    </cfRule>
  </conditionalFormatting>
  <conditionalFormatting sqref="AA36:AB36">
    <cfRule type="expression" dxfId="993" priority="3329" stopIfTrue="1">
      <formula>$AA36="CHAMPIONNAT"</formula>
    </cfRule>
    <cfRule type="expression" dxfId="992" priority="3330" stopIfTrue="1">
      <formula>$AA36="CHAMPIO'S LEAGUE"</formula>
    </cfRule>
    <cfRule type="expression" dxfId="991" priority="3331" stopIfTrue="1">
      <formula>$AA36="UEFA"</formula>
    </cfRule>
    <cfRule type="expression" dxfId="990" priority="3332" stopIfTrue="1">
      <formula>$AA36="COUPE DE FRANCE"</formula>
    </cfRule>
    <cfRule type="expression" dxfId="989" priority="3333" stopIfTrue="1">
      <formula>$AA36="COUPE DE LA LIGUE"</formula>
    </cfRule>
    <cfRule type="expression" dxfId="988" priority="3334" stopIfTrue="1">
      <formula>$AA36="FORMULE 1"</formula>
    </cfRule>
    <cfRule type="expression" dxfId="987" priority="3335" stopIfTrue="1">
      <formula>$AA36="MONDIAL"</formula>
    </cfRule>
    <cfRule type="expression" dxfId="986" priority="3336" stopIfTrue="1">
      <formula>$AA36="EURO"</formula>
    </cfRule>
    <cfRule type="expression" dxfId="985" priority="3337" stopIfTrue="1">
      <formula>$AA36="CONFEDERATIONS"</formula>
    </cfRule>
    <cfRule type="expression" dxfId="984" priority="3338" stopIfTrue="1">
      <formula>$AB$34="#DEPASSE#"</formula>
    </cfRule>
  </conditionalFormatting>
  <conditionalFormatting sqref="AA37:AB37">
    <cfRule type="expression" dxfId="983" priority="3319" stopIfTrue="1">
      <formula>$AA37="CHAMPIONNAT"</formula>
    </cfRule>
    <cfRule type="expression" dxfId="982" priority="3320" stopIfTrue="1">
      <formula>$AA37="CHAMPION'S LEAGUE"</formula>
    </cfRule>
    <cfRule type="expression" dxfId="981" priority="3321" stopIfTrue="1">
      <formula>$AA37="UEFA"</formula>
    </cfRule>
    <cfRule type="expression" dxfId="980" priority="3322" stopIfTrue="1">
      <formula>$AA37="COUPE DE FRANCE"</formula>
    </cfRule>
    <cfRule type="expression" dxfId="979" priority="3323" stopIfTrue="1">
      <formula>$AA37="COUPE DE LA LIGUE"</formula>
    </cfRule>
    <cfRule type="expression" dxfId="978" priority="3324" stopIfTrue="1">
      <formula>$AA37="FORMULE 1"</formula>
    </cfRule>
    <cfRule type="expression" dxfId="977" priority="3325" stopIfTrue="1">
      <formula>$AA37="MONDIAL"</formula>
    </cfRule>
    <cfRule type="expression" dxfId="976" priority="3326" stopIfTrue="1">
      <formula>$AA37="EURO"</formula>
    </cfRule>
    <cfRule type="expression" dxfId="975" priority="3327" stopIfTrue="1">
      <formula>$AA37="CONFEDERATIONS"</formula>
    </cfRule>
    <cfRule type="expression" dxfId="974" priority="3328" stopIfTrue="1">
      <formula>$AB$33="#DEPASSE#"</formula>
    </cfRule>
  </conditionalFormatting>
  <conditionalFormatting sqref="AA38:AB38">
    <cfRule type="expression" dxfId="973" priority="3309" stopIfTrue="1">
      <formula>$AA38="CHAMPIONNAT"</formula>
    </cfRule>
    <cfRule type="expression" dxfId="972" priority="3310" stopIfTrue="1">
      <formula>$AA38="CHAMPIO'S LEAGUE"</formula>
    </cfRule>
    <cfRule type="expression" dxfId="971" priority="3311" stopIfTrue="1">
      <formula>$AA38="UEFA"</formula>
    </cfRule>
    <cfRule type="expression" dxfId="970" priority="3312" stopIfTrue="1">
      <formula>$AA38="COUPE DE FRANCE"</formula>
    </cfRule>
    <cfRule type="expression" dxfId="969" priority="3313" stopIfTrue="1">
      <formula>$AA38="COUPE DE LA LIGUE"</formula>
    </cfRule>
    <cfRule type="expression" dxfId="968" priority="3314" stopIfTrue="1">
      <formula>$AA38="FORMULE 1"</formula>
    </cfRule>
    <cfRule type="expression" dxfId="967" priority="3315" stopIfTrue="1">
      <formula>$AA38="MONDIAL"</formula>
    </cfRule>
    <cfRule type="expression" dxfId="966" priority="3316" stopIfTrue="1">
      <formula>$AA38="EURO"</formula>
    </cfRule>
    <cfRule type="expression" dxfId="965" priority="3317" stopIfTrue="1">
      <formula>$AA38="CONFEDERATIONS"</formula>
    </cfRule>
    <cfRule type="expression" dxfId="964" priority="3318" stopIfTrue="1">
      <formula>$AB$34="#DEPASSE#"</formula>
    </cfRule>
  </conditionalFormatting>
  <conditionalFormatting sqref="AA39:AB39">
    <cfRule type="expression" dxfId="963" priority="3299" stopIfTrue="1">
      <formula>$AA39="CHAMPIONNAT"</formula>
    </cfRule>
    <cfRule type="expression" dxfId="962" priority="3300" stopIfTrue="1">
      <formula>$AA39="CHAMPION'S LEAGUE"</formula>
    </cfRule>
    <cfRule type="expression" dxfId="961" priority="3301" stopIfTrue="1">
      <formula>$AA39="UEFA"</formula>
    </cfRule>
    <cfRule type="expression" dxfId="960" priority="3302" stopIfTrue="1">
      <formula>$AA39="COUPE DE FRANCE"</formula>
    </cfRule>
    <cfRule type="expression" dxfId="959" priority="3303" stopIfTrue="1">
      <formula>$AA39="COUPE DE LA LIGUE"</formula>
    </cfRule>
    <cfRule type="expression" dxfId="958" priority="3304" stopIfTrue="1">
      <formula>$AA39="FORMULE 1"</formula>
    </cfRule>
    <cfRule type="expression" dxfId="957" priority="3305" stopIfTrue="1">
      <formula>$AA39="MONDIAL"</formula>
    </cfRule>
    <cfRule type="expression" dxfId="956" priority="3306" stopIfTrue="1">
      <formula>$AA39="EURO"</formula>
    </cfRule>
    <cfRule type="expression" dxfId="955" priority="3307" stopIfTrue="1">
      <formula>$AA39="CONFEDERATIONS"</formula>
    </cfRule>
    <cfRule type="expression" dxfId="954" priority="3308" stopIfTrue="1">
      <formula>$AB$33="#DEPASSE#"</formula>
    </cfRule>
  </conditionalFormatting>
  <conditionalFormatting sqref="AA40:AB40">
    <cfRule type="expression" dxfId="953" priority="3289" stopIfTrue="1">
      <formula>$AA40="CHAMPIONNAT"</formula>
    </cfRule>
    <cfRule type="expression" dxfId="952" priority="3290" stopIfTrue="1">
      <formula>$AA40="CHAMPIO'S LEAGUE"</formula>
    </cfRule>
    <cfRule type="expression" dxfId="951" priority="3291" stopIfTrue="1">
      <formula>$AA40="UEFA"</formula>
    </cfRule>
    <cfRule type="expression" dxfId="950" priority="3292" stopIfTrue="1">
      <formula>$AA40="COUPE DE FRANCE"</formula>
    </cfRule>
    <cfRule type="expression" dxfId="949" priority="3293" stopIfTrue="1">
      <formula>$AA40="COUPE DE LA LIGUE"</formula>
    </cfRule>
    <cfRule type="expression" dxfId="948" priority="3294" stopIfTrue="1">
      <formula>$AA40="FORMULE 1"</formula>
    </cfRule>
    <cfRule type="expression" dxfId="947" priority="3295" stopIfTrue="1">
      <formula>$AA40="MONDIAL"</formula>
    </cfRule>
    <cfRule type="expression" dxfId="946" priority="3296" stopIfTrue="1">
      <formula>$AA40="EURO"</formula>
    </cfRule>
    <cfRule type="expression" dxfId="945" priority="3297" stopIfTrue="1">
      <formula>$AA40="CONFEDERATIONS"</formula>
    </cfRule>
    <cfRule type="expression" dxfId="944" priority="3298" stopIfTrue="1">
      <formula>$AB$34="#DEPASSE#"</formula>
    </cfRule>
  </conditionalFormatting>
  <conditionalFormatting sqref="AA41:AB41">
    <cfRule type="expression" dxfId="943" priority="3279" stopIfTrue="1">
      <formula>$AA41="CHAMPIONNAT"</formula>
    </cfRule>
    <cfRule type="expression" dxfId="942" priority="3280" stopIfTrue="1">
      <formula>$AA41="CHAMPION'S LEAGUE"</formula>
    </cfRule>
    <cfRule type="expression" dxfId="941" priority="3281" stopIfTrue="1">
      <formula>$AA41="UEFA"</formula>
    </cfRule>
    <cfRule type="expression" dxfId="940" priority="3282" stopIfTrue="1">
      <formula>$AA41="COUPE DE FRANCE"</formula>
    </cfRule>
    <cfRule type="expression" dxfId="939" priority="3283" stopIfTrue="1">
      <formula>$AA41="COUPE DE LA LIGUE"</formula>
    </cfRule>
    <cfRule type="expression" dxfId="938" priority="3284" stopIfTrue="1">
      <formula>$AA41="FORMULE 1"</formula>
    </cfRule>
    <cfRule type="expression" dxfId="937" priority="3285" stopIfTrue="1">
      <formula>$AA41="MONDIAL"</formula>
    </cfRule>
    <cfRule type="expression" dxfId="936" priority="3286" stopIfTrue="1">
      <formula>$AA41="EURO"</formula>
    </cfRule>
    <cfRule type="expression" dxfId="935" priority="3287" stopIfTrue="1">
      <formula>$AA41="CONFEDERATIONS"</formula>
    </cfRule>
    <cfRule type="expression" dxfId="934" priority="3288" stopIfTrue="1">
      <formula>$AB$33="#DEPASSE#"</formula>
    </cfRule>
  </conditionalFormatting>
  <conditionalFormatting sqref="B32:I32 B47 I47 P47">
    <cfRule type="expression" dxfId="933" priority="3120" stopIfTrue="1">
      <formula>AND(A.VERIFIER&lt;&gt;"",$B32="")</formula>
    </cfRule>
  </conditionalFormatting>
  <conditionalFormatting sqref="P18">
    <cfRule type="expression" dxfId="932" priority="3117" stopIfTrue="1">
      <formula>A.VERIFIER&lt;&gt;""</formula>
    </cfRule>
  </conditionalFormatting>
  <conditionalFormatting sqref="A35">
    <cfRule type="expression" dxfId="931" priority="2575" stopIfTrue="1">
      <formula>$A35="COUPE DE LA LIGUE"</formula>
    </cfRule>
  </conditionalFormatting>
  <conditionalFormatting sqref="A35">
    <cfRule type="expression" dxfId="930" priority="2569" stopIfTrue="1">
      <formula>OR($D35="",$L35="A MODIFIER",$L35="#DEPASSE#")</formula>
    </cfRule>
  </conditionalFormatting>
  <conditionalFormatting sqref="A35">
    <cfRule type="expression" dxfId="929" priority="2570" stopIfTrue="1">
      <formula>OR($D35&lt;1,$L35="AUJOURD'HUI")</formula>
    </cfRule>
  </conditionalFormatting>
  <conditionalFormatting sqref="A35">
    <cfRule type="expression" dxfId="928" priority="2572" stopIfTrue="1">
      <formula>$A35="CHAMPION'S LEAGUE"</formula>
    </cfRule>
  </conditionalFormatting>
  <conditionalFormatting sqref="A35">
    <cfRule type="expression" dxfId="927" priority="2573" stopIfTrue="1">
      <formula>$A35="UEFA"</formula>
    </cfRule>
  </conditionalFormatting>
  <conditionalFormatting sqref="A35">
    <cfRule type="expression" dxfId="926" priority="2571" stopIfTrue="1">
      <formula>$A35="CHAMPIONNAT"</formula>
    </cfRule>
  </conditionalFormatting>
  <conditionalFormatting sqref="A35">
    <cfRule type="expression" dxfId="925" priority="2578" stopIfTrue="1">
      <formula>$A35="EURO"</formula>
    </cfRule>
  </conditionalFormatting>
  <conditionalFormatting sqref="A35">
    <cfRule type="expression" dxfId="924" priority="2579" stopIfTrue="1">
      <formula>$A35="CONFEDERATIONS"</formula>
    </cfRule>
  </conditionalFormatting>
  <conditionalFormatting sqref="A35">
    <cfRule type="expression" dxfId="923" priority="2577" stopIfTrue="1">
      <formula>$A35="MONDIAL"</formula>
    </cfRule>
  </conditionalFormatting>
  <conditionalFormatting sqref="A35">
    <cfRule type="expression" dxfId="922" priority="2576" stopIfTrue="1">
      <formula>$A35="FORMULE 1"</formula>
    </cfRule>
  </conditionalFormatting>
  <conditionalFormatting sqref="A35">
    <cfRule type="expression" dxfId="921" priority="2574" stopIfTrue="1">
      <formula>$A35="COUPE DE FRANCE"</formula>
    </cfRule>
  </conditionalFormatting>
  <conditionalFormatting sqref="A36">
    <cfRule type="expression" dxfId="920" priority="2525" stopIfTrue="1">
      <formula>$A36="CONFEDERATIONS"</formula>
    </cfRule>
    <cfRule type="expression" dxfId="919" priority="2526" stopIfTrue="1">
      <formula>$A36="EURO"</formula>
    </cfRule>
    <cfRule type="expression" dxfId="918" priority="2527" stopIfTrue="1">
      <formula>$A36="MONDIAL"</formula>
    </cfRule>
    <cfRule type="expression" dxfId="917" priority="2528" stopIfTrue="1">
      <formula>$A36="COUPE DE LA LIGUE"</formula>
    </cfRule>
    <cfRule type="expression" dxfId="916" priority="2529" stopIfTrue="1">
      <formula>$A36="FORMULE 1"</formula>
    </cfRule>
    <cfRule type="expression" dxfId="915" priority="2530" stopIfTrue="1">
      <formula>$A36="COUPE DE FRANCE"</formula>
    </cfRule>
    <cfRule type="expression" dxfId="914" priority="2531" stopIfTrue="1">
      <formula>$A36="UEFA"</formula>
    </cfRule>
    <cfRule type="expression" dxfId="913" priority="2532" stopIfTrue="1">
      <formula>$A36="CHAMPION'S LEAGUE"</formula>
    </cfRule>
    <cfRule type="expression" dxfId="912" priority="2533" stopIfTrue="1">
      <formula>$A36="CHAMPIONNAT"</formula>
    </cfRule>
    <cfRule type="expression" dxfId="911" priority="2534" stopIfTrue="1">
      <formula>OR($D36&lt;1,$L36="AUJOURD'HUI")</formula>
    </cfRule>
    <cfRule type="expression" dxfId="910" priority="2535" stopIfTrue="1">
      <formula>OR($D36="",$L36="A MODIFIER",$L36="#DEPASSE#")</formula>
    </cfRule>
  </conditionalFormatting>
  <conditionalFormatting sqref="A37">
    <cfRule type="expression" dxfId="909" priority="2558" stopIfTrue="1">
      <formula>OR($D37="",$L37="A MODIFIER",$L37="#DEPASSE#")</formula>
    </cfRule>
    <cfRule type="expression" dxfId="908" priority="2559" stopIfTrue="1">
      <formula>OR($D37&lt;1,$L37="AUJOURD'HUI")</formula>
    </cfRule>
    <cfRule type="expression" dxfId="907" priority="2560" stopIfTrue="1">
      <formula>$A37="CHAMPIONNAT"</formula>
    </cfRule>
    <cfRule type="expression" dxfId="906" priority="2561" stopIfTrue="1">
      <formula>$A37="CHAMPION'S LEAGUE"</formula>
    </cfRule>
    <cfRule type="expression" dxfId="905" priority="2562" stopIfTrue="1">
      <formula>$A37="UEFA"</formula>
    </cfRule>
    <cfRule type="expression" dxfId="904" priority="2563" stopIfTrue="1">
      <formula>$A37="COUPE DE FRANCE"</formula>
    </cfRule>
    <cfRule type="expression" dxfId="903" priority="2564" stopIfTrue="1">
      <formula>$A37="COUPE DE LA LIGUE"</formula>
    </cfRule>
    <cfRule type="expression" dxfId="902" priority="2565" stopIfTrue="1">
      <formula>$A37="FORMULE 1"</formula>
    </cfRule>
    <cfRule type="expression" dxfId="901" priority="2566" stopIfTrue="1">
      <formula>$A37="MONDIAL"</formula>
    </cfRule>
    <cfRule type="expression" dxfId="900" priority="2567" stopIfTrue="1">
      <formula>$A37="EURO"</formula>
    </cfRule>
    <cfRule type="expression" dxfId="899" priority="2568" stopIfTrue="1">
      <formula>$A37="CONFEDERATIONS"</formula>
    </cfRule>
  </conditionalFormatting>
  <conditionalFormatting sqref="A36">
    <cfRule type="expression" dxfId="898" priority="2514" stopIfTrue="1">
      <formula>$A36="CONFEDERATIONS"</formula>
    </cfRule>
  </conditionalFormatting>
  <conditionalFormatting sqref="AF2">
    <cfRule type="expression" dxfId="897" priority="2425" stopIfTrue="1">
      <formula>OR(Q&lt;&gt;"",A.VERIFIER&lt;&gt;"",PROGRAMMES.DEPASSE&lt;&gt;"")</formula>
    </cfRule>
  </conditionalFormatting>
  <conditionalFormatting sqref="AN33:AQ33">
    <cfRule type="expression" dxfId="896" priority="2411" stopIfTrue="1">
      <formula>$AN$33&lt;&gt;""</formula>
    </cfRule>
  </conditionalFormatting>
  <conditionalFormatting sqref="S33">
    <cfRule type="expression" dxfId="895" priority="2124" stopIfTrue="1">
      <formula>$EA33&lt;&gt;$EB33</formula>
    </cfRule>
  </conditionalFormatting>
  <conditionalFormatting sqref="AN54:AQ54">
    <cfRule type="expression" dxfId="894" priority="6436">
      <formula>$AN$54=""</formula>
    </cfRule>
    <cfRule type="expression" dxfId="893" priority="6437">
      <formula>COUNTBLANK($AN$55:$AN$82)&lt;&gt;0</formula>
    </cfRule>
  </conditionalFormatting>
  <conditionalFormatting sqref="AY11">
    <cfRule type="expression" dxfId="892" priority="1761" stopIfTrue="1">
      <formula>AND(DANS.MONDIAL.VERIFIER&lt;&gt;"",DANS.MONDIAL.VERIFIER&lt;&gt;"#DEPASSE#")</formula>
    </cfRule>
    <cfRule type="expression" dxfId="891" priority="1762" stopIfTrue="1">
      <formula>DANS.MONDIAL.VERIFIER="#DEPASSE#"</formula>
    </cfRule>
  </conditionalFormatting>
  <conditionalFormatting sqref="A33:Y33 AC33:AH33">
    <cfRule type="expression" dxfId="890" priority="4232" stopIfTrue="1">
      <formula>OR($D33="",$L33="A MODIFIER",$S33="#DEPASSE#")</formula>
    </cfRule>
    <cfRule type="expression" dxfId="889" priority="4233" stopIfTrue="1">
      <formula>OR($D33&lt;1,$L33="AUJOURD'HUI")</formula>
    </cfRule>
    <cfRule type="expression" dxfId="888" priority="4234" stopIfTrue="1">
      <formula>$A33="CHAMPIONNAT"</formula>
    </cfRule>
    <cfRule type="expression" dxfId="887" priority="4235" stopIfTrue="1">
      <formula>$A33="CHAMPION'S LEAGUE"</formula>
    </cfRule>
    <cfRule type="expression" dxfId="886" priority="4236" stopIfTrue="1">
      <formula>$A33="UEFA"</formula>
    </cfRule>
    <cfRule type="expression" dxfId="885" priority="4237" stopIfTrue="1">
      <formula>$A33="COUPE DE FRANCE"</formula>
    </cfRule>
    <cfRule type="expression" dxfId="884" priority="4238" stopIfTrue="1">
      <formula>$A33="COUPE DE LA LIGUE"</formula>
    </cfRule>
    <cfRule type="expression" dxfId="883" priority="4239" stopIfTrue="1">
      <formula>$A33="FORMULE 1"</formula>
    </cfRule>
    <cfRule type="expression" dxfId="882" priority="4240" stopIfTrue="1">
      <formula>$A33="MONDIAL"</formula>
    </cfRule>
    <cfRule type="expression" dxfId="881" priority="4241" stopIfTrue="1">
      <formula>$A33="EURO"</formula>
    </cfRule>
    <cfRule type="expression" dxfId="880" priority="4242" stopIfTrue="1">
      <formula>$A33="CONFEDERATIONS"</formula>
    </cfRule>
  </conditionalFormatting>
  <conditionalFormatting sqref="A34:Y34 AC34:AH34">
    <cfRule type="expression" dxfId="879" priority="4133" stopIfTrue="1">
      <formula>OR($D34="",$L34="A MODIFIER",$S34="#DEPASSE#")</formula>
    </cfRule>
    <cfRule type="expression" dxfId="878" priority="4134" stopIfTrue="1">
      <formula>OR($D34&lt;1,$L34="AUJOURD'HUI")</formula>
    </cfRule>
    <cfRule type="expression" dxfId="877" priority="4135" stopIfTrue="1">
      <formula>$A34="CHAMPIONNAT"</formula>
    </cfRule>
    <cfRule type="expression" dxfId="876" priority="4136" stopIfTrue="1">
      <formula>$A34="CHAMPION'S LEAGUE"</formula>
    </cfRule>
    <cfRule type="expression" dxfId="875" priority="4137" stopIfTrue="1">
      <formula>$A34="UEFA"</formula>
    </cfRule>
    <cfRule type="expression" dxfId="874" priority="4138" stopIfTrue="1">
      <formula>$A34="COUPE DE FRANCE"</formula>
    </cfRule>
    <cfRule type="expression" dxfId="873" priority="4139" stopIfTrue="1">
      <formula>$A34="COUPE DE LA LIGUE"</formula>
    </cfRule>
    <cfRule type="expression" dxfId="872" priority="4140" stopIfTrue="1">
      <formula>$A34="FORMULE 1"</formula>
    </cfRule>
    <cfRule type="expression" dxfId="871" priority="4141" stopIfTrue="1">
      <formula>$A34="MONDIAL"</formula>
    </cfRule>
    <cfRule type="expression" dxfId="870" priority="4142" stopIfTrue="1">
      <formula>$A34="EURO"</formula>
    </cfRule>
    <cfRule type="expression" dxfId="869" priority="5272" stopIfTrue="1">
      <formula>$A34="CONFEDERATIONS"</formula>
    </cfRule>
  </conditionalFormatting>
  <conditionalFormatting sqref="A35:Y35 AC35:AH35">
    <cfRule type="expression" dxfId="868" priority="1561" stopIfTrue="1">
      <formula>OR($D35="",$L35="A MODIFIER",$S35="#DEPASSE#")</formula>
    </cfRule>
    <cfRule type="expression" dxfId="867" priority="1562" stopIfTrue="1">
      <formula>OR($D35&lt;1,$L35="AUJOURD'HUI")</formula>
    </cfRule>
    <cfRule type="expression" dxfId="866" priority="1563" stopIfTrue="1">
      <formula>$A35="CHAMPIONNAT"</formula>
    </cfRule>
    <cfRule type="expression" dxfId="865" priority="1564" stopIfTrue="1">
      <formula>$A35="CHAMPION'S LEAGUE"</formula>
    </cfRule>
    <cfRule type="expression" dxfId="864" priority="1571" stopIfTrue="1">
      <formula>$A35="CONFEDERATIONS"</formula>
    </cfRule>
  </conditionalFormatting>
  <conditionalFormatting sqref="A35:Y35 AC35:AH35">
    <cfRule type="expression" dxfId="863" priority="1565" stopIfTrue="1">
      <formula>$A35="UEFA"</formula>
    </cfRule>
  </conditionalFormatting>
  <conditionalFormatting sqref="A35:Y35 AC35:AH35">
    <cfRule type="expression" dxfId="862" priority="1566" stopIfTrue="1">
      <formula>$A35="COUPE DE FRANCE"</formula>
    </cfRule>
  </conditionalFormatting>
  <conditionalFormatting sqref="A35:Y35 AC35:AH35">
    <cfRule type="expression" dxfId="861" priority="1567" stopIfTrue="1">
      <formula>$A35="COUPE DE LA LIGUE"</formula>
    </cfRule>
  </conditionalFormatting>
  <conditionalFormatting sqref="A35:Y35 AC35:AH35">
    <cfRule type="expression" dxfId="860" priority="1568" stopIfTrue="1">
      <formula>$A35="FORMULE 1"</formula>
    </cfRule>
  </conditionalFormatting>
  <conditionalFormatting sqref="A35:Y35 AC35:AH35">
    <cfRule type="expression" dxfId="859" priority="1570" stopIfTrue="1">
      <formula>$A35="EURO"</formula>
    </cfRule>
  </conditionalFormatting>
  <conditionalFormatting sqref="A35:Y35 AC35:AH35">
    <cfRule type="expression" dxfId="858" priority="1569" stopIfTrue="1">
      <formula>$A35="MONDIAL"</formula>
    </cfRule>
  </conditionalFormatting>
  <conditionalFormatting sqref="A36:Y36 AC36:AH36">
    <cfRule type="expression" dxfId="857" priority="1539" stopIfTrue="1">
      <formula>OR($D36="",$L36="A MODIFIER",$S36="#DEPASSE#")</formula>
    </cfRule>
    <cfRule type="expression" dxfId="856" priority="1540" stopIfTrue="1">
      <formula>OR($D36&lt;1,$L36="AUJOURD'HUI")</formula>
    </cfRule>
    <cfRule type="expression" dxfId="855" priority="1541" stopIfTrue="1">
      <formula>$A36="CHAMPIONNAT"</formula>
    </cfRule>
    <cfRule type="expression" dxfId="854" priority="1542" stopIfTrue="1">
      <formula>$A36="CHAMPION'S LEAGUE"</formula>
    </cfRule>
    <cfRule type="expression" dxfId="853" priority="1543" stopIfTrue="1">
      <formula>$A36="UEFA"</formula>
    </cfRule>
    <cfRule type="expression" dxfId="852" priority="1544" stopIfTrue="1">
      <formula>$A36="COUPE DE FRANCE"</formula>
    </cfRule>
    <cfRule type="expression" dxfId="851" priority="1545" stopIfTrue="1">
      <formula>$A36="COUPE DE LA LIGUE"</formula>
    </cfRule>
    <cfRule type="expression" dxfId="850" priority="1546" stopIfTrue="1">
      <formula>$A36="FORMULE 1"</formula>
    </cfRule>
    <cfRule type="expression" dxfId="849" priority="1547" stopIfTrue="1">
      <formula>$A36="MONDIAL"</formula>
    </cfRule>
    <cfRule type="expression" dxfId="848" priority="1548" stopIfTrue="1">
      <formula>$A36="EURO"</formula>
    </cfRule>
    <cfRule type="expression" dxfId="847" priority="1549" stopIfTrue="1">
      <formula>$A36="CONFEDERATIONS"</formula>
    </cfRule>
  </conditionalFormatting>
  <conditionalFormatting sqref="A37:Y37 AC37:AH37">
    <cfRule type="expression" dxfId="846" priority="1528" stopIfTrue="1">
      <formula>OR($D37="",$L37="A MODIFIER",$S37="#DEPASSE#")</formula>
    </cfRule>
    <cfRule type="expression" dxfId="845" priority="1529" stopIfTrue="1">
      <formula>OR($D37&lt;1,$L37="AUJOURD'HUI")</formula>
    </cfRule>
    <cfRule type="expression" dxfId="844" priority="1530" stopIfTrue="1">
      <formula>$A37="CHAMPIONNAT"</formula>
    </cfRule>
    <cfRule type="expression" dxfId="843" priority="1531" stopIfTrue="1">
      <formula>$A37="CHAMPION'S LEAGUE"</formula>
    </cfRule>
    <cfRule type="expression" dxfId="842" priority="1532" stopIfTrue="1">
      <formula>$A37="UEFA"</formula>
    </cfRule>
    <cfRule type="expression" dxfId="841" priority="1533" stopIfTrue="1">
      <formula>$A37="COUPE DE FRANCE"</formula>
    </cfRule>
    <cfRule type="expression" dxfId="840" priority="1534" stopIfTrue="1">
      <formula>$A37="COUPE DE LA LIGUE"</formula>
    </cfRule>
    <cfRule type="expression" dxfId="839" priority="1535" stopIfTrue="1">
      <formula>$A37="FORMULE 1"</formula>
    </cfRule>
    <cfRule type="expression" dxfId="838" priority="1536" stopIfTrue="1">
      <formula>$A37="MONDIAL"</formula>
    </cfRule>
    <cfRule type="expression" dxfId="837" priority="1537" stopIfTrue="1">
      <formula>$A37="EURO"</formula>
    </cfRule>
    <cfRule type="expression" dxfId="836" priority="1538" stopIfTrue="1">
      <formula>$A37="CONFEDERATIONS"</formula>
    </cfRule>
  </conditionalFormatting>
  <conditionalFormatting sqref="A38:Y38 AC38:AH38">
    <cfRule type="expression" dxfId="835" priority="1517" stopIfTrue="1">
      <formula>OR($D38="",$L38="A MODIFIER",$S38="#DEPASSE#")</formula>
    </cfRule>
    <cfRule type="expression" dxfId="834" priority="1518" stopIfTrue="1">
      <formula>OR($D38&lt;1,$L38="AUJOURD'HUI")</formula>
    </cfRule>
    <cfRule type="expression" dxfId="833" priority="1519" stopIfTrue="1">
      <formula>$A38="CHAMPIONNAT"</formula>
    </cfRule>
    <cfRule type="expression" dxfId="832" priority="1520" stopIfTrue="1">
      <formula>$A38="CHAMPION'S LEAGUE"</formula>
    </cfRule>
    <cfRule type="expression" dxfId="831" priority="1521" stopIfTrue="1">
      <formula>$A38="UEFA"</formula>
    </cfRule>
    <cfRule type="expression" dxfId="830" priority="1522" stopIfTrue="1">
      <formula>$A38="COUPE DE FRANCE"</formula>
    </cfRule>
    <cfRule type="expression" dxfId="829" priority="1523" stopIfTrue="1">
      <formula>$A38="COUPE DE LA LIGUE"</formula>
    </cfRule>
    <cfRule type="expression" dxfId="828" priority="1524" stopIfTrue="1">
      <formula>$A38="FORMULE 1"</formula>
    </cfRule>
    <cfRule type="expression" dxfId="827" priority="1525" stopIfTrue="1">
      <formula>$A38="MONDIAL"</formula>
    </cfRule>
    <cfRule type="expression" dxfId="826" priority="1526" stopIfTrue="1">
      <formula>$A38="EURO"</formula>
    </cfRule>
    <cfRule type="expression" dxfId="825" priority="1527" stopIfTrue="1">
      <formula>$A38="CONFEDERATIONS"</formula>
    </cfRule>
  </conditionalFormatting>
  <conditionalFormatting sqref="A39:Y39 AC39:AH39">
    <cfRule type="expression" dxfId="824" priority="1506" stopIfTrue="1">
      <formula>OR($D39="",$L39="A MODIFIER",$S39="#DEPASSE#")</formula>
    </cfRule>
    <cfRule type="expression" dxfId="823" priority="1507" stopIfTrue="1">
      <formula>OR($D39&lt;1,$L39="AUJOURD'HUI")</formula>
    </cfRule>
    <cfRule type="expression" dxfId="822" priority="1508" stopIfTrue="1">
      <formula>$A39="CHAMPIONNAT"</formula>
    </cfRule>
    <cfRule type="expression" dxfId="821" priority="1509" stopIfTrue="1">
      <formula>$A39="CHAMPION'S LEAGUE"</formula>
    </cfRule>
    <cfRule type="expression" dxfId="820" priority="1510" stopIfTrue="1">
      <formula>$A39="UEFA"</formula>
    </cfRule>
    <cfRule type="expression" dxfId="819" priority="1511" stopIfTrue="1">
      <formula>$A39="COUPE DE FRANCE"</formula>
    </cfRule>
    <cfRule type="expression" dxfId="818" priority="1512" stopIfTrue="1">
      <formula>$A39="COUPE DE LA LIGUE"</formula>
    </cfRule>
    <cfRule type="expression" dxfId="817" priority="1513" stopIfTrue="1">
      <formula>$A39="FORMULE 1"</formula>
    </cfRule>
    <cfRule type="expression" dxfId="816" priority="1514" stopIfTrue="1">
      <formula>$A39="MONDIAL"</formula>
    </cfRule>
    <cfRule type="expression" dxfId="815" priority="1515" stopIfTrue="1">
      <formula>$A39="EURO"</formula>
    </cfRule>
    <cfRule type="expression" dxfId="814" priority="1516" stopIfTrue="1">
      <formula>$A39="CONFEDERATIONS"</formula>
    </cfRule>
  </conditionalFormatting>
  <conditionalFormatting sqref="A40:Y40 AC40:AH40">
    <cfRule type="expression" dxfId="813" priority="1495" stopIfTrue="1">
      <formula>OR($D40="",$L40="A MODIFIER",$S40="#DEPASSE#")</formula>
    </cfRule>
    <cfRule type="expression" dxfId="812" priority="1496" stopIfTrue="1">
      <formula>OR($D40&lt;1,$L40="AUJOURD'HUI")</formula>
    </cfRule>
    <cfRule type="expression" dxfId="811" priority="1497" stopIfTrue="1">
      <formula>$A40="CHAMPIONNAT"</formula>
    </cfRule>
    <cfRule type="expression" dxfId="810" priority="1498" stopIfTrue="1">
      <formula>$A40="CHAMPION'S LEAGUE"</formula>
    </cfRule>
    <cfRule type="expression" dxfId="809" priority="1499" stopIfTrue="1">
      <formula>$A40="UEFA"</formula>
    </cfRule>
    <cfRule type="expression" dxfId="808" priority="1500" stopIfTrue="1">
      <formula>$A40="COUPE DE FRANCE"</formula>
    </cfRule>
    <cfRule type="expression" dxfId="807" priority="1501" stopIfTrue="1">
      <formula>$A40="COUPE DE LA LIGUE"</formula>
    </cfRule>
    <cfRule type="expression" dxfId="806" priority="1502" stopIfTrue="1">
      <formula>$A40="FORMULE 1"</formula>
    </cfRule>
    <cfRule type="expression" dxfId="805" priority="1503" stopIfTrue="1">
      <formula>$A40="MONDIAL"</formula>
    </cfRule>
    <cfRule type="expression" dxfId="804" priority="1504" stopIfTrue="1">
      <formula>$A40="EURO"</formula>
    </cfRule>
    <cfRule type="expression" dxfId="803" priority="1505" stopIfTrue="1">
      <formula>$A40="CONFEDERATIONS"</formula>
    </cfRule>
  </conditionalFormatting>
  <conditionalFormatting sqref="A41:Y41 AC41:AH41">
    <cfRule type="expression" dxfId="802" priority="1484" stopIfTrue="1">
      <formula>OR($D41="",$L41="A MODIFIER",$S41="#DEPASSE#")</formula>
    </cfRule>
    <cfRule type="expression" dxfId="801" priority="1485" stopIfTrue="1">
      <formula>OR($D41&lt;1,$L41="AUJOURD'HUI")</formula>
    </cfRule>
    <cfRule type="expression" dxfId="800" priority="1486" stopIfTrue="1">
      <formula>$A41="CHAMPIONNAT"</formula>
    </cfRule>
    <cfRule type="expression" dxfId="799" priority="1487" stopIfTrue="1">
      <formula>$A41="CHAMPION'S LEAGUE"</formula>
    </cfRule>
    <cfRule type="expression" dxfId="798" priority="1488" stopIfTrue="1">
      <formula>$A41="UEFA"</formula>
    </cfRule>
    <cfRule type="expression" dxfId="797" priority="1489" stopIfTrue="1">
      <formula>$A41="COUPE DE FRANCE"</formula>
    </cfRule>
    <cfRule type="expression" dxfId="796" priority="1490" stopIfTrue="1">
      <formula>$A41="COUPE DE LA LIGUE"</formula>
    </cfRule>
    <cfRule type="expression" dxfId="795" priority="1491" stopIfTrue="1">
      <formula>$A41="FORMULE 1"</formula>
    </cfRule>
    <cfRule type="expression" dxfId="794" priority="1492" stopIfTrue="1">
      <formula>$A41="MONDIAL"</formula>
    </cfRule>
    <cfRule type="expression" dxfId="793" priority="1493" stopIfTrue="1">
      <formula>$A41="EURO"</formula>
    </cfRule>
    <cfRule type="expression" dxfId="792" priority="1494" stopIfTrue="1">
      <formula>$A41="CONFEDERATIONS"</formula>
    </cfRule>
  </conditionalFormatting>
  <conditionalFormatting sqref="D67">
    <cfRule type="expression" dxfId="791" priority="1026" stopIfTrue="1">
      <formula>AND($D67="0:01",$C67="")</formula>
    </cfRule>
  </conditionalFormatting>
  <conditionalFormatting sqref="D69">
    <cfRule type="expression" dxfId="790" priority="1025" stopIfTrue="1">
      <formula>AND($D69="0:01",$C69="")</formula>
    </cfRule>
  </conditionalFormatting>
  <conditionalFormatting sqref="D67">
    <cfRule type="expression" dxfId="789" priority="1024" stopIfTrue="1">
      <formula>AND($D67="0:01",$C67="")</formula>
    </cfRule>
  </conditionalFormatting>
  <conditionalFormatting sqref="D69">
    <cfRule type="expression" dxfId="788" priority="1023" stopIfTrue="1">
      <formula>AND($D69="0:01",$C69="")</formula>
    </cfRule>
  </conditionalFormatting>
  <conditionalFormatting sqref="D55">
    <cfRule type="expression" dxfId="787" priority="962" stopIfTrue="1">
      <formula>AND($D55="0:01",$C55="")</formula>
    </cfRule>
  </conditionalFormatting>
  <conditionalFormatting sqref="D57">
    <cfRule type="expression" dxfId="786" priority="961" stopIfTrue="1">
      <formula>AND($D57="0:01",$C57="")</formula>
    </cfRule>
  </conditionalFormatting>
  <conditionalFormatting sqref="D55">
    <cfRule type="expression" dxfId="785" priority="960" stopIfTrue="1">
      <formula>AND($D55="0:01",$C55="")</formula>
    </cfRule>
  </conditionalFormatting>
  <conditionalFormatting sqref="D57">
    <cfRule type="expression" dxfId="784" priority="959" stopIfTrue="1">
      <formula>AND($D57="0:01",$C57="")</formula>
    </cfRule>
  </conditionalFormatting>
  <conditionalFormatting sqref="D59">
    <cfRule type="expression" dxfId="783" priority="928" stopIfTrue="1">
      <formula>AND($D59="0:01",$C59="")</formula>
    </cfRule>
  </conditionalFormatting>
  <conditionalFormatting sqref="D61">
    <cfRule type="expression" dxfId="782" priority="927" stopIfTrue="1">
      <formula>AND($D61="0:01",$C61="")</formula>
    </cfRule>
  </conditionalFormatting>
  <conditionalFormatting sqref="D59">
    <cfRule type="expression" dxfId="781" priority="926" stopIfTrue="1">
      <formula>AND($D59="0:01",$C59="")</formula>
    </cfRule>
  </conditionalFormatting>
  <conditionalFormatting sqref="D61">
    <cfRule type="expression" dxfId="780" priority="925" stopIfTrue="1">
      <formula>AND($D61="0:01",$C61="")</formula>
    </cfRule>
  </conditionalFormatting>
  <conditionalFormatting sqref="D63">
    <cfRule type="expression" dxfId="779" priority="895" stopIfTrue="1">
      <formula>AND($D63="0:01",$C63="")</formula>
    </cfRule>
  </conditionalFormatting>
  <conditionalFormatting sqref="D65">
    <cfRule type="expression" dxfId="778" priority="894" stopIfTrue="1">
      <formula>AND($D65="0:01",$C65="")</formula>
    </cfRule>
  </conditionalFormatting>
  <conditionalFormatting sqref="D63">
    <cfRule type="expression" dxfId="777" priority="893" stopIfTrue="1">
      <formula>AND($D63="0:01",$C63="")</formula>
    </cfRule>
  </conditionalFormatting>
  <conditionalFormatting sqref="D65">
    <cfRule type="expression" dxfId="776" priority="892" stopIfTrue="1">
      <formula>AND($D65="0:01",$C65="")</formula>
    </cfRule>
  </conditionalFormatting>
  <conditionalFormatting sqref="D71">
    <cfRule type="expression" dxfId="775" priority="862" stopIfTrue="1">
      <formula>AND($D71="0:01",$C71="")</formula>
    </cfRule>
  </conditionalFormatting>
  <conditionalFormatting sqref="D73">
    <cfRule type="expression" dxfId="774" priority="861" stopIfTrue="1">
      <formula>AND($D73="0:01",$C73="")</formula>
    </cfRule>
  </conditionalFormatting>
  <conditionalFormatting sqref="D71">
    <cfRule type="expression" dxfId="773" priority="860" stopIfTrue="1">
      <formula>AND($D71="0:01",$C71="")</formula>
    </cfRule>
  </conditionalFormatting>
  <conditionalFormatting sqref="D73">
    <cfRule type="expression" dxfId="772" priority="859" stopIfTrue="1">
      <formula>AND($D73="0:01",$C73="")</formula>
    </cfRule>
  </conditionalFormatting>
  <conditionalFormatting sqref="D75">
    <cfRule type="expression" dxfId="771" priority="829" stopIfTrue="1">
      <formula>AND($D75="0:01",$C75="")</formula>
    </cfRule>
  </conditionalFormatting>
  <conditionalFormatting sqref="D77">
    <cfRule type="expression" dxfId="770" priority="828" stopIfTrue="1">
      <formula>AND($D77="0:01",$C77="")</formula>
    </cfRule>
  </conditionalFormatting>
  <conditionalFormatting sqref="D75">
    <cfRule type="expression" dxfId="769" priority="827" stopIfTrue="1">
      <formula>AND($D75="0:01",$C75="")</formula>
    </cfRule>
  </conditionalFormatting>
  <conditionalFormatting sqref="D77">
    <cfRule type="expression" dxfId="768" priority="826" stopIfTrue="1">
      <formula>AND($D77="0:01",$C77="")</formula>
    </cfRule>
  </conditionalFormatting>
  <conditionalFormatting sqref="D79">
    <cfRule type="expression" dxfId="767" priority="796" stopIfTrue="1">
      <formula>AND($D79="0:01",$C79="")</formula>
    </cfRule>
  </conditionalFormatting>
  <conditionalFormatting sqref="D81">
    <cfRule type="expression" dxfId="766" priority="795" stopIfTrue="1">
      <formula>AND($D81="0:01",$C81="")</formula>
    </cfRule>
  </conditionalFormatting>
  <conditionalFormatting sqref="D79">
    <cfRule type="expression" dxfId="765" priority="794" stopIfTrue="1">
      <formula>AND($D79="0:01",$C79="")</formula>
    </cfRule>
  </conditionalFormatting>
  <conditionalFormatting sqref="D81">
    <cfRule type="expression" dxfId="764" priority="793" stopIfTrue="1">
      <formula>AND($D81="0:01",$C81="")</formula>
    </cfRule>
  </conditionalFormatting>
  <conditionalFormatting sqref="I132:O132 A132:B132 F132:G132">
    <cfRule type="expression" dxfId="763" priority="747" stopIfTrue="1">
      <formula>$I132="#PAS DE 2° ENVIE#"</formula>
    </cfRule>
    <cfRule type="expression" dxfId="762" priority="748" stopIfTrue="1">
      <formula>OR($S33="#DEPASSE#",$F132="#DEPASSE#",$F132="DEPASSE")</formula>
    </cfRule>
    <cfRule type="expression" dxfId="761" priority="749" stopIfTrue="1">
      <formula>$O132=0</formula>
    </cfRule>
    <cfRule type="expression" dxfId="760" priority="750" stopIfTrue="1">
      <formula>$G132="CHAMPIONNAT"</formula>
    </cfRule>
    <cfRule type="expression" dxfId="759" priority="751" stopIfTrue="1">
      <formula>$G132="CHAMPION'S LEAGUE"</formula>
    </cfRule>
    <cfRule type="expression" dxfId="758" priority="752" stopIfTrue="1">
      <formula>$G132="UEFA"</formula>
    </cfRule>
    <cfRule type="expression" dxfId="757" priority="753" stopIfTrue="1">
      <formula>$G132="COUPE DE FRANCE"</formula>
    </cfRule>
    <cfRule type="expression" dxfId="756" priority="754" stopIfTrue="1">
      <formula>$G132="COUPE DE LA LIGUE"</formula>
    </cfRule>
    <cfRule type="expression" dxfId="755" priority="755" stopIfTrue="1">
      <formula>$G132="FORMULE 1"</formula>
    </cfRule>
    <cfRule type="expression" dxfId="754" priority="756" stopIfTrue="1">
      <formula>$G132="MONDIAL"</formula>
    </cfRule>
    <cfRule type="expression" dxfId="753" priority="757" stopIfTrue="1">
      <formula>$G132="EURO"</formula>
    </cfRule>
    <cfRule type="expression" dxfId="752" priority="758" stopIfTrue="1">
      <formula>$G132="CONFEDERATIONS"</formula>
    </cfRule>
    <cfRule type="expression" dxfId="751" priority="759" stopIfTrue="1">
      <formula>$G132="ENVIE"</formula>
    </cfRule>
    <cfRule type="expression" dxfId="750" priority="760" stopIfTrue="1">
      <formula>$G132="ENVIE FIN"</formula>
    </cfRule>
  </conditionalFormatting>
  <conditionalFormatting sqref="I133:O133 A133:B133 F133:G133">
    <cfRule type="expression" dxfId="749" priority="734" stopIfTrue="1">
      <formula>OR($F133="DEPASSE",$F133="#DEPASSE#")</formula>
    </cfRule>
    <cfRule type="expression" dxfId="748" priority="735" stopIfTrue="1">
      <formula>$O133=0</formula>
    </cfRule>
    <cfRule type="expression" dxfId="747" priority="736" stopIfTrue="1">
      <formula>$G133="CHAMPIONNAT"</formula>
    </cfRule>
    <cfRule type="expression" dxfId="746" priority="737" stopIfTrue="1">
      <formula>$G133="CHAMPION'S LEAGUE"</formula>
    </cfRule>
    <cfRule type="expression" dxfId="745" priority="738" stopIfTrue="1">
      <formula>$G133="UEFA"</formula>
    </cfRule>
    <cfRule type="expression" dxfId="744" priority="739" stopIfTrue="1">
      <formula>$G133="COUPE DE FRANCE"</formula>
    </cfRule>
    <cfRule type="expression" dxfId="743" priority="740" stopIfTrue="1">
      <formula>$G133="COUPE DE LA LIGUE"</formula>
    </cfRule>
    <cfRule type="expression" dxfId="742" priority="741" stopIfTrue="1">
      <formula>$G133="FORMULE 1"</formula>
    </cfRule>
    <cfRule type="expression" dxfId="741" priority="742" stopIfTrue="1">
      <formula>$G133="MONDIAL"</formula>
    </cfRule>
    <cfRule type="expression" dxfId="740" priority="743" stopIfTrue="1">
      <formula>$G133="EURO"</formula>
    </cfRule>
    <cfRule type="expression" dxfId="739" priority="744" stopIfTrue="1">
      <formula>$G133="CONFEDERATIONS"</formula>
    </cfRule>
    <cfRule type="expression" dxfId="738" priority="745" stopIfTrue="1">
      <formula>$G133="ENVIE"</formula>
    </cfRule>
    <cfRule type="expression" dxfId="737" priority="746" stopIfTrue="1">
      <formula>$G133="ENVIE FIN"</formula>
    </cfRule>
  </conditionalFormatting>
  <conditionalFormatting sqref="A134">
    <cfRule type="expression" dxfId="736" priority="723" stopIfTrue="1">
      <formula>$F134="#DEPASSE#"</formula>
    </cfRule>
    <cfRule type="expression" dxfId="735" priority="724" stopIfTrue="1">
      <formula>$O134=0</formula>
    </cfRule>
    <cfRule type="expression" dxfId="734" priority="725" stopIfTrue="1">
      <formula>$G134="CHAMPIONNAT"</formula>
    </cfRule>
    <cfRule type="expression" dxfId="733" priority="726" stopIfTrue="1">
      <formula>$G134="CHAMPION'S LEAGUE"</formula>
    </cfRule>
    <cfRule type="expression" dxfId="732" priority="727" stopIfTrue="1">
      <formula>$G134="UEFA"</formula>
    </cfRule>
    <cfRule type="expression" dxfId="731" priority="728" stopIfTrue="1">
      <formula>$G134="COUPE DE FRANCE"</formula>
    </cfRule>
    <cfRule type="expression" dxfId="730" priority="729" stopIfTrue="1">
      <formula>$G134="COUPE DE LA LIGUE"</formula>
    </cfRule>
    <cfRule type="expression" dxfId="729" priority="730" stopIfTrue="1">
      <formula>$G134="FORMULE 1"</formula>
    </cfRule>
    <cfRule type="expression" dxfId="728" priority="731" stopIfTrue="1">
      <formula>$G134="MONDIAL"</formula>
    </cfRule>
    <cfRule type="expression" dxfId="727" priority="732" stopIfTrue="1">
      <formula>$G134="EURO"</formula>
    </cfRule>
    <cfRule type="expression" dxfId="726" priority="733" stopIfTrue="1">
      <formula>$G134="ENVIE FIN"</formula>
    </cfRule>
  </conditionalFormatting>
  <conditionalFormatting sqref="A134">
    <cfRule type="expression" dxfId="725" priority="722" stopIfTrue="1">
      <formula>$G134="CONFEDERATIONS"</formula>
    </cfRule>
  </conditionalFormatting>
  <conditionalFormatting sqref="A134">
    <cfRule type="expression" dxfId="724" priority="721" stopIfTrue="1">
      <formula>$G134="ENVIE"</formula>
    </cfRule>
  </conditionalFormatting>
  <conditionalFormatting sqref="A135">
    <cfRule type="expression" dxfId="723" priority="708" stopIfTrue="1">
      <formula>$F135="#DEPASSE#"</formula>
    </cfRule>
    <cfRule type="expression" dxfId="722" priority="709" stopIfTrue="1">
      <formula>$O135=0</formula>
    </cfRule>
    <cfRule type="expression" dxfId="721" priority="710" stopIfTrue="1">
      <formula>$G135="CHAMPIONNAT"</formula>
    </cfRule>
    <cfRule type="expression" dxfId="720" priority="711" stopIfTrue="1">
      <formula>$G135="CHAMPION'S LEAGUE"</formula>
    </cfRule>
    <cfRule type="expression" dxfId="719" priority="712" stopIfTrue="1">
      <formula>$G135="UEFA"</formula>
    </cfRule>
    <cfRule type="expression" dxfId="718" priority="713" stopIfTrue="1">
      <formula>$G135="COUPE DE FRANCE"</formula>
    </cfRule>
    <cfRule type="expression" dxfId="717" priority="714" stopIfTrue="1">
      <formula>$G135="COUPE DE LA LIGUE"</formula>
    </cfRule>
    <cfRule type="expression" dxfId="716" priority="715" stopIfTrue="1">
      <formula>$G135="FORMULE 1"</formula>
    </cfRule>
    <cfRule type="expression" dxfId="715" priority="716" stopIfTrue="1">
      <formula>$G135="MONDIAL"</formula>
    </cfRule>
    <cfRule type="expression" dxfId="714" priority="717" stopIfTrue="1">
      <formula>$G135="EURO"</formula>
    </cfRule>
    <cfRule type="expression" dxfId="713" priority="718" stopIfTrue="1">
      <formula>$G135="CONFEDERATIONS"</formula>
    </cfRule>
    <cfRule type="expression" dxfId="712" priority="719" stopIfTrue="1">
      <formula>$G135="ENVIE"</formula>
    </cfRule>
    <cfRule type="expression" dxfId="711" priority="720" stopIfTrue="1">
      <formula>$G135="ENVIE FIN"</formula>
    </cfRule>
  </conditionalFormatting>
  <conditionalFormatting sqref="A136">
    <cfRule type="expression" dxfId="710" priority="697" stopIfTrue="1">
      <formula>$F136="#DEPASSE#"</formula>
    </cfRule>
    <cfRule type="expression" dxfId="709" priority="698" stopIfTrue="1">
      <formula>$O136=0</formula>
    </cfRule>
    <cfRule type="expression" dxfId="708" priority="699" stopIfTrue="1">
      <formula>$G136="CHAMPIONNAT"</formula>
    </cfRule>
    <cfRule type="expression" dxfId="707" priority="700" stopIfTrue="1">
      <formula>$G136="CHAMPION'S LEAGUE"</formula>
    </cfRule>
    <cfRule type="expression" dxfId="706" priority="701" stopIfTrue="1">
      <formula>$G136="UEFA"</formula>
    </cfRule>
    <cfRule type="expression" dxfId="705" priority="702" stopIfTrue="1">
      <formula>$G136="COUPE DE FRANCE"</formula>
    </cfRule>
    <cfRule type="expression" dxfId="704" priority="703" stopIfTrue="1">
      <formula>$G136="COUPE DE LA LIGUE"</formula>
    </cfRule>
    <cfRule type="expression" dxfId="703" priority="704" stopIfTrue="1">
      <formula>$G136="FORMULE 1"</formula>
    </cfRule>
    <cfRule type="expression" dxfId="702" priority="705" stopIfTrue="1">
      <formula>$G136="MONDIAL"</formula>
    </cfRule>
    <cfRule type="expression" dxfId="701" priority="706" stopIfTrue="1">
      <formula>$G136="EURO"</formula>
    </cfRule>
    <cfRule type="expression" dxfId="700" priority="707" stopIfTrue="1">
      <formula>$G136="ENVIE FIN"</formula>
    </cfRule>
  </conditionalFormatting>
  <conditionalFormatting sqref="A136">
    <cfRule type="expression" dxfId="699" priority="696" stopIfTrue="1">
      <formula>$G136="CONFEDERATIONS"</formula>
    </cfRule>
  </conditionalFormatting>
  <conditionalFormatting sqref="A136">
    <cfRule type="expression" dxfId="698" priority="695" stopIfTrue="1">
      <formula>$G136="ENVIE"</formula>
    </cfRule>
  </conditionalFormatting>
  <conditionalFormatting sqref="A138">
    <cfRule type="expression" dxfId="697" priority="684" stopIfTrue="1">
      <formula>$F138="#DEPASSE#"</formula>
    </cfRule>
    <cfRule type="expression" dxfId="696" priority="685" stopIfTrue="1">
      <formula>$O138=0</formula>
    </cfRule>
    <cfRule type="expression" dxfId="695" priority="686" stopIfTrue="1">
      <formula>$G138="CHAMPIONNAT"</formula>
    </cfRule>
    <cfRule type="expression" dxfId="694" priority="687" stopIfTrue="1">
      <formula>$G138="CHAMPION'S LEAGUE"</formula>
    </cfRule>
    <cfRule type="expression" dxfId="693" priority="688" stopIfTrue="1">
      <formula>$G138="UEFA"</formula>
    </cfRule>
    <cfRule type="expression" dxfId="692" priority="689" stopIfTrue="1">
      <formula>$G138="COUPE DE FRANCE"</formula>
    </cfRule>
    <cfRule type="expression" dxfId="691" priority="690" stopIfTrue="1">
      <formula>$G138="COUPE DE LA LIGUE"</formula>
    </cfRule>
    <cfRule type="expression" dxfId="690" priority="691" stopIfTrue="1">
      <formula>$G138="FORMULE 1"</formula>
    </cfRule>
    <cfRule type="expression" dxfId="689" priority="692" stopIfTrue="1">
      <formula>$G138="MONDIAL"</formula>
    </cfRule>
    <cfRule type="expression" dxfId="688" priority="693" stopIfTrue="1">
      <formula>$G138="EURO"</formula>
    </cfRule>
    <cfRule type="expression" dxfId="687" priority="694" stopIfTrue="1">
      <formula>$G138="ENVIE FIN"</formula>
    </cfRule>
  </conditionalFormatting>
  <conditionalFormatting sqref="A138">
    <cfRule type="expression" dxfId="686" priority="683" stopIfTrue="1">
      <formula>$G138="CONFEDERATIONS"</formula>
    </cfRule>
  </conditionalFormatting>
  <conditionalFormatting sqref="A138">
    <cfRule type="expression" dxfId="685" priority="682" stopIfTrue="1">
      <formula>$G138="ENVIE"</formula>
    </cfRule>
  </conditionalFormatting>
  <conditionalFormatting sqref="A139">
    <cfRule type="expression" dxfId="684" priority="669" stopIfTrue="1">
      <formula>$F139="#DEPASSE#"</formula>
    </cfRule>
    <cfRule type="expression" dxfId="683" priority="670" stopIfTrue="1">
      <formula>$O139=0</formula>
    </cfRule>
    <cfRule type="expression" dxfId="682" priority="671" stopIfTrue="1">
      <formula>$G139="CHAMPIONNAT"</formula>
    </cfRule>
    <cfRule type="expression" dxfId="681" priority="672" stopIfTrue="1">
      <formula>$G139="CHAMPION'S LEAGUE"</formula>
    </cfRule>
    <cfRule type="expression" dxfId="680" priority="673" stopIfTrue="1">
      <formula>$G139="UEFA"</formula>
    </cfRule>
    <cfRule type="expression" dxfId="679" priority="674" stopIfTrue="1">
      <formula>$G139="COUPE DE FRANCE"</formula>
    </cfRule>
    <cfRule type="expression" dxfId="678" priority="675" stopIfTrue="1">
      <formula>$G139="COUPE DE LA LIGUE"</formula>
    </cfRule>
    <cfRule type="expression" dxfId="677" priority="676" stopIfTrue="1">
      <formula>$G139="FORMULE 1"</formula>
    </cfRule>
    <cfRule type="expression" dxfId="676" priority="677" stopIfTrue="1">
      <formula>$G139="MONDIAL"</formula>
    </cfRule>
    <cfRule type="expression" dxfId="675" priority="678" stopIfTrue="1">
      <formula>$G139="EURO"</formula>
    </cfRule>
    <cfRule type="expression" dxfId="674" priority="679" stopIfTrue="1">
      <formula>$G139="CONFEDERATIONS"</formula>
    </cfRule>
    <cfRule type="expression" dxfId="673" priority="680" stopIfTrue="1">
      <formula>$G139="ENVIE"</formula>
    </cfRule>
    <cfRule type="expression" dxfId="672" priority="681" stopIfTrue="1">
      <formula>$G139="ENVIE FIN"</formula>
    </cfRule>
  </conditionalFormatting>
  <conditionalFormatting sqref="A140">
    <cfRule type="expression" dxfId="671" priority="657" stopIfTrue="1">
      <formula>$G140="ENVIE"</formula>
    </cfRule>
    <cfRule type="expression" dxfId="670" priority="658" stopIfTrue="1">
      <formula>$F140="#DEPASSE#"</formula>
    </cfRule>
    <cfRule type="expression" dxfId="669" priority="659" stopIfTrue="1">
      <formula>$O140=0</formula>
    </cfRule>
    <cfRule type="expression" dxfId="668" priority="660" stopIfTrue="1">
      <formula>$G140="CHAMPIONNAT"</formula>
    </cfRule>
    <cfRule type="expression" dxfId="667" priority="661" stopIfTrue="1">
      <formula>$G140="CHAMPION'S LEAGUE"</formula>
    </cfRule>
    <cfRule type="expression" dxfId="666" priority="662" stopIfTrue="1">
      <formula>$G140="UEFA"</formula>
    </cfRule>
    <cfRule type="expression" dxfId="665" priority="663" stopIfTrue="1">
      <formula>$G140="COUPE DE FRANCE"</formula>
    </cfRule>
    <cfRule type="expression" dxfId="664" priority="664" stopIfTrue="1">
      <formula>$G140="COUPE DE LA LIGUE"</formula>
    </cfRule>
    <cfRule type="expression" dxfId="663" priority="665" stopIfTrue="1">
      <formula>$G140="FORMULE 1"</formula>
    </cfRule>
    <cfRule type="expression" dxfId="662" priority="666" stopIfTrue="1">
      <formula>$G140="MONDIAL"</formula>
    </cfRule>
    <cfRule type="expression" dxfId="661" priority="667" stopIfTrue="1">
      <formula>$G140="EURO"</formula>
    </cfRule>
    <cfRule type="expression" dxfId="660" priority="668" stopIfTrue="1">
      <formula>$G140="ENVIE FIN"</formula>
    </cfRule>
  </conditionalFormatting>
  <conditionalFormatting sqref="A140">
    <cfRule type="expression" dxfId="659" priority="656" stopIfTrue="1">
      <formula>$G140="CONFEDERATIONS"</formula>
    </cfRule>
  </conditionalFormatting>
  <conditionalFormatting sqref="A141">
    <cfRule type="expression" dxfId="658" priority="643" stopIfTrue="1">
      <formula>$F141="#DEPASSE#"</formula>
    </cfRule>
    <cfRule type="expression" dxfId="657" priority="644" stopIfTrue="1">
      <formula>$O141=0</formula>
    </cfRule>
    <cfRule type="expression" dxfId="656" priority="645" stopIfTrue="1">
      <formula>$G141="CHAMPIONNAT"</formula>
    </cfRule>
    <cfRule type="expression" dxfId="655" priority="646" stopIfTrue="1">
      <formula>$G141="CHAMPION'S LEAGUE"</formula>
    </cfRule>
    <cfRule type="expression" dxfId="654" priority="647" stopIfTrue="1">
      <formula>$G141="UEFA"</formula>
    </cfRule>
    <cfRule type="expression" dxfId="653" priority="648" stopIfTrue="1">
      <formula>$G141="COUPE DE FRANCE"</formula>
    </cfRule>
    <cfRule type="expression" dxfId="652" priority="649" stopIfTrue="1">
      <formula>$G141="COUPE DE LA LIGUE"</formula>
    </cfRule>
    <cfRule type="expression" dxfId="651" priority="650" stopIfTrue="1">
      <formula>$G141="FORMULE 1"</formula>
    </cfRule>
    <cfRule type="expression" dxfId="650" priority="651" stopIfTrue="1">
      <formula>$G141="MONDIAL"</formula>
    </cfRule>
    <cfRule type="expression" dxfId="649" priority="652" stopIfTrue="1">
      <formula>$G141="EURO"</formula>
    </cfRule>
    <cfRule type="expression" dxfId="648" priority="653" stopIfTrue="1">
      <formula>$G141="CONFEDERATIONS"</formula>
    </cfRule>
    <cfRule type="expression" dxfId="647" priority="654" stopIfTrue="1">
      <formula>$G141="ENVIE"</formula>
    </cfRule>
    <cfRule type="expression" dxfId="646" priority="655" stopIfTrue="1">
      <formula>$G141="ENVIE FIN"</formula>
    </cfRule>
  </conditionalFormatting>
  <conditionalFormatting sqref="A142">
    <cfRule type="expression" dxfId="645" priority="630" stopIfTrue="1">
      <formula>$G142="ENVIE"</formula>
    </cfRule>
    <cfRule type="expression" dxfId="644" priority="631" stopIfTrue="1">
      <formula>$G142="CONFEDERATIONS"</formula>
    </cfRule>
    <cfRule type="expression" dxfId="643" priority="632" stopIfTrue="1">
      <formula>$F142="#DEPASSE#"</formula>
    </cfRule>
    <cfRule type="expression" dxfId="642" priority="633" stopIfTrue="1">
      <formula>$O142=0</formula>
    </cfRule>
    <cfRule type="expression" dxfId="641" priority="634" stopIfTrue="1">
      <formula>$G142="CHAMPIONNAT"</formula>
    </cfRule>
    <cfRule type="expression" dxfId="640" priority="635" stopIfTrue="1">
      <formula>$G142="CHAMPION'S LEAGUE"</formula>
    </cfRule>
    <cfRule type="expression" dxfId="639" priority="636" stopIfTrue="1">
      <formula>$G142="UEFA"</formula>
    </cfRule>
    <cfRule type="expression" dxfId="638" priority="637" stopIfTrue="1">
      <formula>$G142="COUPE DE FRANCE"</formula>
    </cfRule>
    <cfRule type="expression" dxfId="637" priority="638" stopIfTrue="1">
      <formula>$G142="COUPE DE LA LIGUE"</formula>
    </cfRule>
    <cfRule type="expression" dxfId="636" priority="639" stopIfTrue="1">
      <formula>$G142="FORMULE 1"</formula>
    </cfRule>
    <cfRule type="expression" dxfId="635" priority="640" stopIfTrue="1">
      <formula>$G142="MONDIAL"</formula>
    </cfRule>
    <cfRule type="expression" dxfId="634" priority="641" stopIfTrue="1">
      <formula>$G142="EURO"</formula>
    </cfRule>
    <cfRule type="expression" dxfId="633" priority="642" stopIfTrue="1">
      <formula>$G142="ENVIE FIN"</formula>
    </cfRule>
  </conditionalFormatting>
  <conditionalFormatting sqref="A137">
    <cfRule type="expression" dxfId="632" priority="617" stopIfTrue="1">
      <formula>$F137="#DEPASSE#"</formula>
    </cfRule>
    <cfRule type="expression" dxfId="631" priority="618" stopIfTrue="1">
      <formula>$O137=0</formula>
    </cfRule>
    <cfRule type="expression" dxfId="630" priority="619" stopIfTrue="1">
      <formula>$G137="CHAMPIONNAT"</formula>
    </cfRule>
    <cfRule type="expression" dxfId="629" priority="620" stopIfTrue="1">
      <formula>$G137="CHAMPION'S LEAGUE"</formula>
    </cfRule>
    <cfRule type="expression" dxfId="628" priority="621" stopIfTrue="1">
      <formula>$G137="UEFA"</formula>
    </cfRule>
    <cfRule type="expression" dxfId="627" priority="622" stopIfTrue="1">
      <formula>$G137="COUPE DE FRANCE"</formula>
    </cfRule>
    <cfRule type="expression" dxfId="626" priority="623" stopIfTrue="1">
      <formula>$G137="COUPE DE LA LIGUE"</formula>
    </cfRule>
    <cfRule type="expression" dxfId="625" priority="624" stopIfTrue="1">
      <formula>$G137="FORMULE 1"</formula>
    </cfRule>
    <cfRule type="expression" dxfId="624" priority="625" stopIfTrue="1">
      <formula>$G137="MONDIAL"</formula>
    </cfRule>
    <cfRule type="expression" dxfId="623" priority="626" stopIfTrue="1">
      <formula>$G137="EURO"</formula>
    </cfRule>
    <cfRule type="expression" dxfId="622" priority="627" stopIfTrue="1">
      <formula>$G137="CONFEDERATIONS"</formula>
    </cfRule>
    <cfRule type="expression" dxfId="621" priority="628" stopIfTrue="1">
      <formula>$G137="ENVIE"</formula>
    </cfRule>
    <cfRule type="expression" dxfId="620" priority="629" stopIfTrue="1">
      <formula>$G137="ENVIE FIN"</formula>
    </cfRule>
  </conditionalFormatting>
  <conditionalFormatting sqref="B49:E49 I49 P49 W49:Z49">
    <cfRule type="expression" dxfId="619" priority="611" stopIfTrue="1">
      <formula>OR($B49="#DEPASSE#",DANS.1="DEPASSE",DIFFERENCE.1="DEPASSE")</formula>
    </cfRule>
    <cfRule type="expression" dxfId="618" priority="3820" stopIfTrue="1">
      <formula>OR(RDV2.1="AUJOURD'HUI",$C49=A)</formula>
    </cfRule>
    <cfRule type="expression" dxfId="617" priority="6039" stopIfTrue="1">
      <formula>$C49&lt;&gt;""</formula>
    </cfRule>
    <cfRule type="expression" dxfId="616" priority="6040" stopIfTrue="1">
      <formula>OR($E49&lt;&gt;"",$C49&lt;&gt;"",$D49&lt;&gt;"")</formula>
    </cfRule>
  </conditionalFormatting>
  <conditionalFormatting sqref="B50:E50 I50:V50 W50:Z50">
    <cfRule type="expression" dxfId="615" priority="608" stopIfTrue="1">
      <formula>OR($B50="#DEPASSE#",DANS.2="DEPASSE",DIFFERENCE.2="DEPASSE")</formula>
    </cfRule>
    <cfRule type="expression" dxfId="614" priority="609" stopIfTrue="1">
      <formula>OR(RDV2.2="AUJOURD'HUI",$C50=A)</formula>
    </cfRule>
  </conditionalFormatting>
  <conditionalFormatting sqref="B51:E51 I51 P51 W51:Z51">
    <cfRule type="expression" dxfId="613" priority="599" stopIfTrue="1">
      <formula>OR($B51="#DEPASSE#",DANS.3="DEPASSE",DIFFERENCE.3="DEPASSE")</formula>
    </cfRule>
    <cfRule type="expression" dxfId="612" priority="600" stopIfTrue="1">
      <formula>OR(RDV2.3="AUJOURD'HUI",$C51=A)</formula>
    </cfRule>
    <cfRule type="expression" dxfId="611" priority="601" stopIfTrue="1">
      <formula>$C51&lt;&gt;""</formula>
    </cfRule>
    <cfRule type="expression" dxfId="610" priority="602" stopIfTrue="1">
      <formula>OR($E51&lt;&gt;"",$C51&lt;&gt;"",$D51&lt;&gt;"")</formula>
    </cfRule>
  </conditionalFormatting>
  <conditionalFormatting sqref="B53:E53 I53 P53 W53:Z53">
    <cfRule type="expression" dxfId="609" priority="595" stopIfTrue="1">
      <formula>OR($B53="#DEPASSE#",DANS.5="DEPASSE",DIFFERENCE.5="DEPASSE")</formula>
    </cfRule>
    <cfRule type="expression" dxfId="608" priority="596" stopIfTrue="1">
      <formula>OR(RDV2.5="AUJOURD'HUI",$C53=A)</formula>
    </cfRule>
    <cfRule type="expression" dxfId="607" priority="597" stopIfTrue="1">
      <formula>$C53&lt;&gt;""</formula>
    </cfRule>
    <cfRule type="expression" dxfId="606" priority="598" stopIfTrue="1">
      <formula>OR($E53&lt;&gt;"",$C53&lt;&gt;"",$D53&lt;&gt;"")</formula>
    </cfRule>
  </conditionalFormatting>
  <conditionalFormatting sqref="B52:E52 I52 P52 W52:Z52">
    <cfRule type="expression" dxfId="605" priority="603" stopIfTrue="1">
      <formula>OR($B52="#DEPASSE#",DANS.4="DEPASSE",DIFFERENCE.4="DEPASSE")</formula>
    </cfRule>
    <cfRule type="expression" dxfId="604" priority="604" stopIfTrue="1">
      <formula>OR(RDV2.4="AUJOURD'HUI",$C52=A)</formula>
    </cfRule>
  </conditionalFormatting>
  <conditionalFormatting sqref="B144:D144">
    <cfRule type="expression" dxfId="603" priority="490" stopIfTrue="1">
      <formula>$B144=""</formula>
    </cfRule>
    <cfRule type="expression" dxfId="602" priority="582" stopIfTrue="1">
      <formula>$A144=""</formula>
    </cfRule>
    <cfRule type="expression" dxfId="601" priority="584" stopIfTrue="1">
      <formula>$A144="MARSEILLE"</formula>
    </cfRule>
    <cfRule type="expression" dxfId="600" priority="585" stopIfTrue="1">
      <formula>$A144="FRANCE"</formula>
    </cfRule>
    <cfRule type="expression" dxfId="599" priority="586" stopIfTrue="1">
      <formula>$B144&lt;&gt;""</formula>
    </cfRule>
  </conditionalFormatting>
  <conditionalFormatting sqref="B145:D145">
    <cfRule type="expression" dxfId="598" priority="578" stopIfTrue="1">
      <formula>$A145=""</formula>
    </cfRule>
    <cfRule type="expression" dxfId="597" priority="579" stopIfTrue="1">
      <formula>$A145="MARSEILLE"</formula>
    </cfRule>
    <cfRule type="expression" dxfId="596" priority="580" stopIfTrue="1">
      <formula>$A145="FRANCE"</formula>
    </cfRule>
    <cfRule type="expression" dxfId="595" priority="581" stopIfTrue="1">
      <formula>$B145&lt;&gt;""</formula>
    </cfRule>
  </conditionalFormatting>
  <conditionalFormatting sqref="B146:D146">
    <cfRule type="expression" dxfId="594" priority="574" stopIfTrue="1">
      <formula>$A146=""</formula>
    </cfRule>
    <cfRule type="expression" dxfId="593" priority="575" stopIfTrue="1">
      <formula>$A146="MARSEILLE"</formula>
    </cfRule>
    <cfRule type="expression" dxfId="592" priority="576" stopIfTrue="1">
      <formula>$A146="FRANCE"</formula>
    </cfRule>
    <cfRule type="expression" dxfId="591" priority="577" stopIfTrue="1">
      <formula>$B146&lt;&gt;""</formula>
    </cfRule>
  </conditionalFormatting>
  <conditionalFormatting sqref="B148:D148">
    <cfRule type="expression" dxfId="590" priority="566" stopIfTrue="1">
      <formula>$A148=""</formula>
    </cfRule>
    <cfRule type="expression" dxfId="589" priority="567" stopIfTrue="1">
      <formula>$A148="MARSEILLE"</formula>
    </cfRule>
    <cfRule type="expression" dxfId="588" priority="568" stopIfTrue="1">
      <formula>$A148="FRANCE"</formula>
    </cfRule>
    <cfRule type="expression" dxfId="587" priority="569" stopIfTrue="1">
      <formula>$B148&lt;&gt;""</formula>
    </cfRule>
  </conditionalFormatting>
  <conditionalFormatting sqref="B161:D161">
    <cfRule type="expression" dxfId="586" priority="557" stopIfTrue="1">
      <formula>$A161=""</formula>
    </cfRule>
    <cfRule type="expression" dxfId="585" priority="559" stopIfTrue="1">
      <formula>$A161="MARSEILLE"</formula>
    </cfRule>
    <cfRule type="expression" dxfId="584" priority="560" stopIfTrue="1">
      <formula>$A161="FRANCE"</formula>
    </cfRule>
    <cfRule type="expression" dxfId="583" priority="561" stopIfTrue="1">
      <formula>$B161&lt;&gt;""</formula>
    </cfRule>
  </conditionalFormatting>
  <conditionalFormatting sqref="B162:D162">
    <cfRule type="expression" dxfId="582" priority="552" stopIfTrue="1">
      <formula>$A162=""</formula>
    </cfRule>
    <cfRule type="expression" dxfId="581" priority="553" stopIfTrue="1">
      <formula>$AI162&lt;&gt;""</formula>
    </cfRule>
    <cfRule type="expression" dxfId="580" priority="554" stopIfTrue="1">
      <formula>$A162="MARSEILLE"</formula>
    </cfRule>
    <cfRule type="expression" dxfId="579" priority="555" stopIfTrue="1">
      <formula>$A162="FRANCE"</formula>
    </cfRule>
    <cfRule type="expression" dxfId="578" priority="556" stopIfTrue="1">
      <formula>$B162&lt;&gt;""</formula>
    </cfRule>
  </conditionalFormatting>
  <conditionalFormatting sqref="B163:D163">
    <cfRule type="expression" dxfId="577" priority="461" stopIfTrue="1">
      <formula>$B163=""</formula>
    </cfRule>
    <cfRule type="expression" dxfId="576" priority="547" stopIfTrue="1">
      <formula>$A163=""</formula>
    </cfRule>
    <cfRule type="expression" dxfId="575" priority="548" stopIfTrue="1">
      <formula>$AI163&lt;&gt;""</formula>
    </cfRule>
    <cfRule type="expression" dxfId="574" priority="549" stopIfTrue="1">
      <formula>$A163="MARSEILLE"</formula>
    </cfRule>
    <cfRule type="expression" dxfId="573" priority="550" stopIfTrue="1">
      <formula>$A163="FRANCE"</formula>
    </cfRule>
    <cfRule type="expression" dxfId="572" priority="551" stopIfTrue="1">
      <formula>$B163&lt;&gt;""</formula>
    </cfRule>
  </conditionalFormatting>
  <conditionalFormatting sqref="B168:D168">
    <cfRule type="expression" dxfId="571" priority="562" stopIfTrue="1">
      <formula>$A168=""</formula>
    </cfRule>
    <cfRule type="expression" dxfId="570" priority="563" stopIfTrue="1">
      <formula>$A168="MARSEILLE"</formula>
    </cfRule>
    <cfRule type="expression" dxfId="569" priority="564" stopIfTrue="1">
      <formula>$A168="FRANCE"</formula>
    </cfRule>
    <cfRule type="expression" dxfId="568" priority="565" stopIfTrue="1">
      <formula>$B168&lt;&gt;""</formula>
    </cfRule>
  </conditionalFormatting>
  <conditionalFormatting sqref="B175:D175">
    <cfRule type="expression" dxfId="567" priority="570" stopIfTrue="1">
      <formula>$A203=""</formula>
    </cfRule>
    <cfRule type="expression" dxfId="566" priority="571" stopIfTrue="1">
      <formula>$A175="MARSEILLE"</formula>
    </cfRule>
    <cfRule type="expression" dxfId="565" priority="572" stopIfTrue="1">
      <formula>$A175="FRANCE"</formula>
    </cfRule>
    <cfRule type="expression" dxfId="564" priority="573" stopIfTrue="1">
      <formula>$B175&lt;&gt;""</formula>
    </cfRule>
  </conditionalFormatting>
  <conditionalFormatting sqref="B147:D147">
    <cfRule type="expression" dxfId="563" priority="543" stopIfTrue="1">
      <formula>$A147=""</formula>
    </cfRule>
    <cfRule type="expression" dxfId="562" priority="544" stopIfTrue="1">
      <formula>$A147="MARSEILLE"</formula>
    </cfRule>
    <cfRule type="expression" dxfId="561" priority="545" stopIfTrue="1">
      <formula>$A147="FRANCE"</formula>
    </cfRule>
    <cfRule type="expression" dxfId="560" priority="546" stopIfTrue="1">
      <formula>$B147&lt;&gt;""</formula>
    </cfRule>
  </conditionalFormatting>
  <conditionalFormatting sqref="B150:D150">
    <cfRule type="expression" dxfId="559" priority="535" stopIfTrue="1">
      <formula>$A150=""</formula>
    </cfRule>
    <cfRule type="expression" dxfId="558" priority="536" stopIfTrue="1">
      <formula>$A150="MARSEILLE"</formula>
    </cfRule>
    <cfRule type="expression" dxfId="557" priority="537" stopIfTrue="1">
      <formula>$A150="FRANCE"</formula>
    </cfRule>
    <cfRule type="expression" dxfId="556" priority="538" stopIfTrue="1">
      <formula>$B150&lt;&gt;""</formula>
    </cfRule>
  </conditionalFormatting>
  <conditionalFormatting sqref="B149:D149">
    <cfRule type="expression" dxfId="555" priority="539" stopIfTrue="1">
      <formula>$A149=""</formula>
    </cfRule>
    <cfRule type="expression" dxfId="554" priority="540" stopIfTrue="1">
      <formula>$A149="MARSEILLE"</formula>
    </cfRule>
    <cfRule type="expression" dxfId="553" priority="541" stopIfTrue="1">
      <formula>$A149="FRANCE"</formula>
    </cfRule>
    <cfRule type="expression" dxfId="552" priority="542" stopIfTrue="1">
      <formula>$B149&lt;&gt;""</formula>
    </cfRule>
  </conditionalFormatting>
  <conditionalFormatting sqref="B152:D152">
    <cfRule type="expression" dxfId="551" priority="531" stopIfTrue="1">
      <formula>$A152=""</formula>
    </cfRule>
    <cfRule type="expression" dxfId="550" priority="532" stopIfTrue="1">
      <formula>$A152="MARSEILLE"</formula>
    </cfRule>
    <cfRule type="expression" dxfId="549" priority="533" stopIfTrue="1">
      <formula>$A152="FRANCE"</formula>
    </cfRule>
    <cfRule type="expression" dxfId="548" priority="534" stopIfTrue="1">
      <formula>$B152&lt;&gt;""</formula>
    </cfRule>
  </conditionalFormatting>
  <conditionalFormatting sqref="B151:D151">
    <cfRule type="expression" dxfId="547" priority="527" stopIfTrue="1">
      <formula>$A151=""</formula>
    </cfRule>
    <cfRule type="expression" dxfId="546" priority="528" stopIfTrue="1">
      <formula>$A151="MARSEILLE"</formula>
    </cfRule>
    <cfRule type="expression" dxfId="545" priority="529" stopIfTrue="1">
      <formula>$A151="FRANCE"</formula>
    </cfRule>
    <cfRule type="expression" dxfId="544" priority="530" stopIfTrue="1">
      <formula>$B151&lt;&gt;""</formula>
    </cfRule>
  </conditionalFormatting>
  <conditionalFormatting sqref="B154:D154">
    <cfRule type="expression" dxfId="543" priority="523" stopIfTrue="1">
      <formula>$A154=""</formula>
    </cfRule>
    <cfRule type="expression" dxfId="542" priority="524" stopIfTrue="1">
      <formula>$A154="MARSEILLE"</formula>
    </cfRule>
    <cfRule type="expression" dxfId="541" priority="525" stopIfTrue="1">
      <formula>$A154="FRANCE"</formula>
    </cfRule>
    <cfRule type="expression" dxfId="540" priority="526" stopIfTrue="1">
      <formula>$B154&lt;&gt;""</formula>
    </cfRule>
  </conditionalFormatting>
  <conditionalFormatting sqref="B153:D153">
    <cfRule type="expression" dxfId="539" priority="519" stopIfTrue="1">
      <formula>$A153=""</formula>
    </cfRule>
    <cfRule type="expression" dxfId="538" priority="520" stopIfTrue="1">
      <formula>$A153="MARSEILLE"</formula>
    </cfRule>
    <cfRule type="expression" dxfId="537" priority="521" stopIfTrue="1">
      <formula>$A153="FRANCE"</formula>
    </cfRule>
    <cfRule type="expression" dxfId="536" priority="522" stopIfTrue="1">
      <formula>$B153&lt;&gt;""</formula>
    </cfRule>
  </conditionalFormatting>
  <conditionalFormatting sqref="B156:D156">
    <cfRule type="expression" dxfId="535" priority="515" stopIfTrue="1">
      <formula>$A156=""</formula>
    </cfRule>
    <cfRule type="expression" dxfId="534" priority="516" stopIfTrue="1">
      <formula>$A156="MARSEILLE"</formula>
    </cfRule>
    <cfRule type="expression" dxfId="533" priority="517" stopIfTrue="1">
      <formula>$A156="FRANCE"</formula>
    </cfRule>
    <cfRule type="expression" dxfId="532" priority="518" stopIfTrue="1">
      <formula>$B156&lt;&gt;""</formula>
    </cfRule>
  </conditionalFormatting>
  <conditionalFormatting sqref="B155:D155">
    <cfRule type="expression" dxfId="531" priority="511" stopIfTrue="1">
      <formula>$A155=""</formula>
    </cfRule>
    <cfRule type="expression" dxfId="530" priority="512" stopIfTrue="1">
      <formula>$A155="MARSEILLE"</formula>
    </cfRule>
    <cfRule type="expression" dxfId="529" priority="513" stopIfTrue="1">
      <formula>$A155="FRANCE"</formula>
    </cfRule>
    <cfRule type="expression" dxfId="528" priority="514" stopIfTrue="1">
      <formula>$B155&lt;&gt;""</formula>
    </cfRule>
  </conditionalFormatting>
  <conditionalFormatting sqref="B158:D158">
    <cfRule type="expression" dxfId="527" priority="507" stopIfTrue="1">
      <formula>$A158=""</formula>
    </cfRule>
    <cfRule type="expression" dxfId="526" priority="508" stopIfTrue="1">
      <formula>$A158="MARSEILLE"</formula>
    </cfRule>
    <cfRule type="expression" dxfId="525" priority="509" stopIfTrue="1">
      <formula>$A158="FRANCE"</formula>
    </cfRule>
    <cfRule type="expression" dxfId="524" priority="510" stopIfTrue="1">
      <formula>$B158&lt;&gt;""</formula>
    </cfRule>
  </conditionalFormatting>
  <conditionalFormatting sqref="B157:D157">
    <cfRule type="expression" dxfId="523" priority="503" stopIfTrue="1">
      <formula>$A157=""</formula>
    </cfRule>
    <cfRule type="expression" dxfId="522" priority="504" stopIfTrue="1">
      <formula>$A157="MARSEILLE"</formula>
    </cfRule>
    <cfRule type="expression" dxfId="521" priority="505" stopIfTrue="1">
      <formula>$A157="FRANCE"</formula>
    </cfRule>
    <cfRule type="expression" dxfId="520" priority="506" stopIfTrue="1">
      <formula>$B157&lt;&gt;""</formula>
    </cfRule>
  </conditionalFormatting>
  <conditionalFormatting sqref="B159:D159">
    <cfRule type="expression" dxfId="519" priority="499" stopIfTrue="1">
      <formula>$A159=""</formula>
    </cfRule>
    <cfRule type="expression" dxfId="518" priority="500" stopIfTrue="1">
      <formula>$A159="MARSEILLE"</formula>
    </cfRule>
    <cfRule type="expression" dxfId="517" priority="501" stopIfTrue="1">
      <formula>$A159="FRANCE"</formula>
    </cfRule>
    <cfRule type="expression" dxfId="516" priority="502" stopIfTrue="1">
      <formula>$B159&lt;&gt;""</formula>
    </cfRule>
  </conditionalFormatting>
  <conditionalFormatting sqref="B160:D160">
    <cfRule type="expression" dxfId="515" priority="495" stopIfTrue="1">
      <formula>$A160=""</formula>
    </cfRule>
    <cfRule type="expression" dxfId="514" priority="496" stopIfTrue="1">
      <formula>$A160="MARSEILLE"</formula>
    </cfRule>
    <cfRule type="expression" dxfId="513" priority="497" stopIfTrue="1">
      <formula>$A160="FRANCE"</formula>
    </cfRule>
    <cfRule type="expression" dxfId="512" priority="498" stopIfTrue="1">
      <formula>$B160&lt;&gt;""</formula>
    </cfRule>
  </conditionalFormatting>
  <conditionalFormatting sqref="B162:D162">
    <cfRule type="expression" dxfId="511" priority="491" stopIfTrue="1">
      <formula>$A162=""</formula>
    </cfRule>
    <cfRule type="expression" dxfId="510" priority="492" stopIfTrue="1">
      <formula>$A162="MARSEILLE"</formula>
    </cfRule>
    <cfRule type="expression" dxfId="509" priority="493" stopIfTrue="1">
      <formula>$A162="FRANCE"</formula>
    </cfRule>
    <cfRule type="expression" dxfId="508" priority="494" stopIfTrue="1">
      <formula>$B162&lt;&gt;""</formula>
    </cfRule>
  </conditionalFormatting>
  <conditionalFormatting sqref="B164:D164">
    <cfRule type="expression" dxfId="507" priority="485" stopIfTrue="1">
      <formula>$A164=""</formula>
    </cfRule>
    <cfRule type="expression" dxfId="506" priority="486" stopIfTrue="1">
      <formula>$AI164&lt;&gt;""</formula>
    </cfRule>
    <cfRule type="expression" dxfId="505" priority="487" stopIfTrue="1">
      <formula>$A164="MARSEILLE"</formula>
    </cfRule>
    <cfRule type="expression" dxfId="504" priority="488" stopIfTrue="1">
      <formula>$A164="FRANCE"</formula>
    </cfRule>
    <cfRule type="expression" dxfId="503" priority="489" stopIfTrue="1">
      <formula>$B164&lt;&gt;""</formula>
    </cfRule>
  </conditionalFormatting>
  <conditionalFormatting sqref="B165:D165">
    <cfRule type="expression" dxfId="502" priority="460" stopIfTrue="1">
      <formula>$B165=""</formula>
    </cfRule>
    <cfRule type="expression" dxfId="501" priority="480" stopIfTrue="1">
      <formula>$A165=""</formula>
    </cfRule>
    <cfRule type="expression" dxfId="500" priority="482" stopIfTrue="1">
      <formula>$A165="MARSEILLE"</formula>
    </cfRule>
    <cfRule type="expression" dxfId="499" priority="483" stopIfTrue="1">
      <formula>$A165="FRANCE"</formula>
    </cfRule>
    <cfRule type="expression" dxfId="498" priority="484" stopIfTrue="1">
      <formula>$B165&lt;&gt;""</formula>
    </cfRule>
  </conditionalFormatting>
  <conditionalFormatting sqref="B164:D164">
    <cfRule type="expression" dxfId="497" priority="476" stopIfTrue="1">
      <formula>$A164=""</formula>
    </cfRule>
    <cfRule type="expression" dxfId="496" priority="477" stopIfTrue="1">
      <formula>$A164="MARSEILLE"</formula>
    </cfRule>
    <cfRule type="expression" dxfId="495" priority="478" stopIfTrue="1">
      <formula>$A164="FRANCE"</formula>
    </cfRule>
    <cfRule type="expression" dxfId="494" priority="479" stopIfTrue="1">
      <formula>$B164&lt;&gt;""</formula>
    </cfRule>
  </conditionalFormatting>
  <conditionalFormatting sqref="B166:D166">
    <cfRule type="expression" dxfId="493" priority="471" stopIfTrue="1">
      <formula>$A166=""</formula>
    </cfRule>
    <cfRule type="expression" dxfId="492" priority="472" stopIfTrue="1">
      <formula>$AI166&lt;&gt;""</formula>
    </cfRule>
    <cfRule type="expression" dxfId="491" priority="473" stopIfTrue="1">
      <formula>$A166="MARSEILLE"</formula>
    </cfRule>
    <cfRule type="expression" dxfId="490" priority="474" stopIfTrue="1">
      <formula>$A166="FRANCE"</formula>
    </cfRule>
    <cfRule type="expression" dxfId="489" priority="475" stopIfTrue="1">
      <formula>$B166&lt;&gt;""</formula>
    </cfRule>
  </conditionalFormatting>
  <conditionalFormatting sqref="B167:D167">
    <cfRule type="expression" dxfId="488" priority="466" stopIfTrue="1">
      <formula>$A167=""</formula>
    </cfRule>
    <cfRule type="expression" dxfId="487" priority="468" stopIfTrue="1">
      <formula>$A167="MARSEILLE"</formula>
    </cfRule>
    <cfRule type="expression" dxfId="486" priority="469" stopIfTrue="1">
      <formula>$A167="FRANCE"</formula>
    </cfRule>
    <cfRule type="expression" dxfId="485" priority="470" stopIfTrue="1">
      <formula>$B167&lt;&gt;""</formula>
    </cfRule>
  </conditionalFormatting>
  <conditionalFormatting sqref="B166:D166">
    <cfRule type="expression" dxfId="484" priority="462" stopIfTrue="1">
      <formula>$A166=""</formula>
    </cfRule>
    <cfRule type="expression" dxfId="483" priority="463" stopIfTrue="1">
      <formula>$A166="MARSEILLE"</formula>
    </cfRule>
    <cfRule type="expression" dxfId="482" priority="464" stopIfTrue="1">
      <formula>$A166="FRANCE"</formula>
    </cfRule>
    <cfRule type="expression" dxfId="481" priority="465" stopIfTrue="1">
      <formula>$B166&lt;&gt;""</formula>
    </cfRule>
  </conditionalFormatting>
  <conditionalFormatting sqref="B169:D169">
    <cfRule type="expression" dxfId="480" priority="455" stopIfTrue="1">
      <formula>$A169=""</formula>
    </cfRule>
    <cfRule type="expression" dxfId="479" priority="457" stopIfTrue="1">
      <formula>$A169="MARSEILLE"</formula>
    </cfRule>
    <cfRule type="expression" dxfId="478" priority="458" stopIfTrue="1">
      <formula>$A169="FRANCE"</formula>
    </cfRule>
    <cfRule type="expression" dxfId="477" priority="459" stopIfTrue="1">
      <formula>$B169&lt;&gt;""</formula>
    </cfRule>
  </conditionalFormatting>
  <conditionalFormatting sqref="B170:D170">
    <cfRule type="expression" dxfId="476" priority="451" stopIfTrue="1">
      <formula>$A170=""</formula>
    </cfRule>
    <cfRule type="expression" dxfId="475" priority="452" stopIfTrue="1">
      <formula>$A170="MARSEILLE"</formula>
    </cfRule>
    <cfRule type="expression" dxfId="474" priority="453" stopIfTrue="1">
      <formula>$A170="FRANCE"</formula>
    </cfRule>
    <cfRule type="expression" dxfId="473" priority="454" stopIfTrue="1">
      <formula>$B170&lt;&gt;""</formula>
    </cfRule>
  </conditionalFormatting>
  <conditionalFormatting sqref="B171:D171">
    <cfRule type="expression" dxfId="472" priority="446" stopIfTrue="1">
      <formula>$A171=""</formula>
    </cfRule>
    <cfRule type="expression" dxfId="471" priority="448" stopIfTrue="1">
      <formula>$A171="MARSEILLE"</formula>
    </cfRule>
    <cfRule type="expression" dxfId="470" priority="449" stopIfTrue="1">
      <formula>$A171="FRANCE"</formula>
    </cfRule>
    <cfRule type="expression" dxfId="469" priority="450" stopIfTrue="1">
      <formula>$B171&lt;&gt;""</formula>
    </cfRule>
  </conditionalFormatting>
  <conditionalFormatting sqref="B172:D172">
    <cfRule type="expression" dxfId="468" priority="442" stopIfTrue="1">
      <formula>$A172=""</formula>
    </cfRule>
    <cfRule type="expression" dxfId="467" priority="443" stopIfTrue="1">
      <formula>$A172="MARSEILLE"</formula>
    </cfRule>
    <cfRule type="expression" dxfId="466" priority="444" stopIfTrue="1">
      <formula>$A172="FRANCE"</formula>
    </cfRule>
    <cfRule type="expression" dxfId="465" priority="445" stopIfTrue="1">
      <formula>$B172&lt;&gt;""</formula>
    </cfRule>
  </conditionalFormatting>
  <conditionalFormatting sqref="B173:D173">
    <cfRule type="expression" dxfId="464" priority="437" stopIfTrue="1">
      <formula>$A173=""</formula>
    </cfRule>
    <cfRule type="expression" dxfId="463" priority="439" stopIfTrue="1">
      <formula>$A173="MARSEILLE"</formula>
    </cfRule>
    <cfRule type="expression" dxfId="462" priority="440" stopIfTrue="1">
      <formula>$A173="FRANCE"</formula>
    </cfRule>
    <cfRule type="expression" dxfId="461" priority="441" stopIfTrue="1">
      <formula>$B173&lt;&gt;""</formula>
    </cfRule>
  </conditionalFormatting>
  <conditionalFormatting sqref="B174:D174">
    <cfRule type="expression" dxfId="460" priority="433" stopIfTrue="1">
      <formula>$A174=""</formula>
    </cfRule>
    <cfRule type="expression" dxfId="459" priority="434" stopIfTrue="1">
      <formula>$A174="MARSEILLE"</formula>
    </cfRule>
    <cfRule type="expression" dxfId="458" priority="435" stopIfTrue="1">
      <formula>$A174="FRANCE"</formula>
    </cfRule>
    <cfRule type="expression" dxfId="457" priority="436" stopIfTrue="1">
      <formula>$B174&lt;&gt;""</formula>
    </cfRule>
  </conditionalFormatting>
  <conditionalFormatting sqref="B175:D175">
    <cfRule type="expression" dxfId="456" priority="428" stopIfTrue="1">
      <formula>$A175=""</formula>
    </cfRule>
    <cfRule type="expression" dxfId="455" priority="430" stopIfTrue="1">
      <formula>$A175="MARSEILLE"</formula>
    </cfRule>
    <cfRule type="expression" dxfId="454" priority="431" stopIfTrue="1">
      <formula>$A175="FRANCE"</formula>
    </cfRule>
    <cfRule type="expression" dxfId="453" priority="432" stopIfTrue="1">
      <formula>$B175&lt;&gt;""</formula>
    </cfRule>
  </conditionalFormatting>
  <conditionalFormatting sqref="AE55 U55:AC55 B55:D55 G55:S55">
    <cfRule type="expression" dxfId="452" priority="953" stopIfTrue="1">
      <formula>OR(AND($B55&lt;&gt;"",DATE.FICHIER.A.OUVRIR&lt;0,$AL55&lt;&gt;""),$J55=SUBSTITUTE(DEPP,"#",""))</formula>
    </cfRule>
    <cfRule type="expression" dxfId="451" priority="954" stopIfTrue="1">
      <formula>AND($B55&lt;&gt;"",OR($AL55="¤¤",$P55&lt;&gt;""))</formula>
    </cfRule>
    <cfRule type="expression" dxfId="450" priority="955" stopIfTrue="1">
      <formula>AND($AK55="&amp;&amp;&amp;",$C55&lt;&gt;"")</formula>
    </cfRule>
    <cfRule type="expression" dxfId="449" priority="956" stopIfTrue="1">
      <formula>AND($B55&lt;&gt;"",DATE.RDV.TV&lt;&gt;"LUNDI")</formula>
    </cfRule>
    <cfRule type="expression" dxfId="448" priority="957" stopIfTrue="1">
      <formula>$B55&lt;&gt;""</formula>
    </cfRule>
    <cfRule type="expression" dxfId="447" priority="958" stopIfTrue="1">
      <formula>AND(DATE.RDV.TV="LUNDI",$C55&lt;&gt;"")</formula>
    </cfRule>
  </conditionalFormatting>
  <conditionalFormatting sqref="AE56 U56:AC56 B56:D56 G56:S56">
    <cfRule type="expression" dxfId="446" priority="976" stopIfTrue="1">
      <formula>AND($B56&lt;&gt;"",$C56=$E$33)</formula>
    </cfRule>
    <cfRule type="expression" dxfId="445" priority="977" stopIfTrue="1">
      <formula>OR(AND($B56&lt;&gt;"",DATE.FICHIER.A.OUVRIR&lt;0,$AL56&lt;&gt;""),$J56=SUBSTITUTE(DEPP,"#",""))</formula>
    </cfRule>
    <cfRule type="expression" dxfId="444" priority="978" stopIfTrue="1">
      <formula>AND($AK56="&amp;&amp;&amp;",$C56&lt;&gt;"")</formula>
    </cfRule>
    <cfRule type="expression" dxfId="443" priority="979" stopIfTrue="1">
      <formula>AND($B56&lt;&gt;"",OR($AL56="¤¤",$P56&lt;&gt;""))</formula>
    </cfRule>
    <cfRule type="expression" dxfId="442" priority="980" stopIfTrue="1">
      <formula>AND($B56&lt;&gt;"",DATE.RDV.TV&lt;&gt;"LUNDI")</formula>
    </cfRule>
    <cfRule type="expression" dxfId="441" priority="981" stopIfTrue="1">
      <formula>AND(DATE.RDV.TV="LUNDI",$C56&lt;&gt;"")</formula>
    </cfRule>
    <cfRule type="expression" dxfId="440" priority="982" stopIfTrue="1">
      <formula>AND($D56="0:01",$C56="")</formula>
    </cfRule>
    <cfRule type="expression" dxfId="439" priority="983" stopIfTrue="1">
      <formula>AND($D56="0:01",$C56="")</formula>
    </cfRule>
  </conditionalFormatting>
  <conditionalFormatting sqref="AE57 U57:AC57 B57:D57 G57:S57">
    <cfRule type="expression" dxfId="438" priority="969" stopIfTrue="1">
      <formula>AND($B57&lt;&gt;"",$C57=$E$33)</formula>
    </cfRule>
    <cfRule type="expression" dxfId="437" priority="970" stopIfTrue="1">
      <formula>OR(AND($B57&lt;&gt;"",DATE.FICHIER.A.OUVRIR&lt;0,$AL57&lt;&gt;""),$J57=SUBSTITUTE(DEPP,"#",""))</formula>
    </cfRule>
    <cfRule type="expression" dxfId="436" priority="971" stopIfTrue="1">
      <formula>AND($B57&lt;&gt;"",OR($AL57="¤¤",$P57&lt;&gt;""))</formula>
    </cfRule>
    <cfRule type="expression" dxfId="435" priority="972" stopIfTrue="1">
      <formula>AND($AK57="&amp;&amp;&amp;",$C57&lt;&gt;"")</formula>
    </cfRule>
    <cfRule type="expression" dxfId="434" priority="973" stopIfTrue="1">
      <formula>AND($B57&lt;&gt;"",DATE.RDV.TV&lt;&gt;"LUNDI")</formula>
    </cfRule>
    <cfRule type="expression" dxfId="433" priority="974" stopIfTrue="1">
      <formula>$B57&lt;&gt;""</formula>
    </cfRule>
    <cfRule type="expression" dxfId="432" priority="975" stopIfTrue="1">
      <formula>AND(DATE.RDV.TV="LUNDI",$C57&lt;&gt;"")</formula>
    </cfRule>
  </conditionalFormatting>
  <conditionalFormatting sqref="AE58 U58:AC58 B58:D58 G58:S58">
    <cfRule type="expression" dxfId="431" priority="963" stopIfTrue="1">
      <formula>AND($B58&lt;&gt;"",$C58=$E$33)</formula>
    </cfRule>
    <cfRule type="expression" dxfId="430" priority="964" stopIfTrue="1">
      <formula>OR(AND($B58&lt;&gt;"",DATE.FICHIER.A.OUVRIR&lt;0,$AL58&lt;&gt;""),$J58=SUBSTITUTE(DEPP,"#",""))</formula>
    </cfRule>
    <cfRule type="expression" dxfId="429" priority="965" stopIfTrue="1">
      <formula>AND($AK58="&amp;&amp;&amp;",$C58&lt;&gt;"")</formula>
    </cfRule>
    <cfRule type="expression" dxfId="428" priority="966" stopIfTrue="1">
      <formula>AND($B58&lt;&gt;"",OR($AL58="¤¤",$P58&lt;&gt;""))</formula>
    </cfRule>
    <cfRule type="expression" dxfId="427" priority="967" stopIfTrue="1">
      <formula>AND($B58&lt;&gt;"",DATE.RDV.TV&lt;&gt;"LUNDI")</formula>
    </cfRule>
    <cfRule type="expression" dxfId="426" priority="968" stopIfTrue="1">
      <formula>AND(DATE.RDV.TV="LUNDI",$C58&lt;&gt;"")</formula>
    </cfRule>
  </conditionalFormatting>
  <conditionalFormatting sqref="AE59 U59:AC59 B59:D59 G59:S59">
    <cfRule type="expression" dxfId="425" priority="919" stopIfTrue="1">
      <formula>OR(AND($B59&lt;&gt;"",DATE.FICHIER.A.OUVRIR&lt;0,$AL59&lt;&gt;""),$J59=SUBSTITUTE(DEPP,"#",""))</formula>
    </cfRule>
    <cfRule type="expression" dxfId="424" priority="920" stopIfTrue="1">
      <formula>AND($B59&lt;&gt;"",OR($AL59="¤¤",$P59&lt;&gt;""))</formula>
    </cfRule>
    <cfRule type="expression" dxfId="423" priority="921" stopIfTrue="1">
      <formula>AND($AK59="&amp;&amp;&amp;",$C59&lt;&gt;"")</formula>
    </cfRule>
    <cfRule type="expression" dxfId="422" priority="922" stopIfTrue="1">
      <formula>AND($B59&lt;&gt;"",DATE.RDV.TV&lt;&gt;"MARDI")</formula>
    </cfRule>
    <cfRule type="expression" dxfId="421" priority="923" stopIfTrue="1">
      <formula>$B59&lt;&gt;""</formula>
    </cfRule>
    <cfRule type="expression" dxfId="420" priority="924" stopIfTrue="1">
      <formula>AND(DATE.RDV.TV="MARDI",$C59&lt;&gt;"")</formula>
    </cfRule>
  </conditionalFormatting>
  <conditionalFormatting sqref="AE61 U61:AC61 B61:D61 G61:S61">
    <cfRule type="expression" dxfId="419" priority="935" stopIfTrue="1">
      <formula>AND($B61&lt;&gt;"",$C61=$E$33)</formula>
    </cfRule>
    <cfRule type="expression" dxfId="418" priority="936" stopIfTrue="1">
      <formula>OR(AND($B61&lt;&gt;"",DATE.FICHIER.A.OUVRIR&lt;0,$AL61&lt;&gt;""),$J61=SUBSTITUTE(DEPP,"#",""))</formula>
    </cfRule>
    <cfRule type="expression" dxfId="417" priority="937" stopIfTrue="1">
      <formula>AND($B61&lt;&gt;"",OR($AL61="¤¤",$P61&lt;&gt;""))</formula>
    </cfRule>
    <cfRule type="expression" dxfId="416" priority="938" stopIfTrue="1">
      <formula>AND($AK61="&amp;&amp;&amp;",$C61&lt;&gt;"")</formula>
    </cfRule>
    <cfRule type="expression" dxfId="415" priority="939" stopIfTrue="1">
      <formula>AND($B61&lt;&gt;"",DATE.RDV.TV&lt;&gt;"MARDI")</formula>
    </cfRule>
    <cfRule type="expression" dxfId="414" priority="940" stopIfTrue="1">
      <formula>$B61&lt;&gt;""</formula>
    </cfRule>
    <cfRule type="expression" dxfId="413" priority="941" stopIfTrue="1">
      <formula>AND(DATE.RDV.TV="MARDI",$C61&lt;&gt;"")</formula>
    </cfRule>
  </conditionalFormatting>
  <conditionalFormatting sqref="AE60 U60:AC60 B60:D60 G60:S60">
    <cfRule type="expression" dxfId="412" priority="942" stopIfTrue="1">
      <formula>AND($B60&lt;&gt;"",$C60=$E$33)</formula>
    </cfRule>
    <cfRule type="expression" dxfId="411" priority="943" stopIfTrue="1">
      <formula>OR(AND($B60&lt;&gt;"",DATE.FICHIER.A.OUVRIR&lt;0,$AL60&lt;&gt;""),$J60=SUBSTITUTE(DEPP,"#",""))</formula>
    </cfRule>
    <cfRule type="expression" dxfId="410" priority="944" stopIfTrue="1">
      <formula>AND($AK60="&amp;&amp;&amp;",$C60&lt;&gt;"")</formula>
    </cfRule>
    <cfRule type="expression" dxfId="409" priority="945" stopIfTrue="1">
      <formula>AND($B60&lt;&gt;"",OR($AL60="¤¤",$P60&lt;&gt;""))</formula>
    </cfRule>
    <cfRule type="expression" dxfId="408" priority="946" stopIfTrue="1">
      <formula>AND($B60&lt;&gt;"",DATE.RDV.TV&lt;&gt;"MARDI")</formula>
    </cfRule>
    <cfRule type="expression" dxfId="407" priority="947" stopIfTrue="1">
      <formula>AND(DATE.RDV.TV="MARDI",$C60&lt;&gt;"")</formula>
    </cfRule>
    <cfRule type="expression" dxfId="406" priority="948" stopIfTrue="1">
      <formula>AND($D60="0:01",$C60="")</formula>
    </cfRule>
    <cfRule type="expression" dxfId="405" priority="949" stopIfTrue="1">
      <formula>AND($D60="0:01",$C60="")</formula>
    </cfRule>
  </conditionalFormatting>
  <conditionalFormatting sqref="AE62 U62:AC62 B62:D62 G62:S62">
    <cfRule type="expression" dxfId="404" priority="929" stopIfTrue="1">
      <formula>AND($B62&lt;&gt;"",$C62=$E$33)</formula>
    </cfRule>
    <cfRule type="expression" dxfId="403" priority="930" stopIfTrue="1">
      <formula>OR(AND($B62&lt;&gt;"",DATE.FICHIER.A.OUVRIR&lt;0,$AL62&lt;&gt;""),$J62=SUBSTITUTE(DEPP,"#",""))</formula>
    </cfRule>
    <cfRule type="expression" dxfId="402" priority="931" stopIfTrue="1">
      <formula>AND($AK62="&amp;&amp;&amp;",$C62&lt;&gt;"")</formula>
    </cfRule>
    <cfRule type="expression" dxfId="401" priority="932" stopIfTrue="1">
      <formula>AND($B62&lt;&gt;"",OR($AL62="¤¤",$P62&lt;&gt;""))</formula>
    </cfRule>
    <cfRule type="expression" dxfId="400" priority="933" stopIfTrue="1">
      <formula>AND($B62&lt;&gt;"",DATE.RDV.TV&lt;&gt;"MARDI")</formula>
    </cfRule>
    <cfRule type="expression" dxfId="399" priority="934" stopIfTrue="1">
      <formula>AND(DATE.RDV.TV="MARDI",$C62&lt;&gt;"")</formula>
    </cfRule>
  </conditionalFormatting>
  <conditionalFormatting sqref="AE63 U63:AC63 B63:D63 G63:S63">
    <cfRule type="expression" dxfId="398" priority="886" stopIfTrue="1">
      <formula>OR(AND($B63&lt;&gt;"",DATE.FICHIER.A.OUVRIR&lt;0,$AL63&lt;&gt;""),$J63=SUBSTITUTE(DEPP,"#",""))</formula>
    </cfRule>
    <cfRule type="expression" dxfId="397" priority="887" stopIfTrue="1">
      <formula>AND($B63&lt;&gt;"",OR($AL63="¤¤",$P63&lt;&gt;""))</formula>
    </cfRule>
    <cfRule type="expression" dxfId="396" priority="888" stopIfTrue="1">
      <formula>AND($AK63="&amp;&amp;&amp;",$C63&lt;&gt;"")</formula>
    </cfRule>
    <cfRule type="expression" dxfId="395" priority="889" stopIfTrue="1">
      <formula>AND($B63&lt;&gt;"",DATE.RDV.TV&lt;&gt;"MERCREDI")</formula>
    </cfRule>
    <cfRule type="expression" dxfId="394" priority="890" stopIfTrue="1">
      <formula>$B63&lt;&gt;""</formula>
    </cfRule>
    <cfRule type="expression" dxfId="393" priority="891" stopIfTrue="1">
      <formula>AND(DATE.RDV.TV="MERCREDI",$C63&lt;&gt;"")</formula>
    </cfRule>
  </conditionalFormatting>
  <conditionalFormatting sqref="AE64 U64:AC64 B64:D64 G64:S64">
    <cfRule type="expression" dxfId="392" priority="909" stopIfTrue="1">
      <formula>AND($B64&lt;&gt;"",$C64=$E$33)</formula>
    </cfRule>
    <cfRule type="expression" dxfId="391" priority="910" stopIfTrue="1">
      <formula>OR(AND($B64&lt;&gt;"",DATE.FICHIER.A.OUVRIR&lt;0,$AL64&lt;&gt;""),$J64=SUBSTITUTE(DEPP,"#",""))</formula>
    </cfRule>
    <cfRule type="expression" dxfId="390" priority="911" stopIfTrue="1">
      <formula>AND($AK64="&amp;&amp;&amp;",$C64&lt;&gt;"")</formula>
    </cfRule>
    <cfRule type="expression" dxfId="389" priority="912" stopIfTrue="1">
      <formula>AND($B64&lt;&gt;"",OR($AL64="¤¤",$P64&lt;&gt;""))</formula>
    </cfRule>
    <cfRule type="expression" dxfId="388" priority="913" stopIfTrue="1">
      <formula>AND($B64&lt;&gt;"",DATE.RDV.TV&lt;&gt;"MERCREDI")</formula>
    </cfRule>
    <cfRule type="expression" dxfId="387" priority="914" stopIfTrue="1">
      <formula>AND(DATE.RDV.TV="MERCREDI",$C64&lt;&gt;"")</formula>
    </cfRule>
    <cfRule type="expression" dxfId="386" priority="915" stopIfTrue="1">
      <formula>AND($D64="0:01",$C64="")</formula>
    </cfRule>
    <cfRule type="expression" dxfId="385" priority="916" stopIfTrue="1">
      <formula>AND($D64="0:01",$C64="")</formula>
    </cfRule>
  </conditionalFormatting>
  <conditionalFormatting sqref="AE65 U65:AC65 B65:D65 G65:S65">
    <cfRule type="expression" dxfId="384" priority="902" stopIfTrue="1">
      <formula>AND($B65&lt;&gt;"",$C65=$E$33)</formula>
    </cfRule>
    <cfRule type="expression" dxfId="383" priority="903" stopIfTrue="1">
      <formula>OR(AND($B65&lt;&gt;"",DATE.FICHIER.A.OUVRIR&lt;0,$AL65&lt;&gt;""),$J65=SUBSTITUTE(DEPP,"#",""))</formula>
    </cfRule>
    <cfRule type="expression" dxfId="382" priority="904" stopIfTrue="1">
      <formula>AND($B65&lt;&gt;"",OR($AL65="¤¤",$P65&lt;&gt;""))</formula>
    </cfRule>
    <cfRule type="expression" dxfId="381" priority="905" stopIfTrue="1">
      <formula>AND($AK65="&amp;&amp;&amp;",$C65&lt;&gt;"")</formula>
    </cfRule>
    <cfRule type="expression" dxfId="380" priority="906" stopIfTrue="1">
      <formula>AND($B65&lt;&gt;"",DATE.RDV.TV&lt;&gt;"MERCREDI")</formula>
    </cfRule>
    <cfRule type="expression" dxfId="379" priority="907" stopIfTrue="1">
      <formula>$B65&lt;&gt;""</formula>
    </cfRule>
    <cfRule type="expression" dxfId="378" priority="908" stopIfTrue="1">
      <formula>AND(DATE.RDV.TV="MERCREDI",$C65&lt;&gt;"")</formula>
    </cfRule>
  </conditionalFormatting>
  <conditionalFormatting sqref="AE66 U66:AC66 B66:D66 G66:S66">
    <cfRule type="expression" dxfId="377" priority="896" stopIfTrue="1">
      <formula>AND($B66&lt;&gt;"",$C66=$E$33)</formula>
    </cfRule>
    <cfRule type="expression" dxfId="376" priority="897" stopIfTrue="1">
      <formula>OR(AND($B66&lt;&gt;"",DATE.FICHIER.A.OUVRIR&lt;0,$AL66&lt;&gt;""),$J66=SUBSTITUTE(DEPP,"#",""))</formula>
    </cfRule>
    <cfRule type="expression" dxfId="375" priority="898" stopIfTrue="1">
      <formula>AND($AK66="&amp;&amp;&amp;",$C66&lt;&gt;"")</formula>
    </cfRule>
    <cfRule type="expression" dxfId="374" priority="899" stopIfTrue="1">
      <formula>AND($B66&lt;&gt;"",OR($AL66="¤¤",$P66&lt;&gt;""))</formula>
    </cfRule>
    <cfRule type="expression" dxfId="373" priority="900" stopIfTrue="1">
      <formula>AND($B66&lt;&gt;"",DATE.RDV.TV&lt;&gt;"MERCREDI")</formula>
    </cfRule>
    <cfRule type="expression" dxfId="372" priority="901" stopIfTrue="1">
      <formula>AND(DATE.RDV.TV="MERCREDI",$C66&lt;&gt;"")</formula>
    </cfRule>
  </conditionalFormatting>
  <conditionalFormatting sqref="AE67 U67:AC67 B67:D67 G67:S67">
    <cfRule type="expression" dxfId="371" priority="1017" stopIfTrue="1">
      <formula>OR(AND($B67&lt;&gt;"",DATE.FICHIER.A.OUVRIR&lt;0,$AL67&lt;&gt;""),$J67=SUBSTITUTE(DEPP,"#",""))</formula>
    </cfRule>
    <cfRule type="expression" dxfId="370" priority="1018" stopIfTrue="1">
      <formula>AND($B67&lt;&gt;"",OR($AL67="¤¤",$P67&lt;&gt;""))</formula>
    </cfRule>
    <cfRule type="expression" dxfId="369" priority="1019" stopIfTrue="1">
      <formula>AND($AK67="&amp;&amp;&amp;",$C67&lt;&gt;"")</formula>
    </cfRule>
    <cfRule type="expression" dxfId="368" priority="1020" stopIfTrue="1">
      <formula>AND($B67&lt;&gt;"",DATE.RDV.TV&lt;&gt;"JEUDI")</formula>
    </cfRule>
    <cfRule type="expression" dxfId="367" priority="1021" stopIfTrue="1">
      <formula>$B67&lt;&gt;""</formula>
    </cfRule>
    <cfRule type="expression" dxfId="366" priority="1022" stopIfTrue="1">
      <formula>AND(DATE.RDV.TV="JEUDI",$C67&lt;&gt;"")</formula>
    </cfRule>
  </conditionalFormatting>
  <conditionalFormatting sqref="AE68 U68:AC68 B68:D68 G68:S68">
    <cfRule type="expression" dxfId="365" priority="1040" stopIfTrue="1">
      <formula>AND($B68&lt;&gt;"",$C68=$E$33)</formula>
    </cfRule>
    <cfRule type="expression" dxfId="364" priority="1041" stopIfTrue="1">
      <formula>OR(AND($B68&lt;&gt;"",DATE.FICHIER.A.OUVRIR&lt;0,$AL68&lt;&gt;""),$J68=SUBSTITUTE(DEPP,"#",""))</formula>
    </cfRule>
    <cfRule type="expression" dxfId="363" priority="1042" stopIfTrue="1">
      <formula>AND($AK68="&amp;&amp;&amp;",$C68&lt;&gt;"")</formula>
    </cfRule>
    <cfRule type="expression" dxfId="362" priority="1043" stopIfTrue="1">
      <formula>AND($B68&lt;&gt;"",OR($AL68="¤¤",$P68&lt;&gt;""))</formula>
    </cfRule>
    <cfRule type="expression" dxfId="361" priority="1044" stopIfTrue="1">
      <formula>AND($B68&lt;&gt;"",DATE.RDV.TV&lt;&gt;"JEUDI")</formula>
    </cfRule>
    <cfRule type="expression" dxfId="360" priority="1045" stopIfTrue="1">
      <formula>AND(DATE.RDV.TV="JEUDI",$C68&lt;&gt;"")</formula>
    </cfRule>
    <cfRule type="expression" dxfId="359" priority="1046" stopIfTrue="1">
      <formula>AND($D68="0:01",$C68="")</formula>
    </cfRule>
    <cfRule type="expression" dxfId="358" priority="1047" stopIfTrue="1">
      <formula>AND($D68="0:01",$C68="")</formula>
    </cfRule>
  </conditionalFormatting>
  <conditionalFormatting sqref="AE69 U69:AC69 B69:D69 G69:S69">
    <cfRule type="expression" dxfId="357" priority="1033" stopIfTrue="1">
      <formula>AND($B69&lt;&gt;"",$C69=$E$33)</formula>
    </cfRule>
    <cfRule type="expression" dxfId="356" priority="1034" stopIfTrue="1">
      <formula>OR(AND($B69&lt;&gt;"",DATE.FICHIER.A.OUVRIR&lt;0,$AL69&lt;&gt;""),$J69=SUBSTITUTE(DEPP,"#",""))</formula>
    </cfRule>
    <cfRule type="expression" dxfId="355" priority="1035" stopIfTrue="1">
      <formula>AND($B69&lt;&gt;"",OR($AL69="¤¤",$P69&lt;&gt;""))</formula>
    </cfRule>
    <cfRule type="expression" dxfId="354" priority="1036" stopIfTrue="1">
      <formula>AND($AK69="&amp;&amp;&amp;",$C69&lt;&gt;"")</formula>
    </cfRule>
    <cfRule type="expression" dxfId="353" priority="1037" stopIfTrue="1">
      <formula>AND($B69&lt;&gt;"",DATE.RDV.TV&lt;&gt;"JEUDI")</formula>
    </cfRule>
    <cfRule type="expression" dxfId="352" priority="1038" stopIfTrue="1">
      <formula>$B69&lt;&gt;""</formula>
    </cfRule>
    <cfRule type="expression" dxfId="351" priority="1039" stopIfTrue="1">
      <formula>AND(DATE.RDV.TV="JEUDI",$C69&lt;&gt;"")</formula>
    </cfRule>
  </conditionalFormatting>
  <conditionalFormatting sqref="AE70 U70:AC70 B70:D70 G70:S70">
    <cfRule type="expression" dxfId="350" priority="1027" stopIfTrue="1">
      <formula>AND($B70&lt;&gt;"",$C70=$E$33)</formula>
    </cfRule>
    <cfRule type="expression" dxfId="349" priority="1028" stopIfTrue="1">
      <formula>OR(AND($B70&lt;&gt;"",DATE.FICHIER.A.OUVRIR&lt;0,$AL70&lt;&gt;""),$J70=SUBSTITUTE(DEPP,"#",""))</formula>
    </cfRule>
    <cfRule type="expression" dxfId="348" priority="1029" stopIfTrue="1">
      <formula>AND($AK70="&amp;&amp;&amp;",$C70&lt;&gt;"")</formula>
    </cfRule>
    <cfRule type="expression" dxfId="347" priority="1030" stopIfTrue="1">
      <formula>AND($B70&lt;&gt;"",OR($AL70="¤¤",$P70&lt;&gt;""))</formula>
    </cfRule>
    <cfRule type="expression" dxfId="346" priority="1031" stopIfTrue="1">
      <formula>AND($B70&lt;&gt;"",DATE.RDV.TV&lt;&gt;"JEUDI")</formula>
    </cfRule>
    <cfRule type="expression" dxfId="345" priority="1032" stopIfTrue="1">
      <formula>AND(DATE.RDV.TV="JEUDI",$C70&lt;&gt;"")</formula>
    </cfRule>
  </conditionalFormatting>
  <conditionalFormatting sqref="AE71 U71:AC71 B71:D71 G71:S71">
    <cfRule type="expression" dxfId="344" priority="853" stopIfTrue="1">
      <formula>OR(AND($B71&lt;&gt;"",DATE.FICHIER.A.OUVRIR&lt;0,$AL71&lt;&gt;""),$J71=SUBSTITUTE(DEPP,"#",""))</formula>
    </cfRule>
    <cfRule type="expression" dxfId="343" priority="854" stopIfTrue="1">
      <formula>AND($B71&lt;&gt;"",OR($AL71="¤¤",$P71&lt;&gt;""))</formula>
    </cfRule>
    <cfRule type="expression" dxfId="342" priority="855" stopIfTrue="1">
      <formula>AND($AK71="&amp;&amp;&amp;",$C71&lt;&gt;"")</formula>
    </cfRule>
    <cfRule type="expression" dxfId="341" priority="856" stopIfTrue="1">
      <formula>AND($B71&lt;&gt;"",DATE.RDV.TV&lt;&gt;"VENDREDI")</formula>
    </cfRule>
    <cfRule type="expression" dxfId="340" priority="857" stopIfTrue="1">
      <formula>$B71&lt;&gt;""</formula>
    </cfRule>
    <cfRule type="expression" dxfId="339" priority="858" stopIfTrue="1">
      <formula>AND(DATE.RDV.TV="VENDREDI",$C71&lt;&gt;"")</formula>
    </cfRule>
  </conditionalFormatting>
  <conditionalFormatting sqref="AE72 U72:AC72 B72:D72 G72:S72">
    <cfRule type="expression" dxfId="338" priority="876" stopIfTrue="1">
      <formula>AND($B72&lt;&gt;"",$C72=$E$33)</formula>
    </cfRule>
    <cfRule type="expression" dxfId="337" priority="877" stopIfTrue="1">
      <formula>OR(AND($B72&lt;&gt;"",DATE.FICHIER.A.OUVRIR&lt;0,$AL72&lt;&gt;""),$J72=SUBSTITUTE(DEPP,"#",""))</formula>
    </cfRule>
    <cfRule type="expression" dxfId="336" priority="878" stopIfTrue="1">
      <formula>AND($AK72="&amp;&amp;&amp;",$C72&lt;&gt;"")</formula>
    </cfRule>
    <cfRule type="expression" dxfId="335" priority="879" stopIfTrue="1">
      <formula>AND($B72&lt;&gt;"",OR($AL72="¤¤",$P72&lt;&gt;""))</formula>
    </cfRule>
    <cfRule type="expression" dxfId="334" priority="880" stopIfTrue="1">
      <formula>AND($B72&lt;&gt;"",DATE.RDV.TV&lt;&gt;"VENDREDI")</formula>
    </cfRule>
    <cfRule type="expression" dxfId="333" priority="881" stopIfTrue="1">
      <formula>AND(DATE.RDV.TV="VENDREDI",$C72&lt;&gt;"")</formula>
    </cfRule>
    <cfRule type="expression" dxfId="332" priority="882" stopIfTrue="1">
      <formula>AND($D72="0:01",$C72="")</formula>
    </cfRule>
    <cfRule type="expression" dxfId="331" priority="883" stopIfTrue="1">
      <formula>AND($D72="0:01",$C72="")</formula>
    </cfRule>
  </conditionalFormatting>
  <conditionalFormatting sqref="AE73 U73:AC73 B73:D73 G73:S73">
    <cfRule type="expression" dxfId="330" priority="869" stopIfTrue="1">
      <formula>AND($B73&lt;&gt;"",$C73=$E$33)</formula>
    </cfRule>
    <cfRule type="expression" dxfId="329" priority="870" stopIfTrue="1">
      <formula>OR(AND($B73&lt;&gt;"",DATE.FICHIER.A.OUVRIR&lt;0,$AL73&lt;&gt;""),$J73=SUBSTITUTE(DEPP,"#",""))</formula>
    </cfRule>
    <cfRule type="expression" dxfId="328" priority="871" stopIfTrue="1">
      <formula>AND($B73&lt;&gt;"",OR($AL73="¤¤",$P73&lt;&gt;""))</formula>
    </cfRule>
    <cfRule type="expression" dxfId="327" priority="872" stopIfTrue="1">
      <formula>AND($AK73="&amp;&amp;&amp;",$C73&lt;&gt;"")</formula>
    </cfRule>
    <cfRule type="expression" dxfId="326" priority="873" stopIfTrue="1">
      <formula>AND($B73&lt;&gt;"",DATE.RDV.TV&lt;&gt;"VENDREDI")</formula>
    </cfRule>
    <cfRule type="expression" dxfId="325" priority="874" stopIfTrue="1">
      <formula>$B73&lt;&gt;""</formula>
    </cfRule>
    <cfRule type="expression" dxfId="324" priority="875" stopIfTrue="1">
      <formula>AND(DATE.RDV.TV="VENDREDI",$C73&lt;&gt;"")</formula>
    </cfRule>
  </conditionalFormatting>
  <conditionalFormatting sqref="AE74 U74:AC74 B74:D74 G74:S74">
    <cfRule type="expression" dxfId="323" priority="863" stopIfTrue="1">
      <formula>AND($B74&lt;&gt;"",$C74=$E$33)</formula>
    </cfRule>
    <cfRule type="expression" dxfId="322" priority="864" stopIfTrue="1">
      <formula>OR(AND($B74&lt;&gt;"",DATE.FICHIER.A.OUVRIR&lt;0,$AL74&lt;&gt;""),$J74=SUBSTITUTE(DEPP,"#",""))</formula>
    </cfRule>
    <cfRule type="expression" dxfId="321" priority="865" stopIfTrue="1">
      <formula>AND($AK74="&amp;&amp;&amp;",$C74&lt;&gt;"")</formula>
    </cfRule>
    <cfRule type="expression" dxfId="320" priority="866" stopIfTrue="1">
      <formula>AND($B74&lt;&gt;"",OR($AL74="¤¤",$P74&lt;&gt;""))</formula>
    </cfRule>
    <cfRule type="expression" dxfId="319" priority="867" stopIfTrue="1">
      <formula>AND($B74&lt;&gt;"",DATE.RDV.TV&lt;&gt;"VENDREDI")</formula>
    </cfRule>
    <cfRule type="expression" dxfId="318" priority="868" stopIfTrue="1">
      <formula>AND(DATE.RDV.TV="VENDREDI",$C74&lt;&gt;"")</formula>
    </cfRule>
  </conditionalFormatting>
  <conditionalFormatting sqref="AE75 U75:AC75 B75:D75 G75:S75">
    <cfRule type="expression" dxfId="317" priority="820" stopIfTrue="1">
      <formula>OR(AND($B75&lt;&gt;"",DATE.FICHIER.A.OUVRIR&lt;0,$AL75&lt;&gt;""),$J75=SUBSTITUTE(DEPP,"#",""))</formula>
    </cfRule>
    <cfRule type="expression" dxfId="316" priority="821" stopIfTrue="1">
      <formula>AND($B75&lt;&gt;"",OR($AL75="¤¤",$P75&lt;&gt;""))</formula>
    </cfRule>
    <cfRule type="expression" dxfId="315" priority="822" stopIfTrue="1">
      <formula>AND($AK75="&amp;&amp;&amp;",$C75&lt;&gt;"")</formula>
    </cfRule>
    <cfRule type="expression" dxfId="314" priority="823" stopIfTrue="1">
      <formula>AND($B75&lt;&gt;"",DATE.RDV.TV&lt;&gt;"SAMEDI")</formula>
    </cfRule>
    <cfRule type="expression" dxfId="313" priority="824" stopIfTrue="1">
      <formula>$B75&lt;&gt;""</formula>
    </cfRule>
    <cfRule type="expression" dxfId="312" priority="825" stopIfTrue="1">
      <formula>AND(DATE.RDV.TV="SAMEDI",$C75&lt;&gt;"")</formula>
    </cfRule>
  </conditionalFormatting>
  <conditionalFormatting sqref="AE76 U76:AC76 B76:D76 G76:S76">
    <cfRule type="expression" dxfId="311" priority="843" stopIfTrue="1">
      <formula>AND($B76&lt;&gt;"",$C76=$E$33)</formula>
    </cfRule>
    <cfRule type="expression" dxfId="310" priority="844" stopIfTrue="1">
      <formula>OR(AND($B76&lt;&gt;"",DATE.FICHIER.A.OUVRIR&lt;0,$AL76&lt;&gt;""),$J76=SUBSTITUTE(DEPP,"#",""))</formula>
    </cfRule>
    <cfRule type="expression" dxfId="309" priority="845" stopIfTrue="1">
      <formula>AND($AK76="&amp;&amp;&amp;",$C76&lt;&gt;"")</formula>
    </cfRule>
    <cfRule type="expression" dxfId="308" priority="846" stopIfTrue="1">
      <formula>AND($B76&lt;&gt;"",OR($AL76="¤¤",$P76&lt;&gt;""))</formula>
    </cfRule>
    <cfRule type="expression" dxfId="307" priority="847" stopIfTrue="1">
      <formula>AND($B76&lt;&gt;"",DATE.RDV.TV&lt;&gt;"SAMEDI")</formula>
    </cfRule>
    <cfRule type="expression" dxfId="306" priority="848" stopIfTrue="1">
      <formula>AND(DATE.RDV.TV="SAMEDI",$C76&lt;&gt;"")</formula>
    </cfRule>
    <cfRule type="expression" dxfId="305" priority="849" stopIfTrue="1">
      <formula>AND($D76="0:01",$C76="")</formula>
    </cfRule>
    <cfRule type="expression" dxfId="304" priority="850" stopIfTrue="1">
      <formula>AND($D76="0:01",$C76="")</formula>
    </cfRule>
  </conditionalFormatting>
  <conditionalFormatting sqref="AE77 U77:AC77 B77:D77 G77:S77">
    <cfRule type="expression" dxfId="303" priority="836" stopIfTrue="1">
      <formula>AND($B77&lt;&gt;"",$C77=$E$33)</formula>
    </cfRule>
    <cfRule type="expression" dxfId="302" priority="837" stopIfTrue="1">
      <formula>OR(AND($B77&lt;&gt;"",DATE.FICHIER.A.OUVRIR&lt;0,$AL77&lt;&gt;""),$J77=SUBSTITUTE(DEPP,"#",""))</formula>
    </cfRule>
    <cfRule type="expression" dxfId="301" priority="838" stopIfTrue="1">
      <formula>AND($B77&lt;&gt;"",OR($AL77="¤¤",$P77&lt;&gt;""))</formula>
    </cfRule>
    <cfRule type="expression" dxfId="300" priority="839" stopIfTrue="1">
      <formula>AND($AK77="&amp;&amp;&amp;",$C77&lt;&gt;"")</formula>
    </cfRule>
    <cfRule type="expression" dxfId="299" priority="840" stopIfTrue="1">
      <formula>AND($B77&lt;&gt;"",DATE.RDV.TV&lt;&gt;"SAMEDI")</formula>
    </cfRule>
    <cfRule type="expression" dxfId="298" priority="841" stopIfTrue="1">
      <formula>$B77&lt;&gt;""</formula>
    </cfRule>
    <cfRule type="expression" dxfId="297" priority="842" stopIfTrue="1">
      <formula>AND(DATE.RDV.TV="SAMEDI",$C77&lt;&gt;"")</formula>
    </cfRule>
  </conditionalFormatting>
  <conditionalFormatting sqref="AE78 U78:AC78 B78:D78 G78:S78">
    <cfRule type="expression" dxfId="296" priority="830" stopIfTrue="1">
      <formula>AND($B78&lt;&gt;"",$C78=$E$33)</formula>
    </cfRule>
    <cfRule type="expression" dxfId="295" priority="831" stopIfTrue="1">
      <formula>OR(AND($B78&lt;&gt;"",DATE.FICHIER.A.OUVRIR&lt;0,$AL78&lt;&gt;""),$J78=SUBSTITUTE(DEPP,"#",""))</formula>
    </cfRule>
    <cfRule type="expression" dxfId="294" priority="832" stopIfTrue="1">
      <formula>AND($AK78="&amp;&amp;&amp;",$C78&lt;&gt;"")</formula>
    </cfRule>
    <cfRule type="expression" dxfId="293" priority="833" stopIfTrue="1">
      <formula>AND($B78&lt;&gt;"",OR($AL78="¤¤",$P78&lt;&gt;""))</formula>
    </cfRule>
    <cfRule type="expression" dxfId="292" priority="834" stopIfTrue="1">
      <formula>AND($B78&lt;&gt;"",DATE.RDV.TV&lt;&gt;"SAMEDI")</formula>
    </cfRule>
    <cfRule type="expression" dxfId="291" priority="835" stopIfTrue="1">
      <formula>AND(DATE.RDV.TV="SAMEDI",$C78&lt;&gt;"")</formula>
    </cfRule>
  </conditionalFormatting>
  <conditionalFormatting sqref="AE79 U79:AC79 B79:D79 G79:S79">
    <cfRule type="expression" dxfId="290" priority="787" stopIfTrue="1">
      <formula>OR(AND($B79&lt;&gt;"",DATE.FICHIER.A.OUVRIR&lt;0,$AL79&lt;&gt;""),$J79=SUBSTITUTE(DEPP,"#",""))</formula>
    </cfRule>
    <cfRule type="expression" dxfId="289" priority="788" stopIfTrue="1">
      <formula>AND($B79&lt;&gt;"",OR($AL79="¤¤",$P79&lt;&gt;""))</formula>
    </cfRule>
    <cfRule type="expression" dxfId="288" priority="789" stopIfTrue="1">
      <formula>AND($AK79="&amp;&amp;&amp;",$C79&lt;&gt;"")</formula>
    </cfRule>
    <cfRule type="expression" dxfId="287" priority="790" stopIfTrue="1">
      <formula>AND($B79&lt;&gt;"",DATE.RDV.TV&lt;&gt;"DIMANCHE")</formula>
    </cfRule>
    <cfRule type="expression" dxfId="286" priority="791" stopIfTrue="1">
      <formula>$B79&lt;&gt;""</formula>
    </cfRule>
    <cfRule type="expression" dxfId="285" priority="792" stopIfTrue="1">
      <formula>AND(DATE.RDV.TV="DIMANCHE",$C79&lt;&gt;"")</formula>
    </cfRule>
  </conditionalFormatting>
  <conditionalFormatting sqref="AE80 U80:AC80 B80:D80 G80:S80">
    <cfRule type="expression" dxfId="284" priority="810" stopIfTrue="1">
      <formula>AND($B80&lt;&gt;"",$C80=$E$33)</formula>
    </cfRule>
    <cfRule type="expression" dxfId="283" priority="811" stopIfTrue="1">
      <formula>OR(AND($B80&lt;&gt;"",DATE.FICHIER.A.OUVRIR&lt;0,$AL80&lt;&gt;""),$J80=SUBSTITUTE(DEPP,"#",""))</formula>
    </cfRule>
    <cfRule type="expression" dxfId="282" priority="812" stopIfTrue="1">
      <formula>AND($AK80="&amp;&amp;&amp;",$C80&lt;&gt;"")</formula>
    </cfRule>
    <cfRule type="expression" dxfId="281" priority="813" stopIfTrue="1">
      <formula>AND($B80&lt;&gt;"",OR($AL80="¤¤",$P80&lt;&gt;""))</formula>
    </cfRule>
    <cfRule type="expression" dxfId="280" priority="814" stopIfTrue="1">
      <formula>AND($B80&lt;&gt;"",DATE.RDV.TV&lt;&gt;"DIMANCHE")</formula>
    </cfRule>
    <cfRule type="expression" dxfId="279" priority="815" stopIfTrue="1">
      <formula>AND(DATE.RDV.TV="DIMANCHE",$C80&lt;&gt;"")</formula>
    </cfRule>
    <cfRule type="expression" dxfId="278" priority="816" stopIfTrue="1">
      <formula>AND($D80="0:01",$C80="")</formula>
    </cfRule>
    <cfRule type="expression" dxfId="277" priority="817" stopIfTrue="1">
      <formula>AND($D80="0:01",$C80="")</formula>
    </cfRule>
  </conditionalFormatting>
  <conditionalFormatting sqref="AE81 U81:AC81 B81:D81 G81:S81">
    <cfRule type="expression" dxfId="276" priority="803" stopIfTrue="1">
      <formula>AND($B81&lt;&gt;"",$C81=$E$33)</formula>
    </cfRule>
    <cfRule type="expression" dxfId="275" priority="804" stopIfTrue="1">
      <formula>OR(AND($B81&lt;&gt;"",DATE.FICHIER.A.OUVRIR&lt;0,$AL81&lt;&gt;""),$J81=SUBSTITUTE(DEPP,"#",""))</formula>
    </cfRule>
    <cfRule type="expression" dxfId="274" priority="805" stopIfTrue="1">
      <formula>AND($B81&lt;&gt;"",OR($AL81="¤¤",$P81&lt;&gt;""))</formula>
    </cfRule>
    <cfRule type="expression" dxfId="273" priority="806" stopIfTrue="1">
      <formula>AND($AK81="&amp;&amp;&amp;",$C81&lt;&gt;"")</formula>
    </cfRule>
    <cfRule type="expression" dxfId="272" priority="807" stopIfTrue="1">
      <formula>AND($B81&lt;&gt;"",DATE.RDV.TV&lt;&gt;"DIMANCHE")</formula>
    </cfRule>
    <cfRule type="expression" dxfId="271" priority="808" stopIfTrue="1">
      <formula>$B81&lt;&gt;""</formula>
    </cfRule>
    <cfRule type="expression" dxfId="270" priority="809" stopIfTrue="1">
      <formula>AND(DATE.RDV.TV="DIMANCHE",$C81&lt;&gt;"")</formula>
    </cfRule>
  </conditionalFormatting>
  <conditionalFormatting sqref="AE82 U82:AC82 B82:D82 G82:S82">
    <cfRule type="expression" dxfId="269" priority="797" stopIfTrue="1">
      <formula>AND($B82&lt;&gt;"",$C82=$E$33)</formula>
    </cfRule>
    <cfRule type="expression" dxfId="268" priority="798" stopIfTrue="1">
      <formula>OR(AND($B82&lt;&gt;"",DATE.FICHIER.A.OUVRIR&lt;0,$AL82&lt;&gt;""),$J82=SUBSTITUTE(DEPP,"#",""))</formula>
    </cfRule>
    <cfRule type="expression" dxfId="267" priority="799" stopIfTrue="1">
      <formula>AND($AK82="&amp;&amp;&amp;",$C82&lt;&gt;"")</formula>
    </cfRule>
    <cfRule type="expression" dxfId="266" priority="800" stopIfTrue="1">
      <formula>AND($B82&lt;&gt;"",OR($AL82="¤¤",$P82&lt;&gt;""))</formula>
    </cfRule>
    <cfRule type="expression" dxfId="265" priority="801" stopIfTrue="1">
      <formula>AND($B82&lt;&gt;"",DATE.RDV.TV&lt;&gt;"DIMANCHE")</formula>
    </cfRule>
    <cfRule type="expression" dxfId="264" priority="802" stopIfTrue="1">
      <formula>AND(DATE.RDV.TV="DIMANCHE",$C82&lt;&gt;"")</formula>
    </cfRule>
  </conditionalFormatting>
  <conditionalFormatting sqref="B54 I54 P54 AA54">
    <cfRule type="expression" dxfId="263" priority="427" stopIfTrue="1">
      <formula>OR(QSD&lt;&gt;FALSE,A.VERIFIER&lt;&gt;"",$E$14=TRUE)</formula>
    </cfRule>
  </conditionalFormatting>
  <conditionalFormatting sqref="B176:E176">
    <cfRule type="expression" dxfId="262" priority="369">
      <formula>QQ&lt;&gt;""</formula>
    </cfRule>
  </conditionalFormatting>
  <conditionalFormatting sqref="AN14:AY15 AY2:AY4 AN16:AX16">
    <cfRule type="expression" dxfId="261" priority="350" stopIfTrue="1">
      <formula>ENVIE.DEP&lt;&gt;""</formula>
    </cfRule>
  </conditionalFormatting>
  <conditionalFormatting sqref="AN5:AY5">
    <cfRule type="expression" dxfId="260" priority="1773" stopIfTrue="1">
      <formula>OR(DIF.L1="#DEPASSE#",DANS.L1.VERIFIER="#DEPASSE#")</formula>
    </cfRule>
    <cfRule type="expression" dxfId="259" priority="1782" stopIfTrue="1">
      <formula>AND(DANS.L1.VERIFIER&lt;&gt;"",DANS.L1.VERIFIER&lt;&gt;"#DEPASSE#")</formula>
    </cfRule>
  </conditionalFormatting>
  <conditionalFormatting sqref="AY6">
    <cfRule type="expression" dxfId="258" priority="1771" stopIfTrue="1">
      <formula>AND(DANS.CHAMPIONS.LEAGUE.VERIFIER&lt;&gt;"",DANS.CHAMPIONS.LEAGUE.VERIFIER&lt;&gt;"#DEPASSE#")</formula>
    </cfRule>
    <cfRule type="expression" dxfId="257" priority="1772" stopIfTrue="1">
      <formula>DANS.CHAMPIONS.LEAGUE.VERIFIER="#DEPASSE#"</formula>
    </cfRule>
  </conditionalFormatting>
  <conditionalFormatting sqref="AY7">
    <cfRule type="expression" dxfId="256" priority="1769" stopIfTrue="1">
      <formula>AND(DANS.GP.VERIFIER&lt;&gt;"",DANS.GP.VERIFIER&lt;&gt;"#DEPASSE#")</formula>
    </cfRule>
    <cfRule type="expression" dxfId="255" priority="1770" stopIfTrue="1">
      <formula>DANS.GP.VERIFIER="#DEPASSE#"</formula>
    </cfRule>
  </conditionalFormatting>
  <conditionalFormatting sqref="AY8">
    <cfRule type="expression" dxfId="254" priority="1767" stopIfTrue="1">
      <formula>AND(DANS.COUPE.LIGUE.VERIFIER&lt;&gt;"",DANS.COUPE.LIGUE.VERIFIER&lt;&gt;"#DEPASSE#")</formula>
    </cfRule>
    <cfRule type="expression" dxfId="253" priority="1768" stopIfTrue="1">
      <formula>DANS.COUPE.LIGUE.VERIFIER="#DEPASSE#"</formula>
    </cfRule>
  </conditionalFormatting>
  <conditionalFormatting sqref="AY10">
    <cfRule type="expression" dxfId="252" priority="1763" stopIfTrue="1">
      <formula>AND(DANS.UEFA.VERIFIER&lt;&gt;"",DANS.UEFA.VERIFIER&lt;&gt;"#DEPASSE#")</formula>
    </cfRule>
    <cfRule type="expression" dxfId="251" priority="1764" stopIfTrue="1">
      <formula>DANS.UEFA.VERIFIER="#DEPASSE#"</formula>
    </cfRule>
  </conditionalFormatting>
  <conditionalFormatting sqref="AY12">
    <cfRule type="expression" dxfId="250" priority="1759" stopIfTrue="1">
      <formula>AND(DANS.EURO.VERIFIER&lt;&gt;"",DANS.EURO.VERIFIER&lt;&gt;"#DEPASSE#")</formula>
    </cfRule>
    <cfRule type="expression" dxfId="249" priority="1760" stopIfTrue="1">
      <formula>DANS.EURO.VERIFIER="#DEPASSE#"</formula>
    </cfRule>
  </conditionalFormatting>
  <conditionalFormatting sqref="AY13">
    <cfRule type="expression" dxfId="248" priority="346" stopIfTrue="1">
      <formula>DANS.CONFEDERATIONS.VERIFIER="#DEPASSE#"</formula>
    </cfRule>
  </conditionalFormatting>
  <conditionalFormatting sqref="AY12:AY13">
    <cfRule type="expression" dxfId="247" priority="345" stopIfTrue="1">
      <formula>AND(DANS.CONFEDERATIONS.VERIFIER&lt;&gt;"",confederations.VERIFIER&lt;&gt;"#DEPASSE#")</formula>
    </cfRule>
  </conditionalFormatting>
  <conditionalFormatting sqref="AN6:AX6">
    <cfRule type="expression" dxfId="246" priority="241" stopIfTrue="1">
      <formula>OR(DIF.LDC="#DEPASSE#",DANS.LDC.VERIFIER="#DEPASSE#")</formula>
    </cfRule>
    <cfRule type="expression" dxfId="245" priority="242" stopIfTrue="1">
      <formula>AND(DANS.LDC.VERIFIER&lt;&gt;"",DANS.LDC.VERIFIER&lt;&gt;"#DEPASSE#")</formula>
    </cfRule>
  </conditionalFormatting>
  <conditionalFormatting sqref="AN7:AX7">
    <cfRule type="expression" dxfId="244" priority="239" stopIfTrue="1">
      <formula>OR(DIF.GP="#DEPASSE#",DANS.GP.VERIFIER="#DEPASSE#")</formula>
    </cfRule>
    <cfRule type="expression" dxfId="243" priority="240" stopIfTrue="1">
      <formula>AND(DANS.GP.VERIFIER&lt;&gt;"",DANS.GP.VERIFIER&lt;&gt;"#DEPASSE#")</formula>
    </cfRule>
  </conditionalFormatting>
  <conditionalFormatting sqref="AN10:AX10">
    <cfRule type="expression" dxfId="242" priority="233" stopIfTrue="1">
      <formula>OR(DIF.UEFA="#DEPASSE#",DANS.UEFA.VERIFIER="#DEPASSE#")</formula>
    </cfRule>
    <cfRule type="expression" dxfId="241" priority="234" stopIfTrue="1">
      <formula>AND(DANS.UEFA.VERIFIER&lt;&gt;"",DANS.UEFA.VERIFIER&lt;&gt;"#DEPASSE#")</formula>
    </cfRule>
  </conditionalFormatting>
  <conditionalFormatting sqref="AN11:AX11">
    <cfRule type="expression" dxfId="240" priority="231" stopIfTrue="1">
      <formula>OR(DIF.MONDIAL="#DEPASSE#",DANS.MONDIAL.VERIFIER="#DEPASSE#")</formula>
    </cfRule>
    <cfRule type="expression" dxfId="239" priority="232" stopIfTrue="1">
      <formula>AND(DANS.MONDIAL.VERIFIER&lt;&gt;"",DANS.MONDIAL.VERIFIER&lt;&gt;"#DEPASSE#")</formula>
    </cfRule>
  </conditionalFormatting>
  <conditionalFormatting sqref="AN12:AX12">
    <cfRule type="expression" dxfId="238" priority="229" stopIfTrue="1">
      <formula>OR(DIF.EURO="#DEPASSE#",DANS.EURO.VERIFIER="#DEPASSE#")</formula>
    </cfRule>
    <cfRule type="expression" dxfId="237" priority="230" stopIfTrue="1">
      <formula>AND(DANS.EURO.VERIFIER&lt;&gt;"",DANS.EURO.VERIFIER&lt;&gt;"#DEPASSE#")</formula>
    </cfRule>
  </conditionalFormatting>
  <conditionalFormatting sqref="AN13:AX13">
    <cfRule type="expression" dxfId="236" priority="227" stopIfTrue="1">
      <formula>OR(DIF.CONFEDERATIONS="#DEPASSE#",DANS.CONFEDERATIONS.VERIFIER="#DEPASSE#")</formula>
    </cfRule>
    <cfRule type="expression" dxfId="235" priority="228" stopIfTrue="1">
      <formula>AND(DANS.CONFEDERATIONS.VERIFIER&lt;&gt;"",DANS.CONFEDERATIONS.VERIFIER&lt;&gt;"#DEPASSE#")</formula>
    </cfRule>
  </conditionalFormatting>
  <conditionalFormatting sqref="AN8:AX8">
    <cfRule type="expression" dxfId="234" priority="218" stopIfTrue="1">
      <formula>OR(DIF.LIGUE="#DEPASSE#",DANS.COUPE.LIGUE="#DEPASSE#")</formula>
    </cfRule>
    <cfRule type="expression" dxfId="233" priority="219" stopIfTrue="1">
      <formula>AND(DANS.LIGUE.VERIFIER&lt;&gt;"",DANS.LIGUE.VERIFIER&lt;&gt;"#DEPASSE#")</formula>
    </cfRule>
  </conditionalFormatting>
  <conditionalFormatting sqref="AN9:AX9">
    <cfRule type="expression" dxfId="232" priority="214" stopIfTrue="1">
      <formula>OR(DIF.FRANCE="#DEPASSE#",DANS.COUPE.FRANCE="#DEPASSE#")</formula>
    </cfRule>
    <cfRule type="expression" dxfId="231" priority="215" stopIfTrue="1">
      <formula>AND(DANS.FRANCE.VERIFIER&lt;&gt;"",DANS.FRANCE.VERIFIER&lt;&gt;"#DEPASSE#")</formula>
    </cfRule>
  </conditionalFormatting>
  <conditionalFormatting sqref="K3">
    <cfRule type="expression" dxfId="230" priority="213" stopIfTrue="1">
      <formula>$K$3&lt;&gt;"LUNDI"</formula>
    </cfRule>
  </conditionalFormatting>
  <conditionalFormatting sqref="E53">
    <cfRule type="expression" dxfId="229" priority="210" stopIfTrue="1">
      <formula>$C53&lt;&gt;""</formula>
    </cfRule>
    <cfRule type="expression" dxfId="228" priority="211" stopIfTrue="1">
      <formula>OR($E53&lt;&gt;"",$C53&lt;&gt;"",$D53&lt;&gt;"")</formula>
    </cfRule>
  </conditionalFormatting>
  <conditionalFormatting sqref="I134:O134 B134 F134:G134">
    <cfRule type="expression" dxfId="227" priority="194" stopIfTrue="1">
      <formula>$I134="#PAS DE 2° ENVIE#"</formula>
    </cfRule>
    <cfRule type="expression" dxfId="226" priority="195" stopIfTrue="1">
      <formula>OR($S35="#DEPASSE#",$F134="#DEPASSE#",$F134="DEPASSE")</formula>
    </cfRule>
    <cfRule type="expression" dxfId="225" priority="196" stopIfTrue="1">
      <formula>$O134=0</formula>
    </cfRule>
    <cfRule type="expression" dxfId="224" priority="197" stopIfTrue="1">
      <formula>$G134="CHAMPIONNAT"</formula>
    </cfRule>
    <cfRule type="expression" dxfId="223" priority="198" stopIfTrue="1">
      <formula>$G134="CHAMPION'S LEAGUE"</formula>
    </cfRule>
    <cfRule type="expression" dxfId="222" priority="199" stopIfTrue="1">
      <formula>$G134="UEFA"</formula>
    </cfRule>
    <cfRule type="expression" dxfId="221" priority="200" stopIfTrue="1">
      <formula>$G134="COUPE DE FRANCE"</formula>
    </cfRule>
    <cfRule type="expression" dxfId="220" priority="201" stopIfTrue="1">
      <formula>$G134="COUPE DE LA LIGUE"</formula>
    </cfRule>
    <cfRule type="expression" dxfId="219" priority="202" stopIfTrue="1">
      <formula>$G134="FORMULE 1"</formula>
    </cfRule>
    <cfRule type="expression" dxfId="218" priority="203" stopIfTrue="1">
      <formula>$G134="MONDIAL"</formula>
    </cfRule>
    <cfRule type="expression" dxfId="217" priority="204" stopIfTrue="1">
      <formula>$G134="EURO"</formula>
    </cfRule>
    <cfRule type="expression" dxfId="216" priority="205" stopIfTrue="1">
      <formula>$G134="CONFEDERATIONS"</formula>
    </cfRule>
    <cfRule type="expression" dxfId="215" priority="206" stopIfTrue="1">
      <formula>$G134="ENVIE"</formula>
    </cfRule>
    <cfRule type="expression" dxfId="214" priority="207" stopIfTrue="1">
      <formula>$G134="ENVIE FIN"</formula>
    </cfRule>
  </conditionalFormatting>
  <conditionalFormatting sqref="I135:O135 B135 F135:G135">
    <cfRule type="expression" dxfId="213" priority="181" stopIfTrue="1">
      <formula>OR($F135="DEPASSE",$F135="#DEPASSE#")</formula>
    </cfRule>
    <cfRule type="expression" dxfId="212" priority="182" stopIfTrue="1">
      <formula>$O135=0</formula>
    </cfRule>
    <cfRule type="expression" dxfId="211" priority="183" stopIfTrue="1">
      <formula>$G135="CHAMPIONNAT"</formula>
    </cfRule>
    <cfRule type="expression" dxfId="210" priority="184" stopIfTrue="1">
      <formula>$G135="CHAMPION'S LEAGUE"</formula>
    </cfRule>
    <cfRule type="expression" dxfId="209" priority="185" stopIfTrue="1">
      <formula>$G135="UEFA"</formula>
    </cfRule>
    <cfRule type="expression" dxfId="208" priority="186" stopIfTrue="1">
      <formula>$G135="COUPE DE FRANCE"</formula>
    </cfRule>
    <cfRule type="expression" dxfId="207" priority="187" stopIfTrue="1">
      <formula>$G135="COUPE DE LA LIGUE"</formula>
    </cfRule>
    <cfRule type="expression" dxfId="206" priority="188" stopIfTrue="1">
      <formula>$G135="FORMULE 1"</formula>
    </cfRule>
    <cfRule type="expression" dxfId="205" priority="189" stopIfTrue="1">
      <formula>$G135="MONDIAL"</formula>
    </cfRule>
    <cfRule type="expression" dxfId="204" priority="190" stopIfTrue="1">
      <formula>$G135="EURO"</formula>
    </cfRule>
    <cfRule type="expression" dxfId="203" priority="191" stopIfTrue="1">
      <formula>$G135="CONFEDERATIONS"</formula>
    </cfRule>
    <cfRule type="expression" dxfId="202" priority="192" stopIfTrue="1">
      <formula>$G135="ENVIE"</formula>
    </cfRule>
    <cfRule type="expression" dxfId="201" priority="193" stopIfTrue="1">
      <formula>$G135="ENVIE FIN"</formula>
    </cfRule>
  </conditionalFormatting>
  <conditionalFormatting sqref="I136:O136 B136 F136:G136">
    <cfRule type="expression" dxfId="200" priority="167" stopIfTrue="1">
      <formula>$I136="#PAS DE 2° ENVIE#"</formula>
    </cfRule>
    <cfRule type="expression" dxfId="199" priority="168" stopIfTrue="1">
      <formula>OR($S37="#DEPASSE#",$F136="#DEPASSE#",$F136="DEPASSE")</formula>
    </cfRule>
    <cfRule type="expression" dxfId="198" priority="169" stopIfTrue="1">
      <formula>$O136=0</formula>
    </cfRule>
    <cfRule type="expression" dxfId="197" priority="170" stopIfTrue="1">
      <formula>$G136="CHAMPIONNAT"</formula>
    </cfRule>
    <cfRule type="expression" dxfId="196" priority="171" stopIfTrue="1">
      <formula>$G136="CHAMPION'S LEAGUE"</formula>
    </cfRule>
    <cfRule type="expression" dxfId="195" priority="172" stopIfTrue="1">
      <formula>$G136="UEFA"</formula>
    </cfRule>
    <cfRule type="expression" dxfId="194" priority="173" stopIfTrue="1">
      <formula>$G136="COUPE DE FRANCE"</formula>
    </cfRule>
    <cfRule type="expression" dxfId="193" priority="174" stopIfTrue="1">
      <formula>$G136="COUPE DE LA LIGUE"</formula>
    </cfRule>
    <cfRule type="expression" dxfId="192" priority="175" stopIfTrue="1">
      <formula>$G136="FORMULE 1"</formula>
    </cfRule>
    <cfRule type="expression" dxfId="191" priority="176" stopIfTrue="1">
      <formula>$G136="MONDIAL"</formula>
    </cfRule>
    <cfRule type="expression" dxfId="190" priority="177" stopIfTrue="1">
      <formula>$G136="EURO"</formula>
    </cfRule>
    <cfRule type="expression" dxfId="189" priority="178" stopIfTrue="1">
      <formula>$G136="CONFEDERATIONS"</formula>
    </cfRule>
    <cfRule type="expression" dxfId="188" priority="179" stopIfTrue="1">
      <formula>$G136="ENVIE"</formula>
    </cfRule>
    <cfRule type="expression" dxfId="187" priority="180" stopIfTrue="1">
      <formula>$G136="ENVIE FIN"</formula>
    </cfRule>
  </conditionalFormatting>
  <conditionalFormatting sqref="I137:O137 B137 F137:G137">
    <cfRule type="expression" dxfId="186" priority="154" stopIfTrue="1">
      <formula>OR($F137="DEPASSE",$F137="#DEPASSE#")</formula>
    </cfRule>
    <cfRule type="expression" dxfId="185" priority="155" stopIfTrue="1">
      <formula>$O137=0</formula>
    </cfRule>
    <cfRule type="expression" dxfId="184" priority="156" stopIfTrue="1">
      <formula>$G137="CHAMPIONNAT"</formula>
    </cfRule>
    <cfRule type="expression" dxfId="183" priority="157" stopIfTrue="1">
      <formula>$G137="CHAMPION'S LEAGUE"</formula>
    </cfRule>
    <cfRule type="expression" dxfId="182" priority="158" stopIfTrue="1">
      <formula>$G137="UEFA"</formula>
    </cfRule>
    <cfRule type="expression" dxfId="181" priority="159" stopIfTrue="1">
      <formula>$G137="COUPE DE FRANCE"</formula>
    </cfRule>
    <cfRule type="expression" dxfId="180" priority="160" stopIfTrue="1">
      <formula>$G137="COUPE DE LA LIGUE"</formula>
    </cfRule>
    <cfRule type="expression" dxfId="179" priority="161" stopIfTrue="1">
      <formula>$G137="FORMULE 1"</formula>
    </cfRule>
    <cfRule type="expression" dxfId="178" priority="162" stopIfTrue="1">
      <formula>$G137="MONDIAL"</formula>
    </cfRule>
    <cfRule type="expression" dxfId="177" priority="163" stopIfTrue="1">
      <formula>$G137="EURO"</formula>
    </cfRule>
    <cfRule type="expression" dxfId="176" priority="164" stopIfTrue="1">
      <formula>$G137="CONFEDERATIONS"</formula>
    </cfRule>
    <cfRule type="expression" dxfId="175" priority="165" stopIfTrue="1">
      <formula>$G137="ENVIE"</formula>
    </cfRule>
    <cfRule type="expression" dxfId="174" priority="166" stopIfTrue="1">
      <formula>$G137="ENVIE FIN"</formula>
    </cfRule>
  </conditionalFormatting>
  <conditionalFormatting sqref="I138:O138 B138 F138:G138">
    <cfRule type="expression" dxfId="173" priority="140" stopIfTrue="1">
      <formula>$I138="#PAS DE 2° ENVIE#"</formula>
    </cfRule>
    <cfRule type="expression" dxfId="172" priority="141" stopIfTrue="1">
      <formula>OR($S39="#DEPASSE#",$F138="#DEPASSE#",$F138="DEPASSE")</formula>
    </cfRule>
    <cfRule type="expression" dxfId="171" priority="142" stopIfTrue="1">
      <formula>$O138=0</formula>
    </cfRule>
    <cfRule type="expression" dxfId="170" priority="143" stopIfTrue="1">
      <formula>$G138="CHAMPIONNAT"</formula>
    </cfRule>
    <cfRule type="expression" dxfId="169" priority="144" stopIfTrue="1">
      <formula>$G138="CHAMPION'S LEAGUE"</formula>
    </cfRule>
    <cfRule type="expression" dxfId="168" priority="145" stopIfTrue="1">
      <formula>$G138="UEFA"</formula>
    </cfRule>
    <cfRule type="expression" dxfId="167" priority="146" stopIfTrue="1">
      <formula>$G138="COUPE DE FRANCE"</formula>
    </cfRule>
    <cfRule type="expression" dxfId="166" priority="147" stopIfTrue="1">
      <formula>$G138="COUPE DE LA LIGUE"</formula>
    </cfRule>
    <cfRule type="expression" dxfId="165" priority="148" stopIfTrue="1">
      <formula>$G138="FORMULE 1"</formula>
    </cfRule>
    <cfRule type="expression" dxfId="164" priority="149" stopIfTrue="1">
      <formula>$G138="MONDIAL"</formula>
    </cfRule>
    <cfRule type="expression" dxfId="163" priority="150" stopIfTrue="1">
      <formula>$G138="EURO"</formula>
    </cfRule>
    <cfRule type="expression" dxfId="162" priority="151" stopIfTrue="1">
      <formula>$G138="CONFEDERATIONS"</formula>
    </cfRule>
    <cfRule type="expression" dxfId="161" priority="152" stopIfTrue="1">
      <formula>$G138="ENVIE"</formula>
    </cfRule>
    <cfRule type="expression" dxfId="160" priority="153" stopIfTrue="1">
      <formula>$G138="ENVIE FIN"</formula>
    </cfRule>
  </conditionalFormatting>
  <conditionalFormatting sqref="I139:O139 B139 F139:G139">
    <cfRule type="expression" dxfId="159" priority="127" stopIfTrue="1">
      <formula>OR($F139="DEPASSE",$F139="#DEPASSE#")</formula>
    </cfRule>
    <cfRule type="expression" dxfId="158" priority="128" stopIfTrue="1">
      <formula>$O139=0</formula>
    </cfRule>
    <cfRule type="expression" dxfId="157" priority="129" stopIfTrue="1">
      <formula>$G139="CHAMPIONNAT"</formula>
    </cfRule>
    <cfRule type="expression" dxfId="156" priority="130" stopIfTrue="1">
      <formula>$G139="CHAMPION'S LEAGUE"</formula>
    </cfRule>
    <cfRule type="expression" dxfId="155" priority="131" stopIfTrue="1">
      <formula>$G139="UEFA"</formula>
    </cfRule>
    <cfRule type="expression" dxfId="154" priority="132" stopIfTrue="1">
      <formula>$G139="COUPE DE FRANCE"</formula>
    </cfRule>
    <cfRule type="expression" dxfId="153" priority="133" stopIfTrue="1">
      <formula>$G139="COUPE DE LA LIGUE"</formula>
    </cfRule>
    <cfRule type="expression" dxfId="152" priority="134" stopIfTrue="1">
      <formula>$G139="FORMULE 1"</formula>
    </cfRule>
    <cfRule type="expression" dxfId="151" priority="135" stopIfTrue="1">
      <formula>$G139="MONDIAL"</formula>
    </cfRule>
    <cfRule type="expression" dxfId="150" priority="136" stopIfTrue="1">
      <formula>$G139="EURO"</formula>
    </cfRule>
    <cfRule type="expression" dxfId="149" priority="137" stopIfTrue="1">
      <formula>$G139="CONFEDERATIONS"</formula>
    </cfRule>
    <cfRule type="expression" dxfId="148" priority="138" stopIfTrue="1">
      <formula>$G139="ENVIE"</formula>
    </cfRule>
    <cfRule type="expression" dxfId="147" priority="139" stopIfTrue="1">
      <formula>$G139="ENVIE FIN"</formula>
    </cfRule>
  </conditionalFormatting>
  <conditionalFormatting sqref="I140:O140 B140 F140:G140">
    <cfRule type="expression" dxfId="146" priority="113" stopIfTrue="1">
      <formula>$I140="#PAS DE 2° ENVIE#"</formula>
    </cfRule>
    <cfRule type="expression" dxfId="145" priority="114" stopIfTrue="1">
      <formula>OR($S41="#DEPASSE#",$F140="#DEPASSE#",$F140="DEPASSE")</formula>
    </cfRule>
    <cfRule type="expression" dxfId="144" priority="115" stopIfTrue="1">
      <formula>$O140=0</formula>
    </cfRule>
    <cfRule type="expression" dxfId="143" priority="116" stopIfTrue="1">
      <formula>$G140="CHAMPIONNAT"</formula>
    </cfRule>
    <cfRule type="expression" dxfId="142" priority="117" stopIfTrue="1">
      <formula>$G140="CHAMPION'S LEAGUE"</formula>
    </cfRule>
    <cfRule type="expression" dxfId="141" priority="118" stopIfTrue="1">
      <formula>$G140="UEFA"</formula>
    </cfRule>
    <cfRule type="expression" dxfId="140" priority="119" stopIfTrue="1">
      <formula>$G140="COUPE DE FRANCE"</formula>
    </cfRule>
    <cfRule type="expression" dxfId="139" priority="120" stopIfTrue="1">
      <formula>$G140="COUPE DE LA LIGUE"</formula>
    </cfRule>
    <cfRule type="expression" dxfId="138" priority="121" stopIfTrue="1">
      <formula>$G140="FORMULE 1"</formula>
    </cfRule>
    <cfRule type="expression" dxfId="137" priority="122" stopIfTrue="1">
      <formula>$G140="MONDIAL"</formula>
    </cfRule>
    <cfRule type="expression" dxfId="136" priority="123" stopIfTrue="1">
      <formula>$G140="EURO"</formula>
    </cfRule>
    <cfRule type="expression" dxfId="135" priority="124" stopIfTrue="1">
      <formula>$G140="CONFEDERATIONS"</formula>
    </cfRule>
    <cfRule type="expression" dxfId="134" priority="125" stopIfTrue="1">
      <formula>$G140="ENVIE"</formula>
    </cfRule>
    <cfRule type="expression" dxfId="133" priority="126" stopIfTrue="1">
      <formula>$G140="ENVIE FIN"</formula>
    </cfRule>
  </conditionalFormatting>
  <conditionalFormatting sqref="I141:O141 B141 F141:G141">
    <cfRule type="expression" dxfId="132" priority="100" stopIfTrue="1">
      <formula>OR($F141="DEPASSE",$F141="#DEPASSE#")</formula>
    </cfRule>
    <cfRule type="expression" dxfId="131" priority="101" stopIfTrue="1">
      <formula>$O141=0</formula>
    </cfRule>
    <cfRule type="expression" dxfId="130" priority="102" stopIfTrue="1">
      <formula>$G141="CHAMPIONNAT"</formula>
    </cfRule>
    <cfRule type="expression" dxfId="129" priority="103" stopIfTrue="1">
      <formula>$G141="CHAMPION'S LEAGUE"</formula>
    </cfRule>
    <cfRule type="expression" dxfId="128" priority="104" stopIfTrue="1">
      <formula>$G141="UEFA"</formula>
    </cfRule>
    <cfRule type="expression" dxfId="127" priority="105" stopIfTrue="1">
      <formula>$G141="COUPE DE FRANCE"</formula>
    </cfRule>
    <cfRule type="expression" dxfId="126" priority="106" stopIfTrue="1">
      <formula>$G141="COUPE DE LA LIGUE"</formula>
    </cfRule>
    <cfRule type="expression" dxfId="125" priority="107" stopIfTrue="1">
      <formula>$G141="FORMULE 1"</formula>
    </cfRule>
    <cfRule type="expression" dxfId="124" priority="108" stopIfTrue="1">
      <formula>$G141="MONDIAL"</formula>
    </cfRule>
    <cfRule type="expression" dxfId="123" priority="109" stopIfTrue="1">
      <formula>$G141="EURO"</formula>
    </cfRule>
    <cfRule type="expression" dxfId="122" priority="110" stopIfTrue="1">
      <formula>$G141="CONFEDERATIONS"</formula>
    </cfRule>
    <cfRule type="expression" dxfId="121" priority="111" stopIfTrue="1">
      <formula>$G141="ENVIE"</formula>
    </cfRule>
    <cfRule type="expression" dxfId="120" priority="112" stopIfTrue="1">
      <formula>$G141="ENVIE FIN"</formula>
    </cfRule>
  </conditionalFormatting>
  <conditionalFormatting sqref="I142:O142 B142 F142:G142">
    <cfRule type="expression" dxfId="119" priority="86" stopIfTrue="1">
      <formula>$I142="#PAS DE 2° ENVIE#"</formula>
    </cfRule>
    <cfRule type="expression" dxfId="118" priority="87" stopIfTrue="1">
      <formula>OR($S43="#DEPASSE#",$F142="#DEPASSE#",$F142="DEPASSE")</formula>
    </cfRule>
    <cfRule type="expression" dxfId="117" priority="88" stopIfTrue="1">
      <formula>$O142=0</formula>
    </cfRule>
    <cfRule type="expression" dxfId="116" priority="89" stopIfTrue="1">
      <formula>$G142="CHAMPIONNAT"</formula>
    </cfRule>
    <cfRule type="expression" dxfId="115" priority="90" stopIfTrue="1">
      <formula>$G142="CHAMPION'S LEAGUE"</formula>
    </cfRule>
    <cfRule type="expression" dxfId="114" priority="91" stopIfTrue="1">
      <formula>$G142="UEFA"</formula>
    </cfRule>
    <cfRule type="expression" dxfId="113" priority="92" stopIfTrue="1">
      <formula>$G142="COUPE DE FRANCE"</formula>
    </cfRule>
    <cfRule type="expression" dxfId="112" priority="93" stopIfTrue="1">
      <formula>$G142="COUPE DE LA LIGUE"</formula>
    </cfRule>
    <cfRule type="expression" dxfId="111" priority="94" stopIfTrue="1">
      <formula>$G142="FORMULE 1"</formula>
    </cfRule>
    <cfRule type="expression" dxfId="110" priority="95" stopIfTrue="1">
      <formula>$G142="MONDIAL"</formula>
    </cfRule>
    <cfRule type="expression" dxfId="109" priority="96" stopIfTrue="1">
      <formula>$G142="EURO"</formula>
    </cfRule>
    <cfRule type="expression" dxfId="108" priority="97" stopIfTrue="1">
      <formula>$G142="CONFEDERATIONS"</formula>
    </cfRule>
    <cfRule type="expression" dxfId="107" priority="98" stopIfTrue="1">
      <formula>$G142="ENVIE"</formula>
    </cfRule>
    <cfRule type="expression" dxfId="106" priority="99" stopIfTrue="1">
      <formula>$G142="ENVIE FIN"</formula>
    </cfRule>
  </conditionalFormatting>
  <conditionalFormatting sqref="B208:E208">
    <cfRule type="expression" dxfId="105" priority="81" stopIfTrue="1">
      <formula>OR($C208-A&lt;-1,$E208="#DEPASSE DEPUIS HIER#")</formula>
    </cfRule>
    <cfRule type="expression" dxfId="104" priority="82" stopIfTrue="1">
      <formula>$E208=""</formula>
    </cfRule>
    <cfRule type="expression" dxfId="103" priority="83" stopIfTrue="1">
      <formula>MONTH($C208)=MONTH(A)</formula>
    </cfRule>
    <cfRule type="expression" dxfId="102" priority="84" stopIfTrue="1">
      <formula>$C208=A</formula>
    </cfRule>
    <cfRule type="expression" dxfId="101" priority="85" stopIfTrue="1">
      <formula>OR($D208="SAMEDI",$D208="DIMANCHE")</formula>
    </cfRule>
  </conditionalFormatting>
  <conditionalFormatting sqref="B209:E209">
    <cfRule type="expression" dxfId="100" priority="76" stopIfTrue="1">
      <formula>OR($C209-A&lt;-1,$E209="#DEPASSE DEPUIS HIER#")</formula>
    </cfRule>
    <cfRule type="expression" dxfId="99" priority="77" stopIfTrue="1">
      <formula>$E209=""</formula>
    </cfRule>
    <cfRule type="expression" dxfId="98" priority="78" stopIfTrue="1">
      <formula>MONTH($C209)=MONTH(A)</formula>
    </cfRule>
    <cfRule type="expression" dxfId="97" priority="79" stopIfTrue="1">
      <formula>$C209=A</formula>
    </cfRule>
    <cfRule type="expression" dxfId="96" priority="80" stopIfTrue="1">
      <formula>OR($D209="SAMEDI",$D209="DIMANCHE")</formula>
    </cfRule>
  </conditionalFormatting>
  <conditionalFormatting sqref="B210:E210">
    <cfRule type="expression" dxfId="95" priority="71" stopIfTrue="1">
      <formula>OR($C210-A&lt;-1,$E210="#DEPASSE DEPUIS HIER#")</formula>
    </cfRule>
    <cfRule type="expression" dxfId="94" priority="72" stopIfTrue="1">
      <formula>$E210=""</formula>
    </cfRule>
    <cfRule type="expression" dxfId="93" priority="73" stopIfTrue="1">
      <formula>MONTH($C210)=MONTH(A)</formula>
    </cfRule>
    <cfRule type="expression" dxfId="92" priority="74" stopIfTrue="1">
      <formula>$C210=A</formula>
    </cfRule>
    <cfRule type="expression" dxfId="91" priority="75" stopIfTrue="1">
      <formula>OR($D210="SAMEDI",$D210="DIMANCHE")</formula>
    </cfRule>
  </conditionalFormatting>
  <conditionalFormatting sqref="B211:E211">
    <cfRule type="expression" dxfId="90" priority="66" stopIfTrue="1">
      <formula>OR($C211-A&lt;-1,$E211="#DEPASSE DEPUIS HIER#")</formula>
    </cfRule>
    <cfRule type="expression" dxfId="89" priority="67" stopIfTrue="1">
      <formula>$E211=""</formula>
    </cfRule>
    <cfRule type="expression" dxfId="88" priority="68" stopIfTrue="1">
      <formula>MONTH($C211)=MONTH(A)</formula>
    </cfRule>
    <cfRule type="expression" dxfId="87" priority="69" stopIfTrue="1">
      <formula>$C211=A</formula>
    </cfRule>
    <cfRule type="expression" dxfId="86" priority="70" stopIfTrue="1">
      <formula>OR($D211="SAMEDI",$D211="DIMANCHE")</formula>
    </cfRule>
  </conditionalFormatting>
  <conditionalFormatting sqref="B212:E212">
    <cfRule type="expression" dxfId="85" priority="61" stopIfTrue="1">
      <formula>OR($C212-A&lt;-1,$E212="#DEPASSE DEPUIS HIER#")</formula>
    </cfRule>
    <cfRule type="expression" dxfId="84" priority="62" stopIfTrue="1">
      <formula>$E212=""</formula>
    </cfRule>
    <cfRule type="expression" dxfId="83" priority="63" stopIfTrue="1">
      <formula>MONTH($C212)=MONTH(A)</formula>
    </cfRule>
    <cfRule type="expression" dxfId="82" priority="64" stopIfTrue="1">
      <formula>$C212=A</formula>
    </cfRule>
    <cfRule type="expression" dxfId="81" priority="65" stopIfTrue="1">
      <formula>OR($D212="SAMEDI",$D212="DIMANCHE")</formula>
    </cfRule>
  </conditionalFormatting>
  <conditionalFormatting sqref="B213:E213">
    <cfRule type="expression" dxfId="80" priority="56" stopIfTrue="1">
      <formula>OR($C213-A&lt;-1,$E213="#DEPASSE DEPUIS HIER#")</formula>
    </cfRule>
    <cfRule type="expression" dxfId="79" priority="57" stopIfTrue="1">
      <formula>$E213=""</formula>
    </cfRule>
    <cfRule type="expression" dxfId="78" priority="58" stopIfTrue="1">
      <formula>MONTH($C213)=MONTH(A)</formula>
    </cfRule>
    <cfRule type="expression" dxfId="77" priority="59" stopIfTrue="1">
      <formula>$C213=A</formula>
    </cfRule>
    <cfRule type="expression" dxfId="76" priority="60" stopIfTrue="1">
      <formula>OR($D213="SAMEDI",$D213="DIMANCHE")</formula>
    </cfRule>
  </conditionalFormatting>
  <conditionalFormatting sqref="B214:E214">
    <cfRule type="expression" dxfId="75" priority="51" stopIfTrue="1">
      <formula>OR($C214-A&lt;-1,$E214="#DEPASSE DEPUIS HIER#")</formula>
    </cfRule>
    <cfRule type="expression" dxfId="74" priority="52" stopIfTrue="1">
      <formula>$E214=""</formula>
    </cfRule>
    <cfRule type="expression" dxfId="73" priority="53" stopIfTrue="1">
      <formula>MONTH($C214)=MONTH(A)</formula>
    </cfRule>
    <cfRule type="expression" dxfId="72" priority="54" stopIfTrue="1">
      <formula>$C214=A</formula>
    </cfRule>
    <cfRule type="expression" dxfId="71" priority="55" stopIfTrue="1">
      <formula>OR($D214="SAMEDI",$D214="DIMANCHE")</formula>
    </cfRule>
  </conditionalFormatting>
  <conditionalFormatting sqref="B215:E215">
    <cfRule type="expression" dxfId="70" priority="46" stopIfTrue="1">
      <formula>OR($C215-A&lt;-1,$E215="#DEPASSE DEPUIS HIER#")</formula>
    </cfRule>
    <cfRule type="expression" dxfId="69" priority="47" stopIfTrue="1">
      <formula>$E215=""</formula>
    </cfRule>
    <cfRule type="expression" dxfId="68" priority="48" stopIfTrue="1">
      <formula>MONTH($C215)=MONTH(A)</formula>
    </cfRule>
    <cfRule type="expression" dxfId="67" priority="49" stopIfTrue="1">
      <formula>$C215=A</formula>
    </cfRule>
    <cfRule type="expression" dxfId="66" priority="50" stopIfTrue="1">
      <formula>OR($D215="SAMEDI",$D215="DIMANCHE")</formula>
    </cfRule>
  </conditionalFormatting>
  <conditionalFormatting sqref="B216:E216">
    <cfRule type="expression" dxfId="65" priority="41" stopIfTrue="1">
      <formula>OR($C216-A&lt;-1,$E216="#DEPASSE DEPUIS HIER#")</formula>
    </cfRule>
    <cfRule type="expression" dxfId="64" priority="42" stopIfTrue="1">
      <formula>$E216=""</formula>
    </cfRule>
    <cfRule type="expression" dxfId="63" priority="43" stopIfTrue="1">
      <formula>MONTH($C216)=MONTH(A)</formula>
    </cfRule>
    <cfRule type="expression" dxfId="62" priority="44" stopIfTrue="1">
      <formula>$C216=A</formula>
    </cfRule>
    <cfRule type="expression" dxfId="61" priority="45" stopIfTrue="1">
      <formula>OR($D216="SAMEDI",$D216="DIMANCHE")</formula>
    </cfRule>
  </conditionalFormatting>
  <conditionalFormatting sqref="B217:E217">
    <cfRule type="expression" dxfId="60" priority="36" stopIfTrue="1">
      <formula>OR($C217-A&lt;-1,$E217="#DEPASSE DEPUIS HIER#")</formula>
    </cfRule>
    <cfRule type="expression" dxfId="59" priority="37" stopIfTrue="1">
      <formula>$E217=""</formula>
    </cfRule>
    <cfRule type="expression" dxfId="58" priority="38" stopIfTrue="1">
      <formula>MONTH($C217)=MONTH(A)</formula>
    </cfRule>
    <cfRule type="expression" dxfId="57" priority="39" stopIfTrue="1">
      <formula>$C217=A</formula>
    </cfRule>
    <cfRule type="expression" dxfId="56" priority="40" stopIfTrue="1">
      <formula>OR($D217="SAMEDI",$D217="DIMANCHE")</formula>
    </cfRule>
  </conditionalFormatting>
  <conditionalFormatting sqref="B218:E218">
    <cfRule type="expression" dxfId="55" priority="31" stopIfTrue="1">
      <formula>OR($C218-A&lt;-1,$E218="#DEPASSE DEPUIS HIER#")</formula>
    </cfRule>
    <cfRule type="expression" dxfId="54" priority="32" stopIfTrue="1">
      <formula>$E218=""</formula>
    </cfRule>
    <cfRule type="expression" dxfId="53" priority="33" stopIfTrue="1">
      <formula>MONTH($C218)=MONTH(A)</formula>
    </cfRule>
    <cfRule type="expression" dxfId="52" priority="34" stopIfTrue="1">
      <formula>$C218=A</formula>
    </cfRule>
    <cfRule type="expression" dxfId="51" priority="35" stopIfTrue="1">
      <formula>OR($D218="SAMEDI",$D218="DIMANCHE")</formula>
    </cfRule>
  </conditionalFormatting>
  <conditionalFormatting sqref="B219:E219">
    <cfRule type="expression" dxfId="50" priority="26" stopIfTrue="1">
      <formula>OR($C219-A&lt;-1,$E219="#DEPASSE DEPUIS HIER#")</formula>
    </cfRule>
    <cfRule type="expression" dxfId="49" priority="27" stopIfTrue="1">
      <formula>$E219=""</formula>
    </cfRule>
    <cfRule type="expression" dxfId="48" priority="28" stopIfTrue="1">
      <formula>MONTH($C219)=MONTH(A)</formula>
    </cfRule>
    <cfRule type="expression" dxfId="47" priority="29" stopIfTrue="1">
      <formula>$C219=A</formula>
    </cfRule>
    <cfRule type="expression" dxfId="46" priority="30" stopIfTrue="1">
      <formula>OR($D219="SAMEDI",$D219="DIMANCHE")</formula>
    </cfRule>
  </conditionalFormatting>
  <conditionalFormatting sqref="B220:E220">
    <cfRule type="expression" dxfId="45" priority="21" stopIfTrue="1">
      <formula>OR($C220-A&lt;-1,$E220="#DEPASSE DEPUIS HIER#")</formula>
    </cfRule>
    <cfRule type="expression" dxfId="44" priority="22" stopIfTrue="1">
      <formula>$E220=""</formula>
    </cfRule>
    <cfRule type="expression" dxfId="43" priority="23" stopIfTrue="1">
      <formula>MONTH($C220)=MONTH(A)</formula>
    </cfRule>
    <cfRule type="expression" dxfId="42" priority="24" stopIfTrue="1">
      <formula>$C220=A</formula>
    </cfRule>
    <cfRule type="expression" dxfId="41" priority="25" stopIfTrue="1">
      <formula>OR($D220="SAMEDI",$D220="DIMANCHE")</formula>
    </cfRule>
  </conditionalFormatting>
  <conditionalFormatting sqref="B221:E221">
    <cfRule type="expression" dxfId="40" priority="16" stopIfTrue="1">
      <formula>OR($C221-A&lt;-1,$E221="#DEPASSE DEPUIS HIER#")</formula>
    </cfRule>
    <cfRule type="expression" dxfId="39" priority="17" stopIfTrue="1">
      <formula>$E221=""</formula>
    </cfRule>
    <cfRule type="expression" dxfId="38" priority="18" stopIfTrue="1">
      <formula>MONTH($C221)=MONTH(A)</formula>
    </cfRule>
    <cfRule type="expression" dxfId="37" priority="19" stopIfTrue="1">
      <formula>$C221=A</formula>
    </cfRule>
    <cfRule type="expression" dxfId="36" priority="20" stopIfTrue="1">
      <formula>OR($D221="SAMEDI",$D221="DIMANCHE")</formula>
    </cfRule>
  </conditionalFormatting>
  <conditionalFormatting sqref="B222:E222">
    <cfRule type="expression" dxfId="35" priority="11" stopIfTrue="1">
      <formula>OR($C222-A&lt;-1,$E222="#DEPASSE DEPUIS HIER#")</formula>
    </cfRule>
    <cfRule type="expression" dxfId="34" priority="12" stopIfTrue="1">
      <formula>$E222=""</formula>
    </cfRule>
    <cfRule type="expression" dxfId="33" priority="13" stopIfTrue="1">
      <formula>MONTH($C222)=MONTH(A)</formula>
    </cfRule>
    <cfRule type="expression" dxfId="32" priority="14" stopIfTrue="1">
      <formula>$C222=A</formula>
    </cfRule>
    <cfRule type="expression" dxfId="31" priority="15" stopIfTrue="1">
      <formula>OR($D222="SAMEDI",$D222="DIMANCHE")</formula>
    </cfRule>
  </conditionalFormatting>
  <conditionalFormatting sqref="B223:E223">
    <cfRule type="expression" dxfId="30" priority="6" stopIfTrue="1">
      <formula>OR($C223-A&lt;-1,$E223="#DEPASSE DEPUIS HIER#")</formula>
    </cfRule>
    <cfRule type="expression" dxfId="29" priority="7" stopIfTrue="1">
      <formula>$E223=""</formula>
    </cfRule>
    <cfRule type="expression" dxfId="28" priority="8" stopIfTrue="1">
      <formula>MONTH($C223)=MONTH(A)</formula>
    </cfRule>
    <cfRule type="expression" dxfId="27" priority="9" stopIfTrue="1">
      <formula>$C223=A</formula>
    </cfRule>
    <cfRule type="expression" dxfId="26" priority="10" stopIfTrue="1">
      <formula>OR($D223="SAMEDI",$D223="DIMANCHE")</formula>
    </cfRule>
  </conditionalFormatting>
  <conditionalFormatting sqref="B224:E224">
    <cfRule type="expression" dxfId="25" priority="1" stopIfTrue="1">
      <formula>OR($C224-A&lt;-1,$E224="#DEPASSE DEPUIS HIER#")</formula>
    </cfRule>
    <cfRule type="expression" dxfId="24" priority="2" stopIfTrue="1">
      <formula>$E224=""</formula>
    </cfRule>
    <cfRule type="expression" dxfId="23" priority="3" stopIfTrue="1">
      <formula>MONTH($C224)=MONTH(A)</formula>
    </cfRule>
    <cfRule type="expression" dxfId="22" priority="4" stopIfTrue="1">
      <formula>$C224=A</formula>
    </cfRule>
    <cfRule type="expression" dxfId="21" priority="5" stopIfTrue="1">
      <formula>OR($D224="SAMEDI",$D224="DIMANCHE")</formula>
    </cfRule>
  </conditionalFormatting>
  <printOptions horizontalCentered="1" verticalCentered="1"/>
  <pageMargins left="0" right="0" top="0" bottom="0" header="0" footer="0"/>
  <pageSetup paperSize="9" scale="90" orientation="landscape" horizontalDpi="1200" verticalDpi="1200" r:id="rId1"/>
  <headerFooter alignWithMargins="0"/>
  <colBreaks count="1" manualBreakCount="1">
    <brk id="2" max="1048575" man="1"/>
  </colBreaks>
  <drawing r:id="rId2"/>
  <legacyDrawing r:id="rId3"/>
</worksheet>
</file>

<file path=xl/worksheets/sheet2.xml><?xml version="1.0" encoding="utf-8"?>
<worksheet xmlns="http://schemas.openxmlformats.org/spreadsheetml/2006/main" xmlns:r="http://schemas.openxmlformats.org/officeDocument/2006/relationships">
  <sheetPr codeName="Feuil11">
    <pageSetUpPr autoPageBreaks="0" fitToPage="1"/>
  </sheetPr>
  <dimension ref="A1:D29"/>
  <sheetViews>
    <sheetView showGridLines="0" showRowColHeaders="0" zoomScaleNormal="100" workbookViewId="0">
      <pane ySplit="2" topLeftCell="A3" activePane="bottomLeft" state="frozen"/>
      <selection pane="bottomLeft" sqref="A1:D1"/>
    </sheetView>
  </sheetViews>
  <sheetFormatPr baseColWidth="10" defaultRowHeight="11.25"/>
  <cols>
    <col min="1" max="4" width="79.1640625" customWidth="1"/>
  </cols>
  <sheetData>
    <row r="1" spans="1:4" ht="0.95" customHeight="1" thickTop="1">
      <c r="A1" s="2584" t="s">
        <v>3</v>
      </c>
      <c r="B1" s="2585"/>
      <c r="C1" s="2585"/>
      <c r="D1" s="2586"/>
    </row>
    <row r="2" spans="1:4" ht="84" customHeight="1" thickBot="1">
      <c r="A2" s="2599" t="str">
        <f ca="1">UPPER(TRIM(DATE.FINALE))</f>
        <v>~SAMEDI 2 NOVEMBRE 2019 [13:00:00]~ #DANS 3J= ''67H00'' ~ (5 NOV A 8H00): [COUPE OEUF]# &amp; #ARRET DU TABAC= ''29.742H00'' OU 1257 JOURS (3 ANS &amp; 5 MOIS &amp; 9 JOURS &amp; 6H00)# &amp; #DANS 7H45 (A 20H45): [CHAMPIONNAT]# &amp; #DANS 7H40 (A 20H40 SUR AB1): [SMACKDOWN]#</v>
      </c>
      <c r="B2" s="2600"/>
      <c r="C2" s="2600"/>
      <c r="D2" s="2601"/>
    </row>
    <row r="3" spans="1:4" ht="26.1" customHeight="1" thickTop="1" thickBot="1">
      <c r="A3" s="2596" t="str">
        <f>UPPER("CHAMPION'S LEAGUE (19)")</f>
        <v>CHAMPION'S LEAGUE (19)</v>
      </c>
      <c r="B3" s="2597"/>
      <c r="C3" s="2597"/>
      <c r="D3" s="2598"/>
    </row>
    <row r="4" spans="1:4" ht="26.1" customHeight="1">
      <c r="A4" s="2605" t="str">
        <f ca="1">TABLEAU!$J$25</f>
        <v>#DANS 3 JOURS= ''77H55'' ~ (MARDI 5 NOVEMBRE 2019 A 18H55): [LDC= (4°J): BARCELONE VS PRAGUE {F}]#</v>
      </c>
      <c r="B4" s="2607"/>
      <c r="C4" s="1405" t="s">
        <v>161</v>
      </c>
      <c r="D4" s="1404" t="s">
        <v>150</v>
      </c>
    </row>
    <row r="5" spans="1:4" ht="26.1" customHeight="1">
      <c r="A5" s="1403" t="s">
        <v>147</v>
      </c>
      <c r="B5" s="1402" t="s">
        <v>146</v>
      </c>
      <c r="C5" s="1402" t="s">
        <v>73</v>
      </c>
      <c r="D5" s="1401" t="s">
        <v>145</v>
      </c>
    </row>
    <row r="6" spans="1:4" ht="26.1" customHeight="1">
      <c r="A6" s="1390" t="s">
        <v>148</v>
      </c>
      <c r="B6" s="1389" t="s">
        <v>75</v>
      </c>
      <c r="C6" s="1389" t="s">
        <v>74</v>
      </c>
      <c r="D6" s="1388" t="s">
        <v>76</v>
      </c>
    </row>
    <row r="7" spans="1:4" ht="26.1" customHeight="1">
      <c r="A7" s="1393" t="s">
        <v>77</v>
      </c>
      <c r="B7" s="1392" t="s">
        <v>149</v>
      </c>
      <c r="C7" s="1392" t="s">
        <v>82</v>
      </c>
      <c r="D7" s="1391" t="s">
        <v>81</v>
      </c>
    </row>
    <row r="8" spans="1:4" ht="26.1" customHeight="1" thickBot="1">
      <c r="A8" s="1400" t="s">
        <v>78</v>
      </c>
      <c r="B8" s="1399" t="s">
        <v>83</v>
      </c>
      <c r="C8" s="1399" t="s">
        <v>80</v>
      </c>
      <c r="D8" s="1398" t="s">
        <v>79</v>
      </c>
    </row>
    <row r="9" spans="1:4" ht="26.1" customHeight="1" thickBot="1">
      <c r="A9" s="2602" t="str">
        <f>UPPER("UEFA (17)")</f>
        <v>UEFA (17)</v>
      </c>
      <c r="B9" s="2603"/>
      <c r="C9" s="2603"/>
      <c r="D9" s="2604"/>
    </row>
    <row r="10" spans="1:4" ht="26.1" customHeight="1">
      <c r="A10" s="2608" t="str">
        <f ca="1">TABLEAU!$J$27</f>
        <v>#DANS 124 JOURS= ''2.981H55'' ~ (JEUDI 5 MARS 2020 A 18H55): [UEFA= (MANQUE 16 EQUIPES)]#</v>
      </c>
      <c r="B10" s="2609"/>
      <c r="C10" s="2609"/>
      <c r="D10" s="2610"/>
    </row>
    <row r="11" spans="1:4" ht="26.1" customHeight="1">
      <c r="A11" s="1397" t="s">
        <v>163</v>
      </c>
      <c r="B11" s="1396" t="s">
        <v>158</v>
      </c>
      <c r="C11" s="1395" t="s">
        <v>110</v>
      </c>
      <c r="D11" s="1394" t="s">
        <v>84</v>
      </c>
    </row>
    <row r="12" spans="1:4" ht="26.1" customHeight="1">
      <c r="A12" s="1393" t="s">
        <v>85</v>
      </c>
      <c r="B12" s="1392" t="s">
        <v>86</v>
      </c>
      <c r="C12" s="1392" t="s">
        <v>4</v>
      </c>
      <c r="D12" s="1391" t="s">
        <v>87</v>
      </c>
    </row>
    <row r="13" spans="1:4" ht="26.1" customHeight="1">
      <c r="A13" s="1390" t="s">
        <v>6</v>
      </c>
      <c r="B13" s="1389" t="s">
        <v>88</v>
      </c>
      <c r="C13" s="1389" t="s">
        <v>89</v>
      </c>
      <c r="D13" s="1388" t="s">
        <v>90</v>
      </c>
    </row>
    <row r="14" spans="1:4" ht="26.1" customHeight="1" thickBot="1">
      <c r="A14" s="1385" t="s">
        <v>5</v>
      </c>
      <c r="B14" s="1383" t="s">
        <v>93</v>
      </c>
      <c r="C14" s="1383" t="s">
        <v>92</v>
      </c>
      <c r="D14" s="1387" t="s">
        <v>91</v>
      </c>
    </row>
    <row r="15" spans="1:4" ht="26.1" customHeight="1" thickBot="1">
      <c r="A15" s="2587" t="str">
        <f>UPPER("COUPE DES CONFEDERATIONS (6)")</f>
        <v>COUPE DES CONFEDERATIONS (6)</v>
      </c>
      <c r="B15" s="2588"/>
      <c r="C15" s="2588"/>
      <c r="D15" s="2589"/>
    </row>
    <row r="16" spans="1:4" ht="26.1" customHeight="1">
      <c r="A16" s="2605" t="str">
        <f ca="1">TABLEAU!$J$20</f>
        <v>#DANS 579 JOURS= ''13.904H00'' ~ (JEUDI 3 JUIN 2021 A 21H00): [CONFEDERATIONS 2021= (MANQUE 8 PAYS)]#</v>
      </c>
      <c r="B16" s="2606"/>
      <c r="C16" s="2607"/>
      <c r="D16" s="1386" t="s">
        <v>143</v>
      </c>
    </row>
    <row r="17" spans="1:4" ht="26.1" customHeight="1" thickBot="1">
      <c r="A17" s="1385" t="s">
        <v>7</v>
      </c>
      <c r="B17" s="1384" t="s">
        <v>9</v>
      </c>
      <c r="C17" s="1383" t="s">
        <v>10</v>
      </c>
      <c r="D17" s="1382" t="s">
        <v>8</v>
      </c>
    </row>
    <row r="18" spans="1:4" ht="26.1" customHeight="1" thickBot="1">
      <c r="A18" s="2590" t="str">
        <f>UPPER("COUPE DE FRANCE (13)")</f>
        <v>COUPE DE FRANCE (13)</v>
      </c>
      <c r="B18" s="2591"/>
      <c r="C18" s="2591"/>
      <c r="D18" s="2592"/>
    </row>
    <row r="19" spans="1:4" ht="26.1" customHeight="1">
      <c r="A19" s="2605" t="str">
        <f ca="1">TABLEAU!$J$21</f>
        <v>#DANS 94 JOURS= ''2.263H00'' ~ (MARDI 4 FEVRIER 2020 A 20H00): [COUPE DE FRANCE 19-20= (MANQUE 16 EQUIPES)]#</v>
      </c>
      <c r="B19" s="2606"/>
      <c r="C19" s="2606"/>
      <c r="D19" s="2606"/>
    </row>
    <row r="20" spans="1:4" ht="26.1" customHeight="1">
      <c r="A20" s="1381" t="s">
        <v>155</v>
      </c>
      <c r="B20" s="1380" t="s">
        <v>156</v>
      </c>
      <c r="C20" s="1380" t="s">
        <v>111</v>
      </c>
      <c r="D20" s="1379" t="s">
        <v>94</v>
      </c>
    </row>
    <row r="21" spans="1:4" ht="26.1" customHeight="1">
      <c r="A21" s="1371" t="s">
        <v>95</v>
      </c>
      <c r="B21" s="1370" t="s">
        <v>96</v>
      </c>
      <c r="C21" s="1370" t="s">
        <v>11</v>
      </c>
      <c r="D21" s="1378" t="s">
        <v>12</v>
      </c>
    </row>
    <row r="22" spans="1:4" ht="26.1" customHeight="1" thickBot="1">
      <c r="A22" s="1377" t="s">
        <v>13</v>
      </c>
      <c r="B22" s="1376" t="s">
        <v>14</v>
      </c>
      <c r="C22" s="1376" t="s">
        <v>15</v>
      </c>
      <c r="D22" s="1375" t="s">
        <v>16</v>
      </c>
    </row>
    <row r="23" spans="1:4" ht="26.1" customHeight="1" thickBot="1">
      <c r="A23" s="2593" t="str">
        <f>UPPER("COUPE DE LA LIGUE (13)")</f>
        <v>COUPE DE LA LIGUE (13)</v>
      </c>
      <c r="B23" s="2594"/>
      <c r="C23" s="2594"/>
      <c r="D23" s="2595"/>
    </row>
    <row r="24" spans="1:4" ht="26.1" customHeight="1">
      <c r="A24" s="2581" t="str">
        <f ca="1">TABLEAU!$J$22</f>
        <v>#DANS 45 JOURS= ''1.088H00'' ~ (MARDI 17 DECEMBRE 2019 A 21H00): [COUPE DE LA LIGUE 19-20= (MANQUE 16 EQUIPES)]#</v>
      </c>
      <c r="B24" s="2582"/>
      <c r="C24" s="2582"/>
      <c r="D24" s="2583"/>
    </row>
    <row r="25" spans="1:4" ht="26.1" customHeight="1">
      <c r="A25" s="1374" t="s">
        <v>157</v>
      </c>
      <c r="B25" s="1373" t="s">
        <v>142</v>
      </c>
      <c r="C25" s="1373" t="s">
        <v>105</v>
      </c>
      <c r="D25" s="1372" t="s">
        <v>99</v>
      </c>
    </row>
    <row r="26" spans="1:4" ht="26.1" customHeight="1">
      <c r="A26" s="1371" t="s">
        <v>98</v>
      </c>
      <c r="B26" s="1370" t="s">
        <v>97</v>
      </c>
      <c r="C26" s="1370" t="s">
        <v>17</v>
      </c>
      <c r="D26" s="1369" t="s">
        <v>54</v>
      </c>
    </row>
    <row r="27" spans="1:4" ht="26.1" customHeight="1" thickBot="1">
      <c r="A27" s="1368" t="s">
        <v>55</v>
      </c>
      <c r="B27" s="1367" t="s">
        <v>56</v>
      </c>
      <c r="C27" s="1366" t="s">
        <v>18</v>
      </c>
      <c r="D27" s="1365" t="s">
        <v>19</v>
      </c>
    </row>
    <row r="28" spans="1:4" ht="20.100000000000001" customHeight="1" thickTop="1">
      <c r="A28" s="1032">
        <v>78.33</v>
      </c>
      <c r="B28" s="1032">
        <v>78.33</v>
      </c>
      <c r="C28" s="1032">
        <v>78.33</v>
      </c>
      <c r="D28" s="1032">
        <v>78.33</v>
      </c>
    </row>
    <row r="29" spans="1:4" ht="20.100000000000001" customHeight="1"/>
  </sheetData>
  <sheetProtection sheet="1" objects="1" scenarios="1"/>
  <mergeCells count="12">
    <mergeCell ref="A24:D24"/>
    <mergeCell ref="A1:D1"/>
    <mergeCell ref="A15:D15"/>
    <mergeCell ref="A18:D18"/>
    <mergeCell ref="A23:D23"/>
    <mergeCell ref="A3:D3"/>
    <mergeCell ref="A2:D2"/>
    <mergeCell ref="A9:D9"/>
    <mergeCell ref="A16:C16"/>
    <mergeCell ref="A19:D19"/>
    <mergeCell ref="A10:D10"/>
    <mergeCell ref="A4:B4"/>
  </mergeCells>
  <conditionalFormatting sqref="A2">
    <cfRule type="expression" dxfId="20" priority="19">
      <formula>QSD&lt;&gt;FALSE</formula>
    </cfRule>
    <cfRule type="expression" dxfId="19" priority="20">
      <formula>DATE.FINALE=CONCATENATE(JH," #RIEN AUJOURD'HUI#")</formula>
    </cfRule>
  </conditionalFormatting>
  <conditionalFormatting sqref="A16">
    <cfRule type="expression" dxfId="18" priority="25" stopIfTrue="1">
      <formula>OR(DANS.CONFEDERATIONS.VERIFIER="#DEPASSE#",CONFEDERATIONS.DEP&lt;&gt;"")</formula>
    </cfRule>
    <cfRule type="expression" dxfId="17" priority="26" stopIfTrue="1">
      <formula>DATE.CONFEDERATIONS=0</formula>
    </cfRule>
  </conditionalFormatting>
  <conditionalFormatting sqref="A25">
    <cfRule type="expression" dxfId="16" priority="29" stopIfTrue="1">
      <formula>OR(DANS.LIGUE.VERIFIER="#DEPASSE#",LIGUE.DEP&lt;&gt;"")</formula>
    </cfRule>
    <cfRule type="expression" dxfId="15" priority="30" stopIfTrue="1">
      <formula>DATE.LIGUE=0</formula>
    </cfRule>
  </conditionalFormatting>
  <conditionalFormatting sqref="A4">
    <cfRule type="expression" dxfId="14" priority="7" stopIfTrue="1">
      <formula>OR(DANS.CHAMPIONS.LEAGUE.VERIFIER="#DEPASSE#",LDC.DEP&lt;&gt;"")</formula>
    </cfRule>
    <cfRule type="expression" dxfId="13" priority="8" stopIfTrue="1">
      <formula>DATE.CHAMPIONS.LEAGUE=0</formula>
    </cfRule>
  </conditionalFormatting>
  <conditionalFormatting sqref="A24">
    <cfRule type="expression" dxfId="12" priority="3" stopIfTrue="1">
      <formula>OR(DANS.LIGUE.VERIFIER="#DEPASSE#",LIGUE.DEP&lt;&gt;"")</formula>
    </cfRule>
    <cfRule type="expression" dxfId="11" priority="4" stopIfTrue="1">
      <formula>DATE.LIGUE=0</formula>
    </cfRule>
  </conditionalFormatting>
  <conditionalFormatting sqref="A10">
    <cfRule type="expression" dxfId="10" priority="9" stopIfTrue="1">
      <formula>OR(DANS.UEFA.VERIFIER="#DEPASSE#",UEFA.DEP&lt;&gt;"")</formula>
    </cfRule>
    <cfRule type="expression" dxfId="9" priority="10" stopIfTrue="1">
      <formula>DATE.UEFA=0</formula>
    </cfRule>
  </conditionalFormatting>
  <conditionalFormatting sqref="A19">
    <cfRule type="expression" dxfId="8" priority="1" stopIfTrue="1">
      <formula>OR(DANS.FRANCE.VERIFIER="#DEPASSE#",FRANCE.DEP&lt;&gt;"")</formula>
    </cfRule>
    <cfRule type="expression" dxfId="7" priority="2" stopIfTrue="1">
      <formula>DATE.FRANCE=0</formula>
    </cfRule>
  </conditionalFormatting>
  <printOptions horizontalCentered="1" verticalCentered="1"/>
  <pageMargins left="0" right="0" top="0" bottom="0" header="0" footer="0"/>
  <pageSetup paperSize="9" scale="74" orientation="landscape" r:id="rId1"/>
  <headerFooter alignWithMargins="0"/>
  <drawing r:id="rId2"/>
</worksheet>
</file>

<file path=xl/worksheets/sheet3.xml><?xml version="1.0" encoding="utf-8"?>
<worksheet xmlns="http://schemas.openxmlformats.org/spreadsheetml/2006/main" xmlns:r="http://schemas.openxmlformats.org/officeDocument/2006/relationships">
  <sheetPr codeName="Feuil12">
    <pageSetUpPr autoPageBreaks="0" fitToPage="1"/>
  </sheetPr>
  <dimension ref="A1:J21"/>
  <sheetViews>
    <sheetView showGridLines="0" showRowColHeaders="0" zoomScaleNormal="100" workbookViewId="0">
      <pane ySplit="2" topLeftCell="A3" activePane="bottomLeft" state="frozen"/>
      <selection pane="bottomLeft" sqref="A1:D1"/>
    </sheetView>
  </sheetViews>
  <sheetFormatPr baseColWidth="10" defaultRowHeight="11.25"/>
  <cols>
    <col min="1" max="4" width="79.1640625" style="3" customWidth="1"/>
    <col min="5" max="16384" width="12" style="3"/>
  </cols>
  <sheetData>
    <row r="1" spans="1:10" ht="0.95" customHeight="1" thickBot="1">
      <c r="A1" s="2613" t="s">
        <v>3</v>
      </c>
      <c r="B1" s="2614"/>
      <c r="C1" s="2614"/>
      <c r="D1" s="2614"/>
    </row>
    <row r="2" spans="1:10" ht="102" customHeight="1" thickTop="1" thickBot="1">
      <c r="A2" s="2626" t="str">
        <f ca="1">UPPER(TRIM(DATE.FINALE))</f>
        <v>~SAMEDI 2 NOVEMBRE 2019 [13:00:00]~ #DANS 3J= ''67H00'' ~ (5 NOV A 8H00): [COUPE OEUF]# &amp; #ARRET DU TABAC= ''29.742H00'' OU 1257 JOURS (3 ANS &amp; 5 MOIS &amp; 9 JOURS &amp; 6H00)# &amp; #DANS 7H45 (A 20H45): [CHAMPIONNAT]# &amp; #DANS 7H40 (A 20H40 SUR AB1): [SMACKDOWN]#</v>
      </c>
      <c r="B2" s="2627"/>
      <c r="C2" s="2627"/>
      <c r="D2" s="2628"/>
    </row>
    <row r="3" spans="1:10" ht="35.1" customHeight="1" thickTop="1" thickBot="1">
      <c r="A3" s="2623" t="str">
        <f>UPPER("CHAMPIONNAT DE FRANCE (20)")</f>
        <v>CHAMPIONNAT DE FRANCE (20)</v>
      </c>
      <c r="B3" s="2624"/>
      <c r="C3" s="2624"/>
      <c r="D3" s="2625"/>
    </row>
    <row r="4" spans="1:10" ht="35.1" customHeight="1">
      <c r="A4" s="1364" t="str">
        <f ca="1">TABLEAU!$J$19</f>
        <v>#DANS 7H45 (A 20H45): [CHAMPIONNAT]#</v>
      </c>
      <c r="B4" s="1363" t="s">
        <v>160</v>
      </c>
      <c r="C4" s="1363" t="s">
        <v>144</v>
      </c>
      <c r="D4" s="1362" t="s">
        <v>112</v>
      </c>
    </row>
    <row r="5" spans="1:10" ht="35.1" customHeight="1">
      <c r="A5" s="1361" t="s">
        <v>106</v>
      </c>
      <c r="B5" s="1352" t="s">
        <v>107</v>
      </c>
      <c r="C5" s="1352" t="s">
        <v>108</v>
      </c>
      <c r="D5" s="1353" t="s">
        <v>109</v>
      </c>
    </row>
    <row r="6" spans="1:10" ht="35.1" customHeight="1">
      <c r="A6" s="363" t="s">
        <v>20</v>
      </c>
      <c r="B6" s="364" t="s">
        <v>21</v>
      </c>
      <c r="C6" s="1359" t="s">
        <v>53</v>
      </c>
      <c r="D6" s="365" t="s">
        <v>22</v>
      </c>
      <c r="F6" s="5"/>
      <c r="G6" s="5"/>
      <c r="H6" s="5"/>
      <c r="I6" s="5"/>
      <c r="J6" s="5"/>
    </row>
    <row r="7" spans="1:10" ht="35.1" customHeight="1">
      <c r="A7" s="1351" t="s">
        <v>23</v>
      </c>
      <c r="B7" s="1352" t="s">
        <v>24</v>
      </c>
      <c r="C7" s="1352" t="s">
        <v>25</v>
      </c>
      <c r="D7" s="1353" t="s">
        <v>26</v>
      </c>
    </row>
    <row r="8" spans="1:10" ht="35.1" customHeight="1" thickBot="1">
      <c r="A8" s="366" t="s">
        <v>27</v>
      </c>
      <c r="B8" s="367" t="s">
        <v>28</v>
      </c>
      <c r="C8" s="367" t="s">
        <v>29</v>
      </c>
      <c r="D8" s="990" t="s">
        <v>30</v>
      </c>
    </row>
    <row r="9" spans="1:10" ht="35.1" customHeight="1" thickTop="1" thickBot="1">
      <c r="A9" s="2629" t="str">
        <f>UPPER("COUPE DU MONDE (7)")</f>
        <v>COUPE DU MONDE (7)</v>
      </c>
      <c r="B9" s="2630"/>
      <c r="C9" s="2630"/>
      <c r="D9" s="2631"/>
    </row>
    <row r="10" spans="1:10" ht="35.1" customHeight="1">
      <c r="A10" s="2611" t="str">
        <f ca="1">TABLEAU!$J$26</f>
        <v>#DANS 1115 JOURS= ''26.764H00'' ~ (LUNDI 21 NOVEMBRE 2022 A 17H00): [MONDIAL 2022= (MANQUE 32 PAYS)]#</v>
      </c>
      <c r="B10" s="2612"/>
      <c r="C10" s="1360" t="s">
        <v>162</v>
      </c>
      <c r="D10" s="1358" t="s">
        <v>100</v>
      </c>
    </row>
    <row r="11" spans="1:10" ht="35.1" customHeight="1" thickBot="1">
      <c r="A11" s="366" t="s">
        <v>31</v>
      </c>
      <c r="B11" s="367" t="s">
        <v>33</v>
      </c>
      <c r="C11" s="367" t="s">
        <v>34</v>
      </c>
      <c r="D11" s="368" t="s">
        <v>32</v>
      </c>
    </row>
    <row r="12" spans="1:10" ht="35.1" customHeight="1" thickTop="1" thickBot="1">
      <c r="A12" s="2620" t="str">
        <f>UPPER("€URO (6)")</f>
        <v>€URO (6)</v>
      </c>
      <c r="B12" s="2621"/>
      <c r="C12" s="2621"/>
      <c r="D12" s="2622"/>
    </row>
    <row r="13" spans="1:10" ht="35.1" customHeight="1">
      <c r="A13" s="2618" t="str">
        <f ca="1">TABLEAU!$J$23</f>
        <v>#DANS 221 JOURS= ''5.312H00'' ~ (MERCREDI 10 JUIN 2020 A 21H00): [EURO 2020= (MANQUE 24 PAYS)]#</v>
      </c>
      <c r="B13" s="2619"/>
      <c r="C13" s="2619"/>
      <c r="D13" s="1354" t="s">
        <v>104</v>
      </c>
    </row>
    <row r="14" spans="1:10" ht="35.1" customHeight="1" thickBot="1">
      <c r="A14" s="366" t="s">
        <v>38</v>
      </c>
      <c r="B14" s="367" t="s">
        <v>35</v>
      </c>
      <c r="C14" s="367" t="s">
        <v>36</v>
      </c>
      <c r="D14" s="368" t="s">
        <v>37</v>
      </c>
    </row>
    <row r="15" spans="1:10" ht="33.950000000000003" customHeight="1" thickTop="1" thickBot="1">
      <c r="A15" s="2615" t="str">
        <f>UPPER("FORMULE 1 (19)")</f>
        <v>FORMULE 1 (19)</v>
      </c>
      <c r="B15" s="2616"/>
      <c r="C15" s="2616"/>
      <c r="D15" s="2617"/>
    </row>
    <row r="16" spans="1:10" ht="35.1" customHeight="1">
      <c r="A16" s="2611" t="str">
        <f ca="1">TABLEAU!$J$24</f>
        <v>#DEMAIN= ''28H00'' ~ (DIMANCHE 3 NOVEMBRE A 17H00): [GP DES USA]#</v>
      </c>
      <c r="B16" s="2612"/>
      <c r="C16" s="1516" t="s">
        <v>154</v>
      </c>
      <c r="D16" s="1354" t="s">
        <v>138</v>
      </c>
    </row>
    <row r="17" spans="1:4" ht="35.1" customHeight="1">
      <c r="A17" s="363" t="s">
        <v>103</v>
      </c>
      <c r="B17" s="364" t="s">
        <v>102</v>
      </c>
      <c r="C17" s="364" t="s">
        <v>101</v>
      </c>
      <c r="D17" s="365" t="s">
        <v>50</v>
      </c>
    </row>
    <row r="18" spans="1:4" ht="35.1" customHeight="1">
      <c r="A18" s="1351" t="s">
        <v>39</v>
      </c>
      <c r="B18" s="1352" t="s">
        <v>40</v>
      </c>
      <c r="C18" s="1352" t="s">
        <v>41</v>
      </c>
      <c r="D18" s="1353" t="s">
        <v>42</v>
      </c>
    </row>
    <row r="19" spans="1:4" ht="35.1" customHeight="1">
      <c r="A19" s="363" t="s">
        <v>43</v>
      </c>
      <c r="B19" s="364" t="s">
        <v>44</v>
      </c>
      <c r="C19" s="364" t="s">
        <v>45</v>
      </c>
      <c r="D19" s="365" t="s">
        <v>46</v>
      </c>
    </row>
    <row r="20" spans="1:4" ht="35.1" customHeight="1" thickBot="1">
      <c r="A20" s="1355" t="s">
        <v>47</v>
      </c>
      <c r="B20" s="1356" t="s">
        <v>69</v>
      </c>
      <c r="C20" s="1356" t="s">
        <v>48</v>
      </c>
      <c r="D20" s="1357" t="s">
        <v>49</v>
      </c>
    </row>
    <row r="21" spans="1:4" ht="20.100000000000001" customHeight="1" thickTop="1">
      <c r="A21" s="1031">
        <v>78.33</v>
      </c>
      <c r="B21" s="1031">
        <v>78.33</v>
      </c>
      <c r="C21" s="1031">
        <v>78.33</v>
      </c>
      <c r="D21" s="1031">
        <v>78.33</v>
      </c>
    </row>
  </sheetData>
  <sheetProtection sheet="1" objects="1" scenarios="1"/>
  <mergeCells count="9">
    <mergeCell ref="A16:B16"/>
    <mergeCell ref="A1:D1"/>
    <mergeCell ref="A15:D15"/>
    <mergeCell ref="A13:C13"/>
    <mergeCell ref="A12:D12"/>
    <mergeCell ref="A3:D3"/>
    <mergeCell ref="A2:D2"/>
    <mergeCell ref="A9:D9"/>
    <mergeCell ref="A10:B10"/>
  </mergeCells>
  <conditionalFormatting sqref="A2:C2">
    <cfRule type="expression" dxfId="6" priority="12">
      <formula>QSD&lt;&gt;FALSE</formula>
    </cfRule>
  </conditionalFormatting>
  <conditionalFormatting sqref="A10">
    <cfRule type="expression" dxfId="5" priority="8" stopIfTrue="1">
      <formula>OR(DANS.MONDIAL.VERIFIER="#DEPASSE#",MONDIAL.DEP&lt;&gt;"")</formula>
    </cfRule>
    <cfRule type="expression" dxfId="4" priority="9" stopIfTrue="1">
      <formula>DATE.MONDIAL=0</formula>
    </cfRule>
  </conditionalFormatting>
  <conditionalFormatting sqref="A4">
    <cfRule type="expression" dxfId="3" priority="10" stopIfTrue="1">
      <formula>OR(DANS.L1.VERIFIER="#DEPASSE#",DEP.L1&lt;&gt;"")</formula>
    </cfRule>
    <cfRule type="expression" dxfId="2" priority="11" stopIfTrue="1">
      <formula>DATE.L1=0</formula>
    </cfRule>
  </conditionalFormatting>
  <conditionalFormatting sqref="A16">
    <cfRule type="expression" dxfId="1" priority="1" stopIfTrue="1">
      <formula>OR(DANS.GP.VERIFIER="#DEPASSE#",DEP.GP&lt;&gt;"")</formula>
    </cfRule>
    <cfRule type="expression" dxfId="0" priority="2" stopIfTrue="1">
      <formula>DATE.GP=0</formula>
    </cfRule>
  </conditionalFormatting>
  <printOptions horizontalCentered="1" verticalCentered="1"/>
  <pageMargins left="0" right="0" top="0" bottom="0" header="0" footer="0"/>
  <pageSetup paperSize="9" scale="84" orientation="landscape" r:id="rId1"/>
  <headerFooter alignWithMargins="0"/>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6" baseType="variant">
      <vt:variant>
        <vt:lpstr>Feuilles de calcul</vt:lpstr>
      </vt:variant>
      <vt:variant>
        <vt:i4>3</vt:i4>
      </vt:variant>
      <vt:variant>
        <vt:lpstr>Macros Excel 4.0</vt:lpstr>
      </vt:variant>
      <vt:variant>
        <vt:i4>1</vt:i4>
      </vt:variant>
      <vt:variant>
        <vt:lpstr>Plages nommées</vt:lpstr>
      </vt:variant>
      <vt:variant>
        <vt:i4>692</vt:i4>
      </vt:variant>
    </vt:vector>
  </HeadingPairs>
  <TitlesOfParts>
    <vt:vector size="696" baseType="lpstr">
      <vt:lpstr>TABLEAU</vt:lpstr>
      <vt:lpstr>ATTEINDRE</vt:lpstr>
      <vt:lpstr>SUITE</vt:lpstr>
      <vt:lpstr>MACRO</vt:lpstr>
      <vt:lpstr>A</vt:lpstr>
      <vt:lpstr>A.OUVRIR</vt:lpstr>
      <vt:lpstr>A.VERIFIER</vt:lpstr>
      <vt:lpstr>ADV.CHAMPIONS.LEAGUE</vt:lpstr>
      <vt:lpstr>ADV.COUPE.FRANCE</vt:lpstr>
      <vt:lpstr>ADV.COUPE.LIGUE</vt:lpstr>
      <vt:lpstr>ADV.EURO</vt:lpstr>
      <vt:lpstr>ADV.UEFA</vt:lpstr>
      <vt:lpstr>AN</vt:lpstr>
      <vt:lpstr>AN.2</vt:lpstr>
      <vt:lpstr>AN.3</vt:lpstr>
      <vt:lpstr>AN.4</vt:lpstr>
      <vt:lpstr>ANNEE</vt:lpstr>
      <vt:lpstr>ANNEE.EFFACE</vt:lpstr>
      <vt:lpstr>AQW</vt:lpstr>
      <vt:lpstr>ATTEINDRE</vt:lpstr>
      <vt:lpstr>ATTEINDRE.2</vt:lpstr>
      <vt:lpstr>ATTEINDRE.3</vt:lpstr>
      <vt:lpstr>ATTEINDRE.99</vt:lpstr>
      <vt:lpstr>ATTEINDRE.CHARGEMENT</vt:lpstr>
      <vt:lpstr>ATTEINDRE.DATES</vt:lpstr>
      <vt:lpstr>ATTEINDRE.PHRASE</vt:lpstr>
      <vt:lpstr>ATTEINDRE.TV</vt:lpstr>
      <vt:lpstr>ATTEINDRE.VER</vt:lpstr>
      <vt:lpstr>AUJOURDHUI</vt:lpstr>
      <vt:lpstr>AUTRE.HEURE</vt:lpstr>
      <vt:lpstr>AUTRE.PHRASE</vt:lpstr>
      <vt:lpstr>AZE</vt:lpstr>
      <vt:lpstr>AZERTY</vt:lpstr>
      <vt:lpstr>B</vt:lpstr>
      <vt:lpstr>BBB</vt:lpstr>
      <vt:lpstr>BIENTOT</vt:lpstr>
      <vt:lpstr>BIENTOT.TELE</vt:lpstr>
      <vt:lpstr>BIENTOT.TV</vt:lpstr>
      <vt:lpstr>CALENDRIER</vt:lpstr>
      <vt:lpstr>CATCH</vt:lpstr>
      <vt:lpstr>CCC</vt:lpstr>
      <vt:lpstr>CHAMPIONS.LEAGUE.DEPAS</vt:lpstr>
      <vt:lpstr>CHERCHE</vt:lpstr>
      <vt:lpstr>COLLE</vt:lpstr>
      <vt:lpstr>CONFEDERATIONS.DEP</vt:lpstr>
      <vt:lpstr>COULEUR.GRISE</vt:lpstr>
      <vt:lpstr>CVB</vt:lpstr>
      <vt:lpstr>D</vt:lpstr>
      <vt:lpstr>DANS.1</vt:lpstr>
      <vt:lpstr>DANS.2</vt:lpstr>
      <vt:lpstr>DANS.3</vt:lpstr>
      <vt:lpstr>DANS.4</vt:lpstr>
      <vt:lpstr>DANS.5</vt:lpstr>
      <vt:lpstr>DANS.CHAMPIONS.LEAGUE</vt:lpstr>
      <vt:lpstr>DANS.CHAMPIONS.LEAGUE.HEURE</vt:lpstr>
      <vt:lpstr>DANS.CHAMPIONS.LEAGUE.VERIFIER</vt:lpstr>
      <vt:lpstr>DANS.CONFEDERATIONS</vt:lpstr>
      <vt:lpstr>DANS.CONFEDERATIONS.HEURE</vt:lpstr>
      <vt:lpstr>DANS.CONFEDERATIONS.VERIFIER</vt:lpstr>
      <vt:lpstr>DANS.COUPE.FRANCE</vt:lpstr>
      <vt:lpstr>DANS.COUPE.FRANCE.HEURE</vt:lpstr>
      <vt:lpstr>DANS.COUPE.FRANCE.VERIFIER</vt:lpstr>
      <vt:lpstr>DANS.COUPE.LIGUE</vt:lpstr>
      <vt:lpstr>DANS.COUPE.LIGUE.HEURE</vt:lpstr>
      <vt:lpstr>DANS.COUPE.LIGUE.VERIFIER</vt:lpstr>
      <vt:lpstr>DANS.DEP.CONFEDERATIONS</vt:lpstr>
      <vt:lpstr>DANS.DEP.EURO</vt:lpstr>
      <vt:lpstr>DANS.DEP.FRANCE</vt:lpstr>
      <vt:lpstr>DANS.DEP.GP</vt:lpstr>
      <vt:lpstr>DANS.DEP.L1</vt:lpstr>
      <vt:lpstr>DANS.DEP.LDC</vt:lpstr>
      <vt:lpstr>DANS.DEP.LIGUE</vt:lpstr>
      <vt:lpstr>DANS.DEP.MONDIAL</vt:lpstr>
      <vt:lpstr>DANS.DEP.UEFA</vt:lpstr>
      <vt:lpstr>DANS.EURO</vt:lpstr>
      <vt:lpstr>DANS.EURO.HEURE</vt:lpstr>
      <vt:lpstr>DANS.EURO.VERIFIER</vt:lpstr>
      <vt:lpstr>DANS.F1.HEURE</vt:lpstr>
      <vt:lpstr>DANS.FRANCE.VERIFIER</vt:lpstr>
      <vt:lpstr>DANS.GP</vt:lpstr>
      <vt:lpstr>DANS.GP.HEURE</vt:lpstr>
      <vt:lpstr>DANS.GP.VERIFIER</vt:lpstr>
      <vt:lpstr>DANS.JOUR.CHAMPIONS.LEAGUE</vt:lpstr>
      <vt:lpstr>DANS.JOUR.CONFEDERATIONS</vt:lpstr>
      <vt:lpstr>DANS.JOUR.EURO</vt:lpstr>
      <vt:lpstr>DANS.JOUR.FRANCE</vt:lpstr>
      <vt:lpstr>DANS.JOUR.GP</vt:lpstr>
      <vt:lpstr>DANS.JOUR.L1</vt:lpstr>
      <vt:lpstr>DANS.JOUR.LIGUE</vt:lpstr>
      <vt:lpstr>DANS.JOUR.MONDIAL</vt:lpstr>
      <vt:lpstr>DANS.JOUR.UEFA</vt:lpstr>
      <vt:lpstr>DANS.L1</vt:lpstr>
      <vt:lpstr>DANS.L1.HEURE</vt:lpstr>
      <vt:lpstr>DANS.L1.VERIFIER</vt:lpstr>
      <vt:lpstr>DANS.LDC</vt:lpstr>
      <vt:lpstr>DANS.LDC.HEURE</vt:lpstr>
      <vt:lpstr>DANS.LDC.VERIFIER</vt:lpstr>
      <vt:lpstr>DANS.LIGUE.VERIFIER</vt:lpstr>
      <vt:lpstr>DANS.MONDIAL</vt:lpstr>
      <vt:lpstr>DANS.MONDIAL.HEURE</vt:lpstr>
      <vt:lpstr>DANS.MONDIAL.VERIFIER</vt:lpstr>
      <vt:lpstr>DANS.RDV.1</vt:lpstr>
      <vt:lpstr>DANS.RDV.2</vt:lpstr>
      <vt:lpstr>DANS.RDV.3</vt:lpstr>
      <vt:lpstr>DANS.RDV.4</vt:lpstr>
      <vt:lpstr>DANS.RDV.5</vt:lpstr>
      <vt:lpstr>DANS.TV.1</vt:lpstr>
      <vt:lpstr>DANS.TV.2</vt:lpstr>
      <vt:lpstr>DANS.TV.3</vt:lpstr>
      <vt:lpstr>DANS.TV.4</vt:lpstr>
      <vt:lpstr>DANS.UEFA</vt:lpstr>
      <vt:lpstr>DANS.UEFA.HEURE</vt:lpstr>
      <vt:lpstr>DANS.UEFA.VERIFIER</vt:lpstr>
      <vt:lpstr>DATE</vt:lpstr>
      <vt:lpstr>DATE.1</vt:lpstr>
      <vt:lpstr>DATE.2</vt:lpstr>
      <vt:lpstr>DATE.3</vt:lpstr>
      <vt:lpstr>DATE.4</vt:lpstr>
      <vt:lpstr>DATE.5</vt:lpstr>
      <vt:lpstr>DATE.ATTEINDRE</vt:lpstr>
      <vt:lpstr>DATE.CHAMPIONS.LEAGUE</vt:lpstr>
      <vt:lpstr>DATE.COL</vt:lpstr>
      <vt:lpstr>DATE.COLLER</vt:lpstr>
      <vt:lpstr>DATE.COLLER.2</vt:lpstr>
      <vt:lpstr>DATE.CONFEDERATIONS</vt:lpstr>
      <vt:lpstr>DATE.COP</vt:lpstr>
      <vt:lpstr>DATE.COPIER.2</vt:lpstr>
      <vt:lpstr>DATE.DEPASSE</vt:lpstr>
      <vt:lpstr>DATE.EURO</vt:lpstr>
      <vt:lpstr>DATE.FICHIER.A.OUVRIR</vt:lpstr>
      <vt:lpstr>DATE.FINALE</vt:lpstr>
      <vt:lpstr>DATE.FINALE.OUVRIR</vt:lpstr>
      <vt:lpstr>DATE.FRANCE</vt:lpstr>
      <vt:lpstr>DATE.GP</vt:lpstr>
      <vt:lpstr>DATE.HEURE.CONFEDERATION.COLLER</vt:lpstr>
      <vt:lpstr>DATE.HEURE.COUPE.FRANCE.COLLER</vt:lpstr>
      <vt:lpstr>DATE.HEURE.COUPE.LIGUE.COLLER</vt:lpstr>
      <vt:lpstr>DATE.HEURE.EURO.COLLER</vt:lpstr>
      <vt:lpstr>DATE.HEURE.F1.COLLER</vt:lpstr>
      <vt:lpstr>DATE.HEURE.L1.COLLER</vt:lpstr>
      <vt:lpstr>DATE.HEURE.LDC.COLLER</vt:lpstr>
      <vt:lpstr>DATE.HEURE.MONDIAL.COLLER</vt:lpstr>
      <vt:lpstr>DATE.HEURE.UEFA.COLLER</vt:lpstr>
      <vt:lpstr>DATE.L1</vt:lpstr>
      <vt:lpstr>DATE.LDC</vt:lpstr>
      <vt:lpstr>DATE.LIGUE</vt:lpstr>
      <vt:lpstr>DATE.MONDIAL</vt:lpstr>
      <vt:lpstr>DATE.RDV.TV</vt:lpstr>
      <vt:lpstr>DATE.SANS</vt:lpstr>
      <vt:lpstr>DATE.TRI</vt:lpstr>
      <vt:lpstr>DATE.UEFA</vt:lpstr>
      <vt:lpstr>DATE2</vt:lpstr>
      <vt:lpstr>DDD</vt:lpstr>
      <vt:lpstr>DEBUT</vt:lpstr>
      <vt:lpstr>DEBUT.MACRO</vt:lpstr>
      <vt:lpstr>DELAI.TV</vt:lpstr>
      <vt:lpstr>DEM</vt:lpstr>
      <vt:lpstr>DEMAIN</vt:lpstr>
      <vt:lpstr>DEMAIN.RDV</vt:lpstr>
      <vt:lpstr>DEMAIN.TV</vt:lpstr>
      <vt:lpstr>DEP</vt:lpstr>
      <vt:lpstr>DEP.1</vt:lpstr>
      <vt:lpstr>DEP.2</vt:lpstr>
      <vt:lpstr>DEP.3</vt:lpstr>
      <vt:lpstr>DEP.4</vt:lpstr>
      <vt:lpstr>DEP.5</vt:lpstr>
      <vt:lpstr>DEP.CHAMPIONS.LEAGUE</vt:lpstr>
      <vt:lpstr>DEP.CONFEDERATIONS</vt:lpstr>
      <vt:lpstr>DEP.CONFEDERATIONS.VERIFIER</vt:lpstr>
      <vt:lpstr>DEP.COUPE.FRANCE</vt:lpstr>
      <vt:lpstr>DEP.COUPE.LIGUE</vt:lpstr>
      <vt:lpstr>DEP.DATE.1</vt:lpstr>
      <vt:lpstr>DEP.DATE.2</vt:lpstr>
      <vt:lpstr>DEP.DATE.3</vt:lpstr>
      <vt:lpstr>DEP.DATE.4</vt:lpstr>
      <vt:lpstr>DEP.DATE.5</vt:lpstr>
      <vt:lpstr>DEP.DIM</vt:lpstr>
      <vt:lpstr>DEP.EURO</vt:lpstr>
      <vt:lpstr>DEP.EURO.VERIFIER</vt:lpstr>
      <vt:lpstr>DEP.FRANCE.VERIFIER</vt:lpstr>
      <vt:lpstr>DEP.GP</vt:lpstr>
      <vt:lpstr>DEP.GP.VERIFIER</vt:lpstr>
      <vt:lpstr>DEP.JEU</vt:lpstr>
      <vt:lpstr>DEP.L1</vt:lpstr>
      <vt:lpstr>DEP.L1.VERIFIER</vt:lpstr>
      <vt:lpstr>DEP.LDC.VERIFIER</vt:lpstr>
      <vt:lpstr>DEP.LIGUE.VERIFIER</vt:lpstr>
      <vt:lpstr>DEP.LUN</vt:lpstr>
      <vt:lpstr>DEP.MAR</vt:lpstr>
      <vt:lpstr>DEP.MER</vt:lpstr>
      <vt:lpstr>DEP.MONDIAL</vt:lpstr>
      <vt:lpstr>DEP.MONDIAL.VERIFIER</vt:lpstr>
      <vt:lpstr>DEP.RDV.1</vt:lpstr>
      <vt:lpstr>DEP.RDV.2</vt:lpstr>
      <vt:lpstr>DEP.RDV.3</vt:lpstr>
      <vt:lpstr>DEP.RDV.4</vt:lpstr>
      <vt:lpstr>DEP.RDV.5</vt:lpstr>
      <vt:lpstr>DEP.SAM</vt:lpstr>
      <vt:lpstr>DEP.TV</vt:lpstr>
      <vt:lpstr>DEP.TV1</vt:lpstr>
      <vt:lpstr>DEP.TV2</vt:lpstr>
      <vt:lpstr>DEP.TV3</vt:lpstr>
      <vt:lpstr>DEP.TV4</vt:lpstr>
      <vt:lpstr>DEP.UEFA</vt:lpstr>
      <vt:lpstr>DEP.UEFA.VERIFIER</vt:lpstr>
      <vt:lpstr>DEP.VEN</vt:lpstr>
      <vt:lpstr>DEPA</vt:lpstr>
      <vt:lpstr>DEPA.DEP</vt:lpstr>
      <vt:lpstr>DEPA.DEP.2</vt:lpstr>
      <vt:lpstr>DEPAS.1</vt:lpstr>
      <vt:lpstr>DEPAS.2</vt:lpstr>
      <vt:lpstr>DEPAS.3</vt:lpstr>
      <vt:lpstr>DEPAS.4</vt:lpstr>
      <vt:lpstr>DEPAS.5</vt:lpstr>
      <vt:lpstr>DEPASC</vt:lpstr>
      <vt:lpstr>DEPASSE</vt:lpstr>
      <vt:lpstr>DEPP</vt:lpstr>
      <vt:lpstr>DEPUIS</vt:lpstr>
      <vt:lpstr>DIF.CONFEDERATIONS</vt:lpstr>
      <vt:lpstr>DIF.EURO</vt:lpstr>
      <vt:lpstr>DIF.FRANCE</vt:lpstr>
      <vt:lpstr>DIF.GP</vt:lpstr>
      <vt:lpstr>DIF.L1</vt:lpstr>
      <vt:lpstr>DIF.LDC</vt:lpstr>
      <vt:lpstr>DIF.LIGUE</vt:lpstr>
      <vt:lpstr>DIF.MONDIAL</vt:lpstr>
      <vt:lpstr>DIF.UEFA</vt:lpstr>
      <vt:lpstr>DIFFERENCE.1</vt:lpstr>
      <vt:lpstr>DIFFERENCE.2</vt:lpstr>
      <vt:lpstr>DIFFERENCE.3</vt:lpstr>
      <vt:lpstr>DIFFERENCE.4</vt:lpstr>
      <vt:lpstr>DIFFERENCE.5</vt:lpstr>
      <vt:lpstr>DIMANCHE</vt:lpstr>
      <vt:lpstr>DIMANCHE.1</vt:lpstr>
      <vt:lpstr>DIMANCHE.1.TV</vt:lpstr>
      <vt:lpstr>DIMANCHE.2</vt:lpstr>
      <vt:lpstr>DIMANCHE.2.TV</vt:lpstr>
      <vt:lpstr>DIMANCHE.3</vt:lpstr>
      <vt:lpstr>DIMANCHE.3.TV</vt:lpstr>
      <vt:lpstr>DIMANCHE.4</vt:lpstr>
      <vt:lpstr>DIMANCHE.4.TV</vt:lpstr>
      <vt:lpstr>DIMANCHE.DANS</vt:lpstr>
      <vt:lpstr>DIMANCHE.DATE</vt:lpstr>
      <vt:lpstr>DIMANCHE.HEURE.1</vt:lpstr>
      <vt:lpstr>DIMANCHE.HEURE.2</vt:lpstr>
      <vt:lpstr>DIMANCHE.HEURE.3</vt:lpstr>
      <vt:lpstr>DIMANCHE.HEURE.4</vt:lpstr>
      <vt:lpstr>DIMANCHE.PROG.1</vt:lpstr>
      <vt:lpstr>DIMANCHE.PROG.2</vt:lpstr>
      <vt:lpstr>DIMANCHE.PROG.3</vt:lpstr>
      <vt:lpstr>DIMANCHE.PROG.4</vt:lpstr>
      <vt:lpstr>DIMANCHE.PROG.RESTE</vt:lpstr>
      <vt:lpstr>DIMANCHE.TV</vt:lpstr>
      <vt:lpstr>DIMANCHE.TV.1</vt:lpstr>
      <vt:lpstr>DIMANCHE.TV.2</vt:lpstr>
      <vt:lpstr>DIMANCHE.TV.3</vt:lpstr>
      <vt:lpstr>DIMANCHE.TV.4</vt:lpstr>
      <vt:lpstr>DIMANCHE.VERIFIER</vt:lpstr>
      <vt:lpstr>DRT</vt:lpstr>
      <vt:lpstr>E</vt:lpstr>
      <vt:lpstr>ECRITURE</vt:lpstr>
      <vt:lpstr>EFF</vt:lpstr>
      <vt:lpstr>EFF.TV</vt:lpstr>
      <vt:lpstr>EFFACE.TV</vt:lpstr>
      <vt:lpstr>ENCOURS</vt:lpstr>
      <vt:lpstr>ENVIE</vt:lpstr>
      <vt:lpstr>ENVIE.DATE</vt:lpstr>
      <vt:lpstr>ENVIE.DEP</vt:lpstr>
      <vt:lpstr>ERREUR.DATE</vt:lpstr>
      <vt:lpstr>EURO</vt:lpstr>
      <vt:lpstr>EURO.DEP</vt:lpstr>
      <vt:lpstr>EURO.JOUR</vt:lpstr>
      <vt:lpstr>EVE.DEP</vt:lpstr>
      <vt:lpstr>EVE.DEPAS</vt:lpstr>
      <vt:lpstr>EVENEMENTS.DEPAS</vt:lpstr>
      <vt:lpstr>F</vt:lpstr>
      <vt:lpstr>F1.DEP</vt:lpstr>
      <vt:lpstr>FERIE</vt:lpstr>
      <vt:lpstr>FERIE.2</vt:lpstr>
      <vt:lpstr>FERIE.3</vt:lpstr>
      <vt:lpstr>FERIE.4</vt:lpstr>
      <vt:lpstr>FEUILLE.1</vt:lpstr>
      <vt:lpstr>FEUILLE.10</vt:lpstr>
      <vt:lpstr>FEUILLE.2</vt:lpstr>
      <vt:lpstr>FEUILLE.3</vt:lpstr>
      <vt:lpstr>FEUILLE.5</vt:lpstr>
      <vt:lpstr>FEUILLE.6</vt:lpstr>
      <vt:lpstr>FEUILLE.7</vt:lpstr>
      <vt:lpstr>FEUILLE.8</vt:lpstr>
      <vt:lpstr>FEUILLE.9</vt:lpstr>
      <vt:lpstr>FICHIER.A.MODIFIER</vt:lpstr>
      <vt:lpstr>FIN</vt:lpstr>
      <vt:lpstr>FIN.MACRO</vt:lpstr>
      <vt:lpstr>FOFO</vt:lpstr>
      <vt:lpstr>FRANCE.DEP</vt:lpstr>
      <vt:lpstr>GGG</vt:lpstr>
      <vt:lpstr>H.M</vt:lpstr>
      <vt:lpstr>H.M.3</vt:lpstr>
      <vt:lpstr>HEURE.1</vt:lpstr>
      <vt:lpstr>HEURE.2</vt:lpstr>
      <vt:lpstr>HEURE.3</vt:lpstr>
      <vt:lpstr>HEURE.4</vt:lpstr>
      <vt:lpstr>HEURE.5</vt:lpstr>
      <vt:lpstr>HEURE.CHAMPIONS.LEAGUE</vt:lpstr>
      <vt:lpstr>HEURE.CONFEDERATIONS</vt:lpstr>
      <vt:lpstr>HEURE.CONFEDERATIONS.VERIFIER</vt:lpstr>
      <vt:lpstr>HEURE.COUPE.FRANCE</vt:lpstr>
      <vt:lpstr>HEURE.COUPE.LIGUE</vt:lpstr>
      <vt:lpstr>HEURE.DE.LA.TV</vt:lpstr>
      <vt:lpstr>HEURE.DU.RDV</vt:lpstr>
      <vt:lpstr>HEURE.ENVIE.1</vt:lpstr>
      <vt:lpstr>HEURE.ENVIE.2</vt:lpstr>
      <vt:lpstr>HEURE.EURO</vt:lpstr>
      <vt:lpstr>HEURE.EURO.VERIFIER</vt:lpstr>
      <vt:lpstr>HEURE.F1</vt:lpstr>
      <vt:lpstr>HEURE.FRANCE</vt:lpstr>
      <vt:lpstr>HEURE.FRANCE.VERIFIER</vt:lpstr>
      <vt:lpstr>HEURE.GP</vt:lpstr>
      <vt:lpstr>HEURE.GP.VERIFIER</vt:lpstr>
      <vt:lpstr>HEURE.L1</vt:lpstr>
      <vt:lpstr>HEURE.L1.VERIFIER</vt:lpstr>
      <vt:lpstr>HEURE.LDC</vt:lpstr>
      <vt:lpstr>HEURE.LDC.VERIFIER</vt:lpstr>
      <vt:lpstr>HEURE.LIGUE</vt:lpstr>
      <vt:lpstr>HEURE.LIGUE.VERIFIER</vt:lpstr>
      <vt:lpstr>HEURE.MAINTENANT</vt:lpstr>
      <vt:lpstr>HEURE.MAINTENANT.2</vt:lpstr>
      <vt:lpstr>HEURE.MONDIAL</vt:lpstr>
      <vt:lpstr>HEURE.MONDIAL.VERIFIER</vt:lpstr>
      <vt:lpstr>HEURE.RDV</vt:lpstr>
      <vt:lpstr>HEURE.RDV1</vt:lpstr>
      <vt:lpstr>HEURE.RDV2</vt:lpstr>
      <vt:lpstr>HEURE.RDV3</vt:lpstr>
      <vt:lpstr>HEURE.RDV4</vt:lpstr>
      <vt:lpstr>HEURE.UEFA</vt:lpstr>
      <vt:lpstr>HEURE.UEFA.VERIFIER</vt:lpstr>
      <vt:lpstr>HJK</vt:lpstr>
      <vt:lpstr>HORAIRE</vt:lpstr>
      <vt:lpstr>J</vt:lpstr>
      <vt:lpstr>JEUDI</vt:lpstr>
      <vt:lpstr>JEUDI.1</vt:lpstr>
      <vt:lpstr>JEUDI.1.TV</vt:lpstr>
      <vt:lpstr>JEUDI.2</vt:lpstr>
      <vt:lpstr>JEUDI.2.TV</vt:lpstr>
      <vt:lpstr>JEUDI.3</vt:lpstr>
      <vt:lpstr>JEUDI.3.TV</vt:lpstr>
      <vt:lpstr>JEUDI.4</vt:lpstr>
      <vt:lpstr>JEUDI.4.TV</vt:lpstr>
      <vt:lpstr>JEUDI.DANS</vt:lpstr>
      <vt:lpstr>JEUDI.DATE</vt:lpstr>
      <vt:lpstr>JEUDI.HEURE.1</vt:lpstr>
      <vt:lpstr>JEUDI.HEURE.2</vt:lpstr>
      <vt:lpstr>JEUDI.HEURE.3</vt:lpstr>
      <vt:lpstr>JEUDI.HEURE.4</vt:lpstr>
      <vt:lpstr>JEUDI.PROG.1</vt:lpstr>
      <vt:lpstr>JEUDI.PROG.2</vt:lpstr>
      <vt:lpstr>JEUDI.PROG.3</vt:lpstr>
      <vt:lpstr>JEUDI.PROG.4</vt:lpstr>
      <vt:lpstr>JEUDI.PROG.RESTE</vt:lpstr>
      <vt:lpstr>JEUDI.TV</vt:lpstr>
      <vt:lpstr>JEUDI.TV.1</vt:lpstr>
      <vt:lpstr>JEUDI.TV.2</vt:lpstr>
      <vt:lpstr>JEUDI.TV.3</vt:lpstr>
      <vt:lpstr>JEUDI.TV.4</vt:lpstr>
      <vt:lpstr>JEUDI.VERIFIER</vt:lpstr>
      <vt:lpstr>JH</vt:lpstr>
      <vt:lpstr>JOUR</vt:lpstr>
      <vt:lpstr>JOUR.ATTEINDRE</vt:lpstr>
      <vt:lpstr>JOUR.CONFEDERATIONS</vt:lpstr>
      <vt:lpstr>JOUR.COUPE.FRANCE</vt:lpstr>
      <vt:lpstr>JOUR.COUPE.LIGUE</vt:lpstr>
      <vt:lpstr>JOUR.EURO</vt:lpstr>
      <vt:lpstr>JOUR.FRANCE</vt:lpstr>
      <vt:lpstr>JOUR.GP</vt:lpstr>
      <vt:lpstr>JOUR.HEURE</vt:lpstr>
      <vt:lpstr>JOUR.HEURE.2</vt:lpstr>
      <vt:lpstr>JOUR.L1</vt:lpstr>
      <vt:lpstr>JOUR.LDC</vt:lpstr>
      <vt:lpstr>JOUR.LIGUE</vt:lpstr>
      <vt:lpstr>JOUR.MONDIAL</vt:lpstr>
      <vt:lpstr>JOUR.NUIT</vt:lpstr>
      <vt:lpstr>JOUR.PLUS</vt:lpstr>
      <vt:lpstr>JOUR.SEMAINE</vt:lpstr>
      <vt:lpstr>JOUR.UEFA</vt:lpstr>
      <vt:lpstr>KLM</vt:lpstr>
      <vt:lpstr>L1.DEP</vt:lpstr>
      <vt:lpstr>LDC.1</vt:lpstr>
      <vt:lpstr>LDC.2</vt:lpstr>
      <vt:lpstr>LDC.DEP</vt:lpstr>
      <vt:lpstr>LIGUE.DEP</vt:lpstr>
      <vt:lpstr>LKJ</vt:lpstr>
      <vt:lpstr>LUNDI</vt:lpstr>
      <vt:lpstr>LUNDI.1</vt:lpstr>
      <vt:lpstr>LUNDI.1.TV</vt:lpstr>
      <vt:lpstr>LUNDI.2</vt:lpstr>
      <vt:lpstr>LUNDI.2.TV</vt:lpstr>
      <vt:lpstr>LUNDI.3</vt:lpstr>
      <vt:lpstr>LUNDI.3.TV</vt:lpstr>
      <vt:lpstr>LUNDI.4</vt:lpstr>
      <vt:lpstr>LUNDI.4.TV</vt:lpstr>
      <vt:lpstr>LUNDI.DANS</vt:lpstr>
      <vt:lpstr>LUNDI.DATE</vt:lpstr>
      <vt:lpstr>LUNDI.HEURE.1</vt:lpstr>
      <vt:lpstr>LUNDI.HEURE.2</vt:lpstr>
      <vt:lpstr>LUNDI.HEURE.3</vt:lpstr>
      <vt:lpstr>LUNDI.HEURE.4</vt:lpstr>
      <vt:lpstr>LUNDI.PROG.1</vt:lpstr>
      <vt:lpstr>LUNDI.PROG.2</vt:lpstr>
      <vt:lpstr>LUNDI.PROG.3</vt:lpstr>
      <vt:lpstr>LUNDI.PROG.4</vt:lpstr>
      <vt:lpstr>LUNDI.PROG.RESTE</vt:lpstr>
      <vt:lpstr>LUNDI.TV</vt:lpstr>
      <vt:lpstr>LUNDI.TV.1</vt:lpstr>
      <vt:lpstr>LUNDI.TV.2</vt:lpstr>
      <vt:lpstr>LUNDI.TV.3</vt:lpstr>
      <vt:lpstr>LUNDI.TV.4</vt:lpstr>
      <vt:lpstr>LUNDI.VERIFIER</vt:lpstr>
      <vt:lpstr>M</vt:lpstr>
      <vt:lpstr>MAINTENANT</vt:lpstr>
      <vt:lpstr>MAJ</vt:lpstr>
      <vt:lpstr>MARDI</vt:lpstr>
      <vt:lpstr>MARDI.1</vt:lpstr>
      <vt:lpstr>MARDI.1.TV</vt:lpstr>
      <vt:lpstr>MARDI.2</vt:lpstr>
      <vt:lpstr>MARDI.2.TV</vt:lpstr>
      <vt:lpstr>MARDI.3</vt:lpstr>
      <vt:lpstr>MARDI.3.TV</vt:lpstr>
      <vt:lpstr>MARDI.4</vt:lpstr>
      <vt:lpstr>MARDI.4.TV</vt:lpstr>
      <vt:lpstr>MARDI.DANS</vt:lpstr>
      <vt:lpstr>MARDI.DATE</vt:lpstr>
      <vt:lpstr>MARDI.HEURE.1</vt:lpstr>
      <vt:lpstr>MARDI.HEURE.2</vt:lpstr>
      <vt:lpstr>MARDI.HEURE.3</vt:lpstr>
      <vt:lpstr>MARDI.HEURE.4</vt:lpstr>
      <vt:lpstr>MARDI.PROG.1</vt:lpstr>
      <vt:lpstr>MARDI.PROG.2</vt:lpstr>
      <vt:lpstr>MARDI.PROG.3</vt:lpstr>
      <vt:lpstr>MARDI.PROG.4</vt:lpstr>
      <vt:lpstr>MARDI.PROG.RESTE</vt:lpstr>
      <vt:lpstr>MARDI.TV</vt:lpstr>
      <vt:lpstr>MARDI.TV.1</vt:lpstr>
      <vt:lpstr>MARDI.TV.2</vt:lpstr>
      <vt:lpstr>MARDI.TV.3</vt:lpstr>
      <vt:lpstr>MARDI.TV.4</vt:lpstr>
      <vt:lpstr>MARDI.VERIFIER</vt:lpstr>
      <vt:lpstr>MEDOC</vt:lpstr>
      <vt:lpstr>MEDOC.ATTEINDRE</vt:lpstr>
      <vt:lpstr>MEDOC.EFFACE</vt:lpstr>
      <vt:lpstr>MERCREDI</vt:lpstr>
      <vt:lpstr>MERCREDI.1</vt:lpstr>
      <vt:lpstr>MERCREDI.1.TV</vt:lpstr>
      <vt:lpstr>MERCREDI.2</vt:lpstr>
      <vt:lpstr>MERCREDI.2.TV</vt:lpstr>
      <vt:lpstr>MERCREDI.3</vt:lpstr>
      <vt:lpstr>MERCREDI.3.TV</vt:lpstr>
      <vt:lpstr>MERCREDI.4</vt:lpstr>
      <vt:lpstr>MERCREDI.4.TV</vt:lpstr>
      <vt:lpstr>MERCREDI.DANS</vt:lpstr>
      <vt:lpstr>MERCREDI.DATE</vt:lpstr>
      <vt:lpstr>MERCREDI.HEURE.1</vt:lpstr>
      <vt:lpstr>MERCREDI.HEURE.2</vt:lpstr>
      <vt:lpstr>MERCREDI.HEURE.3</vt:lpstr>
      <vt:lpstr>MERCREDI.HEURE.4</vt:lpstr>
      <vt:lpstr>MERCREDI.PROG.1</vt:lpstr>
      <vt:lpstr>MERCREDI.PROG.2</vt:lpstr>
      <vt:lpstr>MERCREDI.PROG.3</vt:lpstr>
      <vt:lpstr>MERCREDI.PROG.4</vt:lpstr>
      <vt:lpstr>MERCREDI.PROG.RESTE</vt:lpstr>
      <vt:lpstr>MERCREDI.TV</vt:lpstr>
      <vt:lpstr>MERCREDI.TV.1</vt:lpstr>
      <vt:lpstr>MERCREDI.TV.2</vt:lpstr>
      <vt:lpstr>MERCREDI.TV.3</vt:lpstr>
      <vt:lpstr>MERCREDI.TV.4</vt:lpstr>
      <vt:lpstr>MERCREDI.VERIFIER</vt:lpstr>
      <vt:lpstr>MIN.1</vt:lpstr>
      <vt:lpstr>MIN.2</vt:lpstr>
      <vt:lpstr>MIN.3</vt:lpstr>
      <vt:lpstr>MIN.4</vt:lpstr>
      <vt:lpstr>MIN.DIF.1</vt:lpstr>
      <vt:lpstr>MIN.DIF.2</vt:lpstr>
      <vt:lpstr>MIN.DIF.3</vt:lpstr>
      <vt:lpstr>MIN.DIF.4</vt:lpstr>
      <vt:lpstr>MIN.DIF.5</vt:lpstr>
      <vt:lpstr>MIN.DIFFERENCE.1</vt:lpstr>
      <vt:lpstr>MIN.DIFFERENCE.2</vt:lpstr>
      <vt:lpstr>MIN.DIFFERENCE.3</vt:lpstr>
      <vt:lpstr>MIN.DIFFERENCE.4</vt:lpstr>
      <vt:lpstr>MIN.DIFFERENCE.5</vt:lpstr>
      <vt:lpstr>MINU.1</vt:lpstr>
      <vt:lpstr>MINU.2</vt:lpstr>
      <vt:lpstr>MINU.3</vt:lpstr>
      <vt:lpstr>MINU.4</vt:lpstr>
      <vt:lpstr>MINU.5</vt:lpstr>
      <vt:lpstr>MLK</vt:lpstr>
      <vt:lpstr>MODIF</vt:lpstr>
      <vt:lpstr>MODIF.2</vt:lpstr>
      <vt:lpstr>MOIS</vt:lpstr>
      <vt:lpstr>MOIS.2</vt:lpstr>
      <vt:lpstr>MOIS.MAINTENANT</vt:lpstr>
      <vt:lpstr>MOIS.MAINTENANT.2</vt:lpstr>
      <vt:lpstr>MONDIAL.DEP</vt:lpstr>
      <vt:lpstr>MP</vt:lpstr>
      <vt:lpstr>NBA</vt:lpstr>
      <vt:lpstr>NBR.DEP</vt:lpstr>
      <vt:lpstr>NBR.RDV</vt:lpstr>
      <vt:lpstr>NBR.RDV.DEPAS</vt:lpstr>
      <vt:lpstr>NBR.TV</vt:lpstr>
      <vt:lpstr>NBR.TV.DEP</vt:lpstr>
      <vt:lpstr>NBR.TV.DEPAS</vt:lpstr>
      <vt:lpstr>NOEL</vt:lpstr>
      <vt:lpstr>NOMBRE.RDV</vt:lpstr>
      <vt:lpstr>PAQUES</vt:lpstr>
      <vt:lpstr>PHRASE</vt:lpstr>
      <vt:lpstr>PHRASE.2</vt:lpstr>
      <vt:lpstr>PHRASE.3</vt:lpstr>
      <vt:lpstr>PHRASE.4</vt:lpstr>
      <vt:lpstr>PHRASE.COPIER</vt:lpstr>
      <vt:lpstr>PHRASE.RDV.1</vt:lpstr>
      <vt:lpstr>PHRASE.RDV.2</vt:lpstr>
      <vt:lpstr>PHRASE.RDV.3</vt:lpstr>
      <vt:lpstr>PHRASE.RDV.4</vt:lpstr>
      <vt:lpstr>PHRASE.RDV.5</vt:lpstr>
      <vt:lpstr>PHRASE.SUITE</vt:lpstr>
      <vt:lpstr>PHRASES</vt:lpstr>
      <vt:lpstr>PLUS</vt:lpstr>
      <vt:lpstr>PLUS.TV</vt:lpstr>
      <vt:lpstr>PROCHAIN.1</vt:lpstr>
      <vt:lpstr>PROCHAIN.2</vt:lpstr>
      <vt:lpstr>PROCHAIN.3</vt:lpstr>
      <vt:lpstr>PROCHAIN.4</vt:lpstr>
      <vt:lpstr>PROCHAIN.5</vt:lpstr>
      <vt:lpstr>PROG.DEP</vt:lpstr>
      <vt:lpstr>PROG.DIMANCHE</vt:lpstr>
      <vt:lpstr>PROG.JEUDI</vt:lpstr>
      <vt:lpstr>PROG.LUNDI</vt:lpstr>
      <vt:lpstr>PROG.MARDI</vt:lpstr>
      <vt:lpstr>PROG.MERCREDI</vt:lpstr>
      <vt:lpstr>PROG.SAMEDI</vt:lpstr>
      <vt:lpstr>PROG.VENDREDI</vt:lpstr>
      <vt:lpstr>PROGRAMME</vt:lpstr>
      <vt:lpstr>PROGRAMME.ATTEINDRE</vt:lpstr>
      <vt:lpstr>PROGRAMME.JOUR</vt:lpstr>
      <vt:lpstr>PROGRAMMES</vt:lpstr>
      <vt:lpstr>PROGRAMMES.DEP</vt:lpstr>
      <vt:lpstr>PROGRAMMES.DEPASSE.2</vt:lpstr>
      <vt:lpstr>Q</vt:lpstr>
      <vt:lpstr>QQ</vt:lpstr>
      <vt:lpstr>QSD</vt:lpstr>
      <vt:lpstr>RDV</vt:lpstr>
      <vt:lpstr>RDV.1</vt:lpstr>
      <vt:lpstr>RDV.1.DATE</vt:lpstr>
      <vt:lpstr>RDV.1.HEURE</vt:lpstr>
      <vt:lpstr>RDV.1.MIN</vt:lpstr>
      <vt:lpstr>RDV.2</vt:lpstr>
      <vt:lpstr>RDV.2.DATE</vt:lpstr>
      <vt:lpstr>RDV.2.HEURE</vt:lpstr>
      <vt:lpstr>RDV.2.MIN</vt:lpstr>
      <vt:lpstr>RDV.3</vt:lpstr>
      <vt:lpstr>RDV.3.DATE</vt:lpstr>
      <vt:lpstr>RDV.3.HEURE</vt:lpstr>
      <vt:lpstr>RDV.3.MIN</vt:lpstr>
      <vt:lpstr>RDV.4</vt:lpstr>
      <vt:lpstr>RDV.4.DATE</vt:lpstr>
      <vt:lpstr>RDV.4.HEURE</vt:lpstr>
      <vt:lpstr>RDV.4.MIN</vt:lpstr>
      <vt:lpstr>RDV.5</vt:lpstr>
      <vt:lpstr>RDV.5.DATE</vt:lpstr>
      <vt:lpstr>RDV.5.HEURE</vt:lpstr>
      <vt:lpstr>RDV.5.MIN</vt:lpstr>
      <vt:lpstr>RDV.ATTEINDRE</vt:lpstr>
      <vt:lpstr>RDV.DEP</vt:lpstr>
      <vt:lpstr>RDV.DEPAS</vt:lpstr>
      <vt:lpstr>RDV.DEPASSE</vt:lpstr>
      <vt:lpstr>RDV.SUITE</vt:lpstr>
      <vt:lpstr>RDV.TABLEAU</vt:lpstr>
      <vt:lpstr>RDV.TRI</vt:lpstr>
      <vt:lpstr>RDV.TV</vt:lpstr>
      <vt:lpstr>RDV.TV.COPIER</vt:lpstr>
      <vt:lpstr>RDV.VERIFIER</vt:lpstr>
      <vt:lpstr>RDV2.1</vt:lpstr>
      <vt:lpstr>RDV2.2</vt:lpstr>
      <vt:lpstr>RDV2.3</vt:lpstr>
      <vt:lpstr>RDV2.4</vt:lpstr>
      <vt:lpstr>RDV2.5</vt:lpstr>
      <vt:lpstr>RECAP</vt:lpstr>
      <vt:lpstr>RECAPITULATIF</vt:lpstr>
      <vt:lpstr>REDUITE</vt:lpstr>
      <vt:lpstr>RESULT</vt:lpstr>
      <vt:lpstr>SAMEDI</vt:lpstr>
      <vt:lpstr>SAMEDI.1</vt:lpstr>
      <vt:lpstr>SAMEDI.1.TV</vt:lpstr>
      <vt:lpstr>SAMEDI.2</vt:lpstr>
      <vt:lpstr>SAMEDI.2.TV</vt:lpstr>
      <vt:lpstr>SAMEDI.3</vt:lpstr>
      <vt:lpstr>SAMEDI.3.TV</vt:lpstr>
      <vt:lpstr>SAMEDI.4</vt:lpstr>
      <vt:lpstr>SAMEDI.4.TV</vt:lpstr>
      <vt:lpstr>SAMEDI.DANS</vt:lpstr>
      <vt:lpstr>SAMEDI.DATE</vt:lpstr>
      <vt:lpstr>SAMEDI.HEURE.1</vt:lpstr>
      <vt:lpstr>SAMEDI.HEURE.2</vt:lpstr>
      <vt:lpstr>SAMEDI.HEURE.3</vt:lpstr>
      <vt:lpstr>SAMEDI.HEURE.4</vt:lpstr>
      <vt:lpstr>SAMEDI.PROG.1</vt:lpstr>
      <vt:lpstr>SAMEDI.PROG.2</vt:lpstr>
      <vt:lpstr>SAMEDI.PROG.3</vt:lpstr>
      <vt:lpstr>SAMEDI.PROG.4</vt:lpstr>
      <vt:lpstr>SAMEDI.PROG.RESTE</vt:lpstr>
      <vt:lpstr>SAMEDI.TV</vt:lpstr>
      <vt:lpstr>SAMEDI.TV.1</vt:lpstr>
      <vt:lpstr>SAMEDI.TV.2</vt:lpstr>
      <vt:lpstr>SAMEDI.TV.3</vt:lpstr>
      <vt:lpstr>SAMEDI.TV.4</vt:lpstr>
      <vt:lpstr>SAMEDI.VERIFIER</vt:lpstr>
      <vt:lpstr>SEM</vt:lpstr>
      <vt:lpstr>SEMAINE</vt:lpstr>
      <vt:lpstr>SEMAINE.REDUITE</vt:lpstr>
      <vt:lpstr>SOMME.EN.EURO</vt:lpstr>
      <vt:lpstr>SOMME.EN.FRANCS</vt:lpstr>
      <vt:lpstr>TABAC</vt:lpstr>
      <vt:lpstr>TABLEAU</vt:lpstr>
      <vt:lpstr>TAUX.EURO</vt:lpstr>
      <vt:lpstr>TELE</vt:lpstr>
      <vt:lpstr>TELE.2</vt:lpstr>
      <vt:lpstr>TELE.JOUR</vt:lpstr>
      <vt:lpstr>TEMPS</vt:lpstr>
      <vt:lpstr>TEMPS.1</vt:lpstr>
      <vt:lpstr>TEMPS.2</vt:lpstr>
      <vt:lpstr>TEMPS.3</vt:lpstr>
      <vt:lpstr>TEMPS.4</vt:lpstr>
      <vt:lpstr>TODAY</vt:lpstr>
      <vt:lpstr>TODAY.RDV</vt:lpstr>
      <vt:lpstr>TODAY.TV</vt:lpstr>
      <vt:lpstr>TRI.99</vt:lpstr>
      <vt:lpstr>TRI.ATTEINDRE</vt:lpstr>
      <vt:lpstr>TRI.ESSAI</vt:lpstr>
      <vt:lpstr>TRI.RDV.3</vt:lpstr>
      <vt:lpstr>TTT</vt:lpstr>
      <vt:lpstr>TV</vt:lpstr>
      <vt:lpstr>TV.COLLER</vt:lpstr>
      <vt:lpstr>TV.COPIER</vt:lpstr>
      <vt:lpstr>TV.DEP</vt:lpstr>
      <vt:lpstr>TV.DEPAS</vt:lpstr>
      <vt:lpstr>TV.DEPASSE</vt:lpstr>
      <vt:lpstr>TV.SUITE</vt:lpstr>
      <vt:lpstr>TV.VERIFIER</vt:lpstr>
      <vt:lpstr>TV.VIDE</vt:lpstr>
      <vt:lpstr>TYPE</vt:lpstr>
      <vt:lpstr>TYPE.1</vt:lpstr>
      <vt:lpstr>TYPE.2</vt:lpstr>
      <vt:lpstr>TYPE.3</vt:lpstr>
      <vt:lpstr>TYPE.4</vt:lpstr>
      <vt:lpstr>TYPE.5</vt:lpstr>
      <vt:lpstr>UEFA.DEP</vt:lpstr>
      <vt:lpstr>VENDREDI</vt:lpstr>
      <vt:lpstr>VENDREDI.1</vt:lpstr>
      <vt:lpstr>VENDREDI.1.TV</vt:lpstr>
      <vt:lpstr>VENDREDI.2</vt:lpstr>
      <vt:lpstr>VENDREDI.2.TV</vt:lpstr>
      <vt:lpstr>VENDREDI.3</vt:lpstr>
      <vt:lpstr>VENDREDI.3.TV</vt:lpstr>
      <vt:lpstr>VENDREDI.4</vt:lpstr>
      <vt:lpstr>VENDREDI.4.TV</vt:lpstr>
      <vt:lpstr>VENDREDI.DANS</vt:lpstr>
      <vt:lpstr>VENDREDI.DATE</vt:lpstr>
      <vt:lpstr>VENDREDI.HEURE.1</vt:lpstr>
      <vt:lpstr>VENDREDI.HEURE.2</vt:lpstr>
      <vt:lpstr>VENDREDI.HEURE.3</vt:lpstr>
      <vt:lpstr>VENDREDI.HEURE.4</vt:lpstr>
      <vt:lpstr>VENDREDI.PROG.1</vt:lpstr>
      <vt:lpstr>VENDREDI.PROG.2</vt:lpstr>
      <vt:lpstr>VENDREDI.PROG.3</vt:lpstr>
      <vt:lpstr>VENDREDI.PROG.4</vt:lpstr>
      <vt:lpstr>VENDREDI.PROG.RESTE</vt:lpstr>
      <vt:lpstr>VENDREDI.TV</vt:lpstr>
      <vt:lpstr>VENDREDI.TV.1</vt:lpstr>
      <vt:lpstr>VENDREDI.TV.2</vt:lpstr>
      <vt:lpstr>VENDREDI.TV.3</vt:lpstr>
      <vt:lpstr>VENDREDI.TV.4</vt:lpstr>
      <vt:lpstr>VENDREDI.VERIFIER</vt:lpstr>
      <vt:lpstr>VER</vt:lpstr>
      <vt:lpstr>VER.99</vt:lpstr>
      <vt:lpstr>VER.COL</vt:lpstr>
      <vt:lpstr>VER.COP</vt:lpstr>
      <vt:lpstr>VER.JUSTE.FAUX</vt:lpstr>
      <vt:lpstr>VERIF</vt:lpstr>
      <vt:lpstr>VERIF.RESULTATS</vt:lpstr>
      <vt:lpstr>VERIF.TOTAL</vt:lpstr>
      <vt:lpstr>WWE</vt:lpstr>
      <vt:lpstr>WWW</vt:lpstr>
      <vt:lpstr>X</vt:lpstr>
      <vt:lpstr>XXX</vt:lpstr>
      <vt:lpstr>ATTEINDRE!Zone_d_impression</vt:lpstr>
      <vt:lpstr>SUITE!Zone_d_impression</vt:lpstr>
      <vt:lpstr>TABLEAU!Zone_d_impression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Mr Cedrik BAGES</dc:creator>
  <cp:lastModifiedBy>Olympien</cp:lastModifiedBy>
  <cp:lastPrinted>2019-02-15T00:20:19Z</cp:lastPrinted>
  <dcterms:created xsi:type="dcterms:W3CDTF">2009-01-21T22:44:02Z</dcterms:created>
  <dcterms:modified xsi:type="dcterms:W3CDTF">2019-11-02T12:00:35Z</dcterms:modified>
</cp:coreProperties>
</file>