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5600" windowHeight="117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/>
  <c r="J3"/>
  <c r="J4"/>
  <c r="J5"/>
  <c r="J6"/>
  <c r="J7"/>
  <c r="J8"/>
  <c r="J9"/>
  <c r="J11"/>
  <c r="J12"/>
  <c r="J10"/>
  <c r="I2"/>
  <c r="M12"/>
  <c r="M3"/>
  <c r="M4"/>
  <c r="M5"/>
  <c r="M6"/>
  <c r="M7"/>
  <c r="M8"/>
  <c r="M9"/>
  <c r="M10"/>
  <c r="M11"/>
  <c r="L3"/>
  <c r="L4"/>
  <c r="L5"/>
  <c r="L6"/>
  <c r="L7"/>
  <c r="L8"/>
  <c r="L9"/>
  <c r="L10"/>
  <c r="L11"/>
  <c r="L12"/>
  <c r="K3"/>
  <c r="K4"/>
  <c r="K5"/>
  <c r="K6"/>
  <c r="K7"/>
  <c r="K8"/>
  <c r="K9"/>
  <c r="K10"/>
  <c r="K11"/>
  <c r="K12"/>
  <c r="I3"/>
  <c r="I4"/>
  <c r="I5"/>
  <c r="I6"/>
  <c r="I7"/>
  <c r="I8"/>
  <c r="I9"/>
  <c r="I10"/>
  <c r="I11"/>
  <c r="I12"/>
  <c r="AP12" l="1"/>
  <c r="AO12"/>
  <c r="AN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E12"/>
  <c r="D12"/>
  <c r="C12"/>
  <c r="B12"/>
  <c r="A12"/>
  <c r="AP11"/>
  <c r="AO11"/>
  <c r="AN11"/>
  <c r="AI11"/>
  <c r="AG11"/>
  <c r="AF11"/>
  <c r="AE11"/>
  <c r="AD11"/>
  <c r="AB11"/>
  <c r="Y11"/>
  <c r="X11"/>
  <c r="W11"/>
  <c r="V11"/>
  <c r="U11"/>
  <c r="T11"/>
  <c r="S11"/>
  <c r="R11"/>
  <c r="Q11"/>
  <c r="P11"/>
  <c r="O11"/>
  <c r="N11"/>
  <c r="E11"/>
  <c r="D11"/>
  <c r="C11"/>
  <c r="B11"/>
  <c r="A11"/>
  <c r="AP10"/>
  <c r="AO10"/>
  <c r="AN10"/>
  <c r="AI10"/>
  <c r="AG10"/>
  <c r="AF10"/>
  <c r="AE10"/>
  <c r="AD10"/>
  <c r="AB10"/>
  <c r="Y10"/>
  <c r="X10"/>
  <c r="W10"/>
  <c r="V10"/>
  <c r="U10"/>
  <c r="T10"/>
  <c r="S10"/>
  <c r="R10"/>
  <c r="Q10"/>
  <c r="P10"/>
  <c r="O10"/>
  <c r="N10"/>
  <c r="E10"/>
  <c r="D10"/>
  <c r="C10"/>
  <c r="B10"/>
  <c r="A10"/>
  <c r="AP9"/>
  <c r="AO9"/>
  <c r="AN9"/>
  <c r="AI9"/>
  <c r="AG9"/>
  <c r="AF9"/>
  <c r="AE9"/>
  <c r="AD9"/>
  <c r="AB9"/>
  <c r="Y9"/>
  <c r="X9"/>
  <c r="W9"/>
  <c r="V9"/>
  <c r="U9"/>
  <c r="T9"/>
  <c r="S9"/>
  <c r="R9"/>
  <c r="Q9"/>
  <c r="P9"/>
  <c r="O9"/>
  <c r="N9"/>
  <c r="E9"/>
  <c r="D9"/>
  <c r="C9"/>
  <c r="B9"/>
  <c r="A9"/>
  <c r="AP8"/>
  <c r="AO8"/>
  <c r="AN8"/>
  <c r="AI8"/>
  <c r="AG8"/>
  <c r="AF8"/>
  <c r="AE8"/>
  <c r="AD8"/>
  <c r="AB8"/>
  <c r="X8"/>
  <c r="V8"/>
  <c r="U8"/>
  <c r="T8"/>
  <c r="S8"/>
  <c r="R8"/>
  <c r="Q8"/>
  <c r="P8"/>
  <c r="O8"/>
  <c r="N8"/>
  <c r="E8"/>
  <c r="D8"/>
  <c r="C8"/>
  <c r="B8"/>
  <c r="A8"/>
  <c r="AP7"/>
  <c r="AO7"/>
  <c r="AN7"/>
  <c r="AG7"/>
  <c r="AF7"/>
  <c r="AE7"/>
  <c r="AD7"/>
  <c r="AB7"/>
  <c r="X7"/>
  <c r="W7"/>
  <c r="V7"/>
  <c r="U7"/>
  <c r="T7"/>
  <c r="S7"/>
  <c r="R7"/>
  <c r="Q7"/>
  <c r="P7"/>
  <c r="O7"/>
  <c r="N7"/>
  <c r="E7"/>
  <c r="D7"/>
  <c r="C7"/>
  <c r="B7"/>
  <c r="A7"/>
  <c r="AP6"/>
  <c r="AO6"/>
  <c r="AN6"/>
  <c r="AI6"/>
  <c r="AG6"/>
  <c r="AF6"/>
  <c r="AE6"/>
  <c r="AD6"/>
  <c r="AB6"/>
  <c r="Y6"/>
  <c r="X6"/>
  <c r="V6"/>
  <c r="U6"/>
  <c r="T6"/>
  <c r="S6"/>
  <c r="R6"/>
  <c r="Q6"/>
  <c r="P6"/>
  <c r="O6"/>
  <c r="N6"/>
  <c r="E6"/>
  <c r="D6"/>
  <c r="C6"/>
  <c r="B6"/>
  <c r="A6"/>
  <c r="AP5"/>
  <c r="AO5"/>
  <c r="AN5"/>
  <c r="AI5"/>
  <c r="AG5"/>
  <c r="AF5"/>
  <c r="AE5"/>
  <c r="AD5"/>
  <c r="AB5"/>
  <c r="Y5"/>
  <c r="X5"/>
  <c r="W5"/>
  <c r="V5"/>
  <c r="U5"/>
  <c r="T5"/>
  <c r="S5"/>
  <c r="R5"/>
  <c r="Q5"/>
  <c r="P5"/>
  <c r="O5"/>
  <c r="N5"/>
  <c r="E5"/>
  <c r="D5"/>
  <c r="C5"/>
  <c r="B5"/>
  <c r="A5"/>
  <c r="AP4"/>
  <c r="AO4"/>
  <c r="AN4"/>
  <c r="AI4"/>
  <c r="AG4"/>
  <c r="AF4"/>
  <c r="AE4"/>
  <c r="AD4"/>
  <c r="AB4"/>
  <c r="Y4"/>
  <c r="X4"/>
  <c r="W4"/>
  <c r="V4"/>
  <c r="U4"/>
  <c r="T4"/>
  <c r="S4"/>
  <c r="R4"/>
  <c r="Q4"/>
  <c r="P4"/>
  <c r="O4"/>
  <c r="N4"/>
  <c r="E4"/>
  <c r="D4"/>
  <c r="C4"/>
  <c r="B4"/>
  <c r="A4"/>
  <c r="AP3"/>
  <c r="AO3"/>
  <c r="AN3"/>
  <c r="AI3"/>
  <c r="AG3"/>
  <c r="AF3"/>
  <c r="AE3"/>
  <c r="AD3"/>
  <c r="AB3"/>
  <c r="Y3"/>
  <c r="X3"/>
  <c r="W3"/>
  <c r="V3"/>
  <c r="U3"/>
  <c r="T3"/>
  <c r="S3"/>
  <c r="R3"/>
  <c r="Q3"/>
  <c r="P3"/>
  <c r="O3"/>
  <c r="N3"/>
  <c r="E3"/>
  <c r="D3"/>
  <c r="C3"/>
  <c r="B3"/>
  <c r="A3"/>
  <c r="AP2"/>
  <c r="AO2"/>
  <c r="AN2"/>
  <c r="AI2"/>
  <c r="AG2"/>
  <c r="AF2"/>
  <c r="AE2"/>
  <c r="AD2"/>
  <c r="Y2"/>
  <c r="X2"/>
  <c r="W2"/>
  <c r="V2"/>
  <c r="U2"/>
  <c r="T2"/>
  <c r="S2"/>
  <c r="R2"/>
  <c r="Q2"/>
  <c r="P2"/>
  <c r="E2"/>
  <c r="D2"/>
  <c r="C2"/>
  <c r="B2"/>
  <c r="A2"/>
  <c r="K2"/>
  <c r="L2" s="1"/>
  <c r="M2" l="1"/>
</calcChain>
</file>

<file path=xl/sharedStrings.xml><?xml version="1.0" encoding="utf-8"?>
<sst xmlns="http://schemas.openxmlformats.org/spreadsheetml/2006/main" count="183" uniqueCount="143">
  <si>
    <t xml:space="preserve"> </t>
  </si>
  <si>
    <t>-</t>
  </si>
  <si>
    <t>cache1</t>
  </si>
  <si>
    <t>cache2</t>
  </si>
  <si>
    <t>cache3</t>
  </si>
  <si>
    <t>cache4</t>
  </si>
  <si>
    <t>cache5</t>
  </si>
  <si>
    <t>cache6</t>
  </si>
  <si>
    <t>cache7</t>
  </si>
  <si>
    <t>cache8</t>
  </si>
  <si>
    <t>cache9</t>
  </si>
  <si>
    <t>cache10</t>
  </si>
  <si>
    <t>cache 11</t>
  </si>
  <si>
    <t>cache 12</t>
  </si>
  <si>
    <t>cache 13</t>
  </si>
  <si>
    <t>cache 14</t>
  </si>
  <si>
    <t>cache 15</t>
  </si>
  <si>
    <t>cache 16</t>
  </si>
  <si>
    <t>cache 17</t>
  </si>
  <si>
    <t>cache 18</t>
  </si>
  <si>
    <t>cache 19</t>
  </si>
  <si>
    <t>cache 20</t>
  </si>
  <si>
    <t>6 PLACE GERMINAL</t>
  </si>
  <si>
    <t>Place des Cordeliers</t>
  </si>
  <si>
    <t>MIN de Brienne - Bureau n°11</t>
  </si>
  <si>
    <t>MIN de brienne - Bureau n°11</t>
  </si>
  <si>
    <t>21-23 Central Markets - Smithfield</t>
  </si>
  <si>
    <t>23 rue Ernest Lepot</t>
  </si>
  <si>
    <t>33 RUE DE MIROMESNIL</t>
  </si>
  <si>
    <t>33, rue des rosiers</t>
  </si>
  <si>
    <t>Route Martin</t>
  </si>
  <si>
    <t>ZI du Bois Joly</t>
  </si>
  <si>
    <t>cache 21</t>
  </si>
  <si>
    <t>cache 22</t>
  </si>
  <si>
    <t>cache 23</t>
  </si>
  <si>
    <t>cache 24</t>
  </si>
  <si>
    <t>cache 25</t>
  </si>
  <si>
    <t>cache 26</t>
  </si>
  <si>
    <t>cache 27</t>
  </si>
  <si>
    <t>cache 28</t>
  </si>
  <si>
    <t>cache 29</t>
  </si>
  <si>
    <t>cache 30</t>
  </si>
  <si>
    <t>cache 31</t>
  </si>
  <si>
    <t>cache 32</t>
  </si>
  <si>
    <t>cache 33</t>
  </si>
  <si>
    <t>cache 34</t>
  </si>
  <si>
    <t>cache 35</t>
  </si>
  <si>
    <t>cache 36</t>
  </si>
  <si>
    <t>cache 37</t>
  </si>
  <si>
    <t>cache 38</t>
  </si>
  <si>
    <t>cache 39</t>
  </si>
  <si>
    <t>cache 40</t>
  </si>
  <si>
    <t>cache 41</t>
  </si>
  <si>
    <t>cache 42</t>
  </si>
  <si>
    <t>cache 43</t>
  </si>
  <si>
    <t>cache 44</t>
  </si>
  <si>
    <t>cache 45</t>
  </si>
  <si>
    <t>cache 46</t>
  </si>
  <si>
    <t>cache 47</t>
  </si>
  <si>
    <t>cache 48</t>
  </si>
  <si>
    <t>cache 49</t>
  </si>
  <si>
    <t>cache 50</t>
  </si>
  <si>
    <t>cache 51</t>
  </si>
  <si>
    <t>cache 52</t>
  </si>
  <si>
    <t>cache 53</t>
  </si>
  <si>
    <t>cache 54</t>
  </si>
  <si>
    <t>cache 55</t>
  </si>
  <si>
    <t>cache 56</t>
  </si>
  <si>
    <t>cache 57</t>
  </si>
  <si>
    <t>cache 58</t>
  </si>
  <si>
    <t>cache 59</t>
  </si>
  <si>
    <t>cache 60</t>
  </si>
  <si>
    <t>cache 61</t>
  </si>
  <si>
    <t>cache 62</t>
  </si>
  <si>
    <t>cache 63</t>
  </si>
  <si>
    <t>cache 64</t>
  </si>
  <si>
    <t>cache 65</t>
  </si>
  <si>
    <t>cache 66</t>
  </si>
  <si>
    <t>cache 67</t>
  </si>
  <si>
    <t>cache 68</t>
  </si>
  <si>
    <t>cache 69</t>
  </si>
  <si>
    <t>cache 70</t>
  </si>
  <si>
    <t>cache 71</t>
  </si>
  <si>
    <t>cache 72</t>
  </si>
  <si>
    <t>cache 73</t>
  </si>
  <si>
    <t>cache 74</t>
  </si>
  <si>
    <t>3 PETITS COCHONS</t>
  </si>
  <si>
    <t>CLIENT</t>
  </si>
  <si>
    <t>6 PLACE GERMINAL, AUCHY LES MINES, 62138</t>
  </si>
  <si>
    <t>FR</t>
  </si>
  <si>
    <t>A LA SOURCE</t>
  </si>
  <si>
    <t>Place des Cordeliers, SARREBOURG, 57400</t>
  </si>
  <si>
    <t>ABC FOODS</t>
  </si>
  <si>
    <t>MIN de brienne - Bureau n°11, BORDEAUX, 33076</t>
  </si>
  <si>
    <t>Pas dans la liste</t>
  </si>
  <si>
    <t>ABSALOM &amp; TRIBE</t>
  </si>
  <si>
    <t>21-23 Central Markets - Smithfield, LONDON, EC1A9AN</t>
  </si>
  <si>
    <t>GB</t>
  </si>
  <si>
    <t>AC RECR SP PORTUGAISE CA</t>
  </si>
  <si>
    <t>23 rue Ernest Lepot, CAMBRAI, 59400</t>
  </si>
  <si>
    <t>ACAMAS</t>
  </si>
  <si>
    <t>33 RUE DE MIROMESNIL, PARIS, 75008</t>
  </si>
  <si>
    <t>ACCPN</t>
  </si>
  <si>
    <t>33, rue des rosiers, COLOMBES, 92700</t>
  </si>
  <si>
    <t>ACEVIA</t>
  </si>
  <si>
    <t>ACHILLE BERTRAND ETS</t>
  </si>
  <si>
    <t>ZI du Bois Joly, LES HERBIERS, 85500</t>
  </si>
  <si>
    <t>cache 1</t>
  </si>
  <si>
    <t>cache 2</t>
  </si>
  <si>
    <t>cache 3</t>
  </si>
  <si>
    <t>cache 4</t>
  </si>
  <si>
    <t>cache 5</t>
  </si>
  <si>
    <t>cache 6</t>
  </si>
  <si>
    <t>cache 7</t>
  </si>
  <si>
    <t>cache 8</t>
  </si>
  <si>
    <t>cache 9</t>
  </si>
  <si>
    <t>ID</t>
  </si>
  <si>
    <t>cache 10</t>
  </si>
  <si>
    <t>Nom complet</t>
  </si>
  <si>
    <t>Nom court</t>
  </si>
  <si>
    <t>Pays</t>
  </si>
  <si>
    <t>Code Pays</t>
  </si>
  <si>
    <t>Adresse</t>
  </si>
  <si>
    <t>Code ID</t>
  </si>
  <si>
    <t>conditionnelle</t>
  </si>
  <si>
    <t>voir Mise en Forme</t>
  </si>
  <si>
    <t>sur ces colonnes de I à M</t>
  </si>
  <si>
    <t>adresse incomplète</t>
  </si>
  <si>
    <t xml:space="preserve">à vérifier et modifier </t>
  </si>
  <si>
    <t>Exacte</t>
  </si>
  <si>
    <t>Partielle</t>
  </si>
  <si>
    <t>Les colonnes</t>
  </si>
  <si>
    <t>L à M peuvent</t>
  </si>
  <si>
    <t>être masquées</t>
  </si>
  <si>
    <t>Id/Nom complet</t>
  </si>
  <si>
    <t>La colonne I peut</t>
  </si>
  <si>
    <t>être masquée</t>
  </si>
  <si>
    <t>Si Manuel</t>
  </si>
  <si>
    <t>Principe: la colonne J ressortira l'ID</t>
  </si>
  <si>
    <t>si l'adresse en Feuil2 est exactement</t>
  </si>
  <si>
    <t>la même qu'en Feuil1</t>
  </si>
  <si>
    <t>sur Feuil2 pour pouvoir</t>
  </si>
  <si>
    <t>valider le code ID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</si>
</sst>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2" borderId="0" xfId="0" applyFont="1" applyFill="1"/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/>
    <xf numFmtId="0" fontId="5" fillId="3" borderId="0" xfId="0" applyFont="1" applyFill="1"/>
    <xf numFmtId="0" fontId="6" fillId="0" borderId="0" xfId="0" applyFont="1"/>
    <xf numFmtId="0" fontId="7" fillId="0" borderId="0" xfId="0" applyFont="1"/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/>
    </xf>
    <xf numFmtId="0" fontId="8" fillId="3" borderId="0" xfId="0" applyFont="1" applyFill="1"/>
  </cellXfs>
  <cellStyles count="1">
    <cellStyle name="Normal" xfId="0" builtinId="0"/>
  </cellStyles>
  <dxfs count="31"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5" tint="0.79998168889431442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23"/>
  <sheetViews>
    <sheetView tabSelected="1" workbookViewId="0">
      <selection activeCell="B20" sqref="B20"/>
    </sheetView>
  </sheetViews>
  <sheetFormatPr baseColWidth="10" defaultRowHeight="15"/>
  <cols>
    <col min="1" max="1" width="11.5703125" customWidth="1"/>
    <col min="2" max="2" width="24.85546875" customWidth="1"/>
    <col min="3" max="3" width="5.85546875" customWidth="1"/>
    <col min="4" max="4" width="5" customWidth="1"/>
    <col min="5" max="5" width="3.85546875" customWidth="1"/>
    <col min="7" max="7" width="10.7109375" customWidth="1"/>
    <col min="8" max="8" width="3.140625" customWidth="1"/>
    <col min="9" max="9" width="6.5703125" customWidth="1"/>
    <col min="10" max="10" width="6" customWidth="1"/>
    <col min="11" max="11" width="42.7109375" customWidth="1"/>
    <col min="12" max="12" width="4.7109375" customWidth="1"/>
    <col min="13" max="13" width="6.140625" customWidth="1"/>
    <col min="23" max="23" width="4.7109375" customWidth="1"/>
    <col min="24" max="24" width="5.28515625" customWidth="1"/>
    <col min="25" max="25" width="5.42578125" customWidth="1"/>
    <col min="28" max="28" width="8.5703125" customWidth="1"/>
    <col min="29" max="29" width="30.85546875" customWidth="1"/>
    <col min="30" max="30" width="19.28515625" customWidth="1"/>
    <col min="31" max="31" width="10.7109375" customWidth="1"/>
    <col min="32" max="32" width="16.5703125" customWidth="1"/>
    <col min="33" max="33" width="3.7109375" customWidth="1"/>
  </cols>
  <sheetData>
    <row r="1" spans="1:42" ht="22.5" customHeight="1">
      <c r="A1" t="s">
        <v>119</v>
      </c>
      <c r="B1" t="s">
        <v>118</v>
      </c>
      <c r="D1" t="s">
        <v>120</v>
      </c>
      <c r="I1" s="12" t="s">
        <v>134</v>
      </c>
      <c r="J1" s="12" t="s">
        <v>123</v>
      </c>
      <c r="K1" s="13" t="s">
        <v>122</v>
      </c>
      <c r="L1" s="14" t="s">
        <v>129</v>
      </c>
      <c r="M1" s="14" t="s">
        <v>130</v>
      </c>
    </row>
    <row r="2" spans="1:42">
      <c r="A2" t="str">
        <f>"3 PETITS"</f>
        <v>3 PETITS</v>
      </c>
      <c r="B2" t="str">
        <f>"3 PETITS COCHONS"</f>
        <v>3 PETITS COCHONS</v>
      </c>
      <c r="C2" t="str">
        <f t="shared" ref="C2:C12" si="0">"Client"</f>
        <v>Client</v>
      </c>
      <c r="D2" t="str">
        <f t="shared" ref="D2:D12" si="1">"GR"</f>
        <v>GR</v>
      </c>
      <c r="E2" t="str">
        <f t="shared" ref="E2:E4" si="2">"CF"</f>
        <v>CF</v>
      </c>
      <c r="F2" s="1">
        <v>40521</v>
      </c>
      <c r="G2" s="1">
        <v>73415</v>
      </c>
      <c r="H2" t="s">
        <v>0</v>
      </c>
      <c r="I2" s="6">
        <f>MATCH(B2,Feuil2!A$2:A$10,0)</f>
        <v>1</v>
      </c>
      <c r="J2" s="8">
        <f>IF(OR(ISERROR(I2),M2=1),REPT("Manuel  ",M2),INDEX(Feuil2!A$1:L$10,I2+1,12)*L2)</f>
        <v>23667</v>
      </c>
      <c r="K2" s="9" t="str">
        <f>INDEX(Feuil2!A$1:L$10,I2+1,3)</f>
        <v>6 PLACE GERMINAL, AUCHY LES MINES, 62138</v>
      </c>
      <c r="L2" s="7">
        <f>IF(AC2&amp;", "&amp;AF2&amp;", "&amp;AE2=K2,1,0)</f>
        <v>1</v>
      </c>
      <c r="M2" s="7">
        <f>IF(AC2=K2,1,0)</f>
        <v>0</v>
      </c>
      <c r="P2" t="str">
        <f>""</f>
        <v/>
      </c>
      <c r="Q2" t="str">
        <f>""</f>
        <v/>
      </c>
      <c r="R2" t="str">
        <f>""</f>
        <v/>
      </c>
      <c r="S2" t="str">
        <f>""</f>
        <v/>
      </c>
      <c r="T2" t="str">
        <f>""</f>
        <v/>
      </c>
      <c r="U2" t="str">
        <f t="shared" ref="U2:U12" si="3">"03"</f>
        <v>03</v>
      </c>
      <c r="V2" t="str">
        <f t="shared" ref="V2:V12" si="4">"Virement"</f>
        <v>Virement</v>
      </c>
      <c r="W2" t="str">
        <f>""</f>
        <v/>
      </c>
      <c r="X2" t="str">
        <f>""</f>
        <v/>
      </c>
      <c r="Y2" t="str">
        <f>""</f>
        <v/>
      </c>
      <c r="Z2" t="s">
        <v>2</v>
      </c>
      <c r="AA2" t="s">
        <v>12</v>
      </c>
      <c r="AB2" t="s">
        <v>13</v>
      </c>
      <c r="AC2" t="s">
        <v>22</v>
      </c>
      <c r="AD2" t="str">
        <f>""</f>
        <v/>
      </c>
      <c r="AE2" t="str">
        <f>"62138"</f>
        <v>62138</v>
      </c>
      <c r="AF2" t="str">
        <f>"AUCHY LES MINES"</f>
        <v>AUCHY LES MINES</v>
      </c>
      <c r="AG2" t="str">
        <f t="shared" ref="AG2:AG5" si="5">"FR"</f>
        <v>FR</v>
      </c>
      <c r="AH2" s="2" t="s">
        <v>32</v>
      </c>
      <c r="AI2" t="str">
        <f>""</f>
        <v/>
      </c>
      <c r="AJ2" t="s">
        <v>43</v>
      </c>
      <c r="AK2" t="s">
        <v>54</v>
      </c>
      <c r="AL2" t="s">
        <v>65</v>
      </c>
      <c r="AM2" t="s">
        <v>75</v>
      </c>
      <c r="AN2" t="str">
        <f>""</f>
        <v/>
      </c>
      <c r="AO2" t="str">
        <f>""</f>
        <v/>
      </c>
      <c r="AP2" t="str">
        <f>""</f>
        <v/>
      </c>
    </row>
    <row r="3" spans="1:42">
      <c r="A3" t="str">
        <f>"A LA SOURC"</f>
        <v>A LA SOURC</v>
      </c>
      <c r="B3" t="str">
        <f>"A LA SOURCE"</f>
        <v>A LA SOURCE</v>
      </c>
      <c r="C3" t="str">
        <f t="shared" si="0"/>
        <v>Client</v>
      </c>
      <c r="D3" t="str">
        <f t="shared" si="1"/>
        <v>GR</v>
      </c>
      <c r="E3" t="str">
        <f t="shared" si="2"/>
        <v>CF</v>
      </c>
      <c r="F3" s="1">
        <v>40521</v>
      </c>
      <c r="G3" s="1">
        <v>401768</v>
      </c>
      <c r="H3" t="s">
        <v>0</v>
      </c>
      <c r="I3" s="6">
        <f>MATCH(B3,Feuil2!A$2:A$10,0)</f>
        <v>2</v>
      </c>
      <c r="J3" s="8">
        <f>IF(OR(ISERROR(I3),M3=1),REPT("Manuel  ",M3),INDEX(Feuil2!A$1:L$10,I3+1,12)*L3)</f>
        <v>23674</v>
      </c>
      <c r="K3" s="9" t="str">
        <f>INDEX(Feuil2!A$1:L$10,I3+1,3)</f>
        <v>Place des Cordeliers, SARREBOURG, 57400</v>
      </c>
      <c r="L3" s="7">
        <f t="shared" ref="L3:M12" si="6">IF(AC3&amp;", "&amp;AF3&amp;", "&amp;AE3=K3,1,0)</f>
        <v>1</v>
      </c>
      <c r="M3" s="7">
        <f t="shared" ref="M3:M12" si="7">IF(AC3=K3,1,0)</f>
        <v>0</v>
      </c>
      <c r="N3" t="str">
        <f>""</f>
        <v/>
      </c>
      <c r="O3" t="str">
        <f>"SOURCE"</f>
        <v>SOURCE</v>
      </c>
      <c r="P3" t="str">
        <f>"A LA SOURCE"</f>
        <v>A LA SOURCE</v>
      </c>
      <c r="Q3" t="str">
        <f>""</f>
        <v/>
      </c>
      <c r="R3" t="str">
        <f>""</f>
        <v/>
      </c>
      <c r="S3" t="str">
        <f>""</f>
        <v/>
      </c>
      <c r="T3" t="str">
        <f>""</f>
        <v/>
      </c>
      <c r="U3" t="str">
        <f t="shared" si="3"/>
        <v>03</v>
      </c>
      <c r="V3" t="str">
        <f t="shared" si="4"/>
        <v>Virement</v>
      </c>
      <c r="W3" t="str">
        <f>""</f>
        <v/>
      </c>
      <c r="X3" t="str">
        <f>""</f>
        <v/>
      </c>
      <c r="Y3" t="str">
        <f>""</f>
        <v/>
      </c>
      <c r="Z3" t="s">
        <v>3</v>
      </c>
      <c r="AA3" t="s">
        <v>13</v>
      </c>
      <c r="AB3" t="str">
        <f>""</f>
        <v/>
      </c>
      <c r="AC3" t="s">
        <v>23</v>
      </c>
      <c r="AD3" t="str">
        <f>""</f>
        <v/>
      </c>
      <c r="AE3" t="str">
        <f>"57400"</f>
        <v>57400</v>
      </c>
      <c r="AF3" t="str">
        <f>"SARREBOURG"</f>
        <v>SARREBOURG</v>
      </c>
      <c r="AG3" t="str">
        <f t="shared" si="5"/>
        <v>FR</v>
      </c>
      <c r="AH3" s="2" t="s">
        <v>33</v>
      </c>
      <c r="AI3" t="str">
        <f>""</f>
        <v/>
      </c>
      <c r="AJ3" t="s">
        <v>44</v>
      </c>
      <c r="AK3" t="s">
        <v>55</v>
      </c>
      <c r="AL3" t="s">
        <v>66</v>
      </c>
      <c r="AM3" t="s">
        <v>76</v>
      </c>
      <c r="AN3" t="str">
        <f>""</f>
        <v/>
      </c>
      <c r="AO3" t="str">
        <f>""</f>
        <v/>
      </c>
      <c r="AP3" t="str">
        <f>""</f>
        <v/>
      </c>
    </row>
    <row r="4" spans="1:42">
      <c r="A4" t="str">
        <f>"ABC FOODS"</f>
        <v>ABC FOODS</v>
      </c>
      <c r="B4" t="str">
        <f>"ABC FOODS"</f>
        <v>ABC FOODS</v>
      </c>
      <c r="C4" t="str">
        <f t="shared" si="0"/>
        <v>Client</v>
      </c>
      <c r="D4" t="str">
        <f t="shared" si="1"/>
        <v>GR</v>
      </c>
      <c r="E4" t="str">
        <f t="shared" si="2"/>
        <v>CF</v>
      </c>
      <c r="F4" s="1">
        <v>40521</v>
      </c>
      <c r="G4" s="1">
        <v>401768</v>
      </c>
      <c r="H4" t="s">
        <v>0</v>
      </c>
      <c r="I4" s="6">
        <f>MATCH(B4,Feuil2!A$2:A$10,0)</f>
        <v>3</v>
      </c>
      <c r="J4" s="8">
        <f>IF(OR(ISERROR(I4),M4=1),REPT("Manuel  ",M4),INDEX(Feuil2!A$1:L$10,I4+1,12)*L4)</f>
        <v>23673</v>
      </c>
      <c r="K4" s="9" t="str">
        <f>INDEX(Feuil2!A$1:L$10,I4+1,3)</f>
        <v>MIN de brienne - Bureau n°11, BORDEAUX, 33076</v>
      </c>
      <c r="L4" s="7">
        <f t="shared" si="6"/>
        <v>1</v>
      </c>
      <c r="M4" s="7">
        <f t="shared" si="7"/>
        <v>0</v>
      </c>
      <c r="N4" t="str">
        <f>""</f>
        <v/>
      </c>
      <c r="O4" t="str">
        <f>""</f>
        <v/>
      </c>
      <c r="P4" t="str">
        <f>""</f>
        <v/>
      </c>
      <c r="Q4" t="str">
        <f>""</f>
        <v/>
      </c>
      <c r="R4" t="str">
        <f>""</f>
        <v/>
      </c>
      <c r="S4" t="str">
        <f>""</f>
        <v/>
      </c>
      <c r="T4" t="str">
        <f>""</f>
        <v/>
      </c>
      <c r="U4" t="str">
        <f t="shared" si="3"/>
        <v>03</v>
      </c>
      <c r="V4" t="str">
        <f t="shared" si="4"/>
        <v>Virement</v>
      </c>
      <c r="W4" t="str">
        <f>""</f>
        <v/>
      </c>
      <c r="X4" t="str">
        <f>""</f>
        <v/>
      </c>
      <c r="Y4" t="str">
        <f>""</f>
        <v/>
      </c>
      <c r="Z4" t="s">
        <v>4</v>
      </c>
      <c r="AA4" t="s">
        <v>14</v>
      </c>
      <c r="AB4" t="str">
        <f>""</f>
        <v/>
      </c>
      <c r="AC4" t="s">
        <v>24</v>
      </c>
      <c r="AD4" t="str">
        <f>"BP 63 - Quai Paludate"</f>
        <v>BP 63 - Quai Paludate</v>
      </c>
      <c r="AE4" t="str">
        <f>"33076"</f>
        <v>33076</v>
      </c>
      <c r="AF4" t="str">
        <f>"BORDEAUX"</f>
        <v>BORDEAUX</v>
      </c>
      <c r="AG4" t="str">
        <f t="shared" si="5"/>
        <v>FR</v>
      </c>
      <c r="AH4" s="2" t="s">
        <v>34</v>
      </c>
      <c r="AI4" t="str">
        <f>""</f>
        <v/>
      </c>
      <c r="AJ4" t="s">
        <v>45</v>
      </c>
      <c r="AK4" t="s">
        <v>56</v>
      </c>
      <c r="AL4" t="s">
        <v>67</v>
      </c>
      <c r="AM4" t="s">
        <v>77</v>
      </c>
      <c r="AN4" t="str">
        <f>""</f>
        <v/>
      </c>
      <c r="AO4" t="str">
        <f>""</f>
        <v/>
      </c>
      <c r="AP4" t="str">
        <f>""</f>
        <v/>
      </c>
    </row>
    <row r="5" spans="1:42">
      <c r="A5" t="str">
        <f>"ABC SS TVA"</f>
        <v>ABC SS TVA</v>
      </c>
      <c r="B5" t="str">
        <f>"ABC FOODS"</f>
        <v>ABC FOODS</v>
      </c>
      <c r="C5" t="str">
        <f t="shared" si="0"/>
        <v>Client</v>
      </c>
      <c r="D5" t="str">
        <f t="shared" si="1"/>
        <v>GR</v>
      </c>
      <c r="E5" t="str">
        <f>"CEX"</f>
        <v>CEX</v>
      </c>
      <c r="F5" s="1">
        <v>40521</v>
      </c>
      <c r="G5" s="1">
        <v>401768</v>
      </c>
      <c r="H5" s="5" t="s">
        <v>94</v>
      </c>
      <c r="I5" s="6">
        <f>MATCH(B5,Feuil2!A$2:A$10,0)</f>
        <v>3</v>
      </c>
      <c r="J5" s="8">
        <f>IF(OR(ISERROR(I5),M5=1),REPT("Manuel  ",M5),INDEX(Feuil2!A$1:L$10,I5+1,12)*L5)</f>
        <v>23673</v>
      </c>
      <c r="K5" s="9" t="str">
        <f>INDEX(Feuil2!A$1:L$10,I5+1,3)</f>
        <v>MIN de brienne - Bureau n°11, BORDEAUX, 33076</v>
      </c>
      <c r="L5" s="7">
        <f t="shared" si="6"/>
        <v>1</v>
      </c>
      <c r="M5" s="7">
        <f t="shared" si="7"/>
        <v>0</v>
      </c>
      <c r="N5" t="str">
        <f>""</f>
        <v/>
      </c>
      <c r="O5" t="str">
        <f>""</f>
        <v/>
      </c>
      <c r="P5" t="str">
        <f>""</f>
        <v/>
      </c>
      <c r="Q5" t="str">
        <f>""</f>
        <v/>
      </c>
      <c r="R5" t="str">
        <f>""</f>
        <v/>
      </c>
      <c r="S5" t="str">
        <f>""</f>
        <v/>
      </c>
      <c r="T5" t="str">
        <f>""</f>
        <v/>
      </c>
      <c r="U5" t="str">
        <f t="shared" si="3"/>
        <v>03</v>
      </c>
      <c r="V5" t="str">
        <f t="shared" si="4"/>
        <v>Virement</v>
      </c>
      <c r="W5" t="str">
        <f>""</f>
        <v/>
      </c>
      <c r="X5" t="str">
        <f>""</f>
        <v/>
      </c>
      <c r="Y5" t="str">
        <f>""</f>
        <v/>
      </c>
      <c r="Z5" t="s">
        <v>5</v>
      </c>
      <c r="AA5" t="s">
        <v>15</v>
      </c>
      <c r="AB5" t="str">
        <f>""</f>
        <v/>
      </c>
      <c r="AC5" t="s">
        <v>25</v>
      </c>
      <c r="AD5" t="str">
        <f>"BP63 - Quai Paludate"</f>
        <v>BP63 - Quai Paludate</v>
      </c>
      <c r="AE5" t="str">
        <f>"33076"</f>
        <v>33076</v>
      </c>
      <c r="AF5" t="str">
        <f>"BORDEAUX"</f>
        <v>BORDEAUX</v>
      </c>
      <c r="AG5" t="str">
        <f t="shared" si="5"/>
        <v>FR</v>
      </c>
      <c r="AH5" s="2" t="s">
        <v>35</v>
      </c>
      <c r="AI5" t="str">
        <f>""</f>
        <v/>
      </c>
      <c r="AJ5" t="s">
        <v>46</v>
      </c>
      <c r="AK5" t="s">
        <v>57</v>
      </c>
      <c r="AL5" t="s">
        <v>68</v>
      </c>
      <c r="AM5" t="s">
        <v>78</v>
      </c>
      <c r="AN5" t="str">
        <f>""</f>
        <v/>
      </c>
      <c r="AO5" t="str">
        <f>""</f>
        <v/>
      </c>
      <c r="AP5" t="str">
        <f>""</f>
        <v/>
      </c>
    </row>
    <row r="6" spans="1:42">
      <c r="A6" t="str">
        <f>"ABSALOM"</f>
        <v>ABSALOM</v>
      </c>
      <c r="B6" t="str">
        <f>"ABSALOM &amp; TRIBE"</f>
        <v>ABSALOM &amp; TRIBE</v>
      </c>
      <c r="C6" t="str">
        <f t="shared" si="0"/>
        <v>Client</v>
      </c>
      <c r="D6" t="str">
        <f t="shared" si="1"/>
        <v>GR</v>
      </c>
      <c r="E6" t="str">
        <f>"CE"</f>
        <v>CE</v>
      </c>
      <c r="F6" s="1">
        <v>40521</v>
      </c>
      <c r="G6" s="1">
        <v>401768</v>
      </c>
      <c r="H6" t="s">
        <v>0</v>
      </c>
      <c r="I6" s="6">
        <f>MATCH(B6,Feuil2!A$2:A$10,0)</f>
        <v>4</v>
      </c>
      <c r="J6" s="8">
        <f>IF(OR(ISERROR(I6),M6=1),REPT("Manuel  ",M6),INDEX(Feuil2!A$1:L$10,I6+1,12)*L6)</f>
        <v>23669</v>
      </c>
      <c r="K6" s="9" t="str">
        <f>INDEX(Feuil2!A$1:L$10,I6+1,3)</f>
        <v>21-23 Central Markets - Smithfield, LONDON, EC1A9AN</v>
      </c>
      <c r="L6" s="7">
        <f t="shared" si="6"/>
        <v>1</v>
      </c>
      <c r="M6" s="7">
        <f t="shared" si="7"/>
        <v>0</v>
      </c>
      <c r="N6" t="str">
        <f>""</f>
        <v/>
      </c>
      <c r="O6" t="str">
        <f>""</f>
        <v/>
      </c>
      <c r="P6" t="str">
        <f>""</f>
        <v/>
      </c>
      <c r="Q6" t="str">
        <f>""</f>
        <v/>
      </c>
      <c r="R6" t="str">
        <f>""</f>
        <v/>
      </c>
      <c r="S6" t="str">
        <f>""</f>
        <v/>
      </c>
      <c r="T6" t="str">
        <f>""</f>
        <v/>
      </c>
      <c r="U6" t="str">
        <f t="shared" si="3"/>
        <v>03</v>
      </c>
      <c r="V6" t="str">
        <f t="shared" si="4"/>
        <v>Virement</v>
      </c>
      <c r="W6" t="s">
        <v>1</v>
      </c>
      <c r="X6" t="str">
        <f>""</f>
        <v/>
      </c>
      <c r="Y6" t="str">
        <f>""</f>
        <v/>
      </c>
      <c r="Z6" t="s">
        <v>6</v>
      </c>
      <c r="AA6" t="s">
        <v>16</v>
      </c>
      <c r="AB6" t="str">
        <f>""</f>
        <v/>
      </c>
      <c r="AC6" t="s">
        <v>26</v>
      </c>
      <c r="AD6" t="str">
        <f>""</f>
        <v/>
      </c>
      <c r="AE6" t="str">
        <f>"EC1A9AN"</f>
        <v>EC1A9AN</v>
      </c>
      <c r="AF6" t="str">
        <f>"LONDON"</f>
        <v>LONDON</v>
      </c>
      <c r="AG6" t="str">
        <f>"GB"</f>
        <v>GB</v>
      </c>
      <c r="AH6" s="2" t="s">
        <v>36</v>
      </c>
      <c r="AI6" t="str">
        <f>""</f>
        <v/>
      </c>
      <c r="AJ6" t="s">
        <v>47</v>
      </c>
      <c r="AK6" t="s">
        <v>58</v>
      </c>
      <c r="AL6" t="s">
        <v>69</v>
      </c>
      <c r="AM6" t="s">
        <v>79</v>
      </c>
      <c r="AN6" t="str">
        <f>""</f>
        <v/>
      </c>
      <c r="AO6" t="str">
        <f>""</f>
        <v/>
      </c>
      <c r="AP6" t="str">
        <f>""</f>
        <v/>
      </c>
    </row>
    <row r="7" spans="1:42">
      <c r="A7" t="str">
        <f>"AC RECR"</f>
        <v>AC RECR</v>
      </c>
      <c r="B7" t="str">
        <f>"AC RECR SP PORTUGAISE CA"</f>
        <v>AC RECR SP PORTUGAISE CA</v>
      </c>
      <c r="C7" t="str">
        <f t="shared" si="0"/>
        <v>Client</v>
      </c>
      <c r="D7" t="str">
        <f t="shared" si="1"/>
        <v>GR</v>
      </c>
      <c r="E7" t="str">
        <f t="shared" ref="E7:E12" si="8">"CF"</f>
        <v>CF</v>
      </c>
      <c r="F7" s="1">
        <v>40521</v>
      </c>
      <c r="G7" s="1">
        <v>43593</v>
      </c>
      <c r="H7" t="s">
        <v>0</v>
      </c>
      <c r="I7" s="6">
        <f>MATCH(B7,Feuil2!A$2:A$10,0)</f>
        <v>5</v>
      </c>
      <c r="J7" s="8">
        <f>IF(OR(ISERROR(I7),M7=1),REPT("Manuel  ",M7),INDEX(Feuil2!A$1:L$10,I7+1,12)*L7)</f>
        <v>23670</v>
      </c>
      <c r="K7" s="9" t="str">
        <f>INDEX(Feuil2!A$1:L$10,I7+1,3)</f>
        <v>23 rue Ernest Lepot, CAMBRAI, 59400</v>
      </c>
      <c r="L7" s="7">
        <f t="shared" si="6"/>
        <v>1</v>
      </c>
      <c r="M7" s="7">
        <f t="shared" si="7"/>
        <v>0</v>
      </c>
      <c r="N7" t="str">
        <f>""</f>
        <v/>
      </c>
      <c r="O7" t="str">
        <f>""</f>
        <v/>
      </c>
      <c r="P7" t="str">
        <f>""</f>
        <v/>
      </c>
      <c r="Q7" t="str">
        <f>""</f>
        <v/>
      </c>
      <c r="R7" t="str">
        <f>""</f>
        <v/>
      </c>
      <c r="S7" t="str">
        <f>""</f>
        <v/>
      </c>
      <c r="T7" t="str">
        <f>""</f>
        <v/>
      </c>
      <c r="U7" t="str">
        <f t="shared" si="3"/>
        <v>03</v>
      </c>
      <c r="V7" t="str">
        <f t="shared" si="4"/>
        <v>Virement</v>
      </c>
      <c r="W7" t="str">
        <f>""</f>
        <v/>
      </c>
      <c r="X7" t="str">
        <f>""</f>
        <v/>
      </c>
      <c r="Y7" t="s">
        <v>1</v>
      </c>
      <c r="Z7" t="s">
        <v>7</v>
      </c>
      <c r="AA7" t="s">
        <v>17</v>
      </c>
      <c r="AB7" t="str">
        <f>""</f>
        <v/>
      </c>
      <c r="AC7" t="s">
        <v>27</v>
      </c>
      <c r="AD7" t="str">
        <f>""</f>
        <v/>
      </c>
      <c r="AE7" t="str">
        <f>"59400"</f>
        <v>59400</v>
      </c>
      <c r="AF7" t="str">
        <f>"CAMBRAI"</f>
        <v>CAMBRAI</v>
      </c>
      <c r="AG7" t="str">
        <f t="shared" ref="AG7:AG12" si="9">"FR"</f>
        <v>FR</v>
      </c>
      <c r="AH7" s="2" t="s">
        <v>37</v>
      </c>
      <c r="AI7" t="s">
        <v>42</v>
      </c>
      <c r="AJ7" t="s">
        <v>48</v>
      </c>
      <c r="AK7" t="s">
        <v>59</v>
      </c>
      <c r="AL7" t="s">
        <v>70</v>
      </c>
      <c r="AM7" t="s">
        <v>80</v>
      </c>
      <c r="AN7" t="str">
        <f>""</f>
        <v/>
      </c>
      <c r="AO7" t="str">
        <f>""</f>
        <v/>
      </c>
      <c r="AP7" t="str">
        <f>""</f>
        <v/>
      </c>
    </row>
    <row r="8" spans="1:42">
      <c r="A8" t="str">
        <f>"ACAMAS"</f>
        <v>ACAMAS</v>
      </c>
      <c r="B8" t="str">
        <f>"ACAMAS"</f>
        <v>ACAMAS</v>
      </c>
      <c r="C8" t="str">
        <f t="shared" si="0"/>
        <v>Client</v>
      </c>
      <c r="D8" t="str">
        <f t="shared" si="1"/>
        <v>GR</v>
      </c>
      <c r="E8" t="str">
        <f t="shared" si="8"/>
        <v>CF</v>
      </c>
      <c r="F8" s="1">
        <v>40521</v>
      </c>
      <c r="G8" s="1">
        <v>401768</v>
      </c>
      <c r="H8" t="s">
        <v>0</v>
      </c>
      <c r="I8" s="6">
        <f>MATCH(B8,Feuil2!A$2:A$10,0)</f>
        <v>6</v>
      </c>
      <c r="J8" s="8">
        <f>IF(OR(ISERROR(I8),M8=1),REPT("Manuel  ",M8),INDEX(Feuil2!A$1:L$10,I8+1,12)*L8)</f>
        <v>23672</v>
      </c>
      <c r="K8" s="9" t="str">
        <f>INDEX(Feuil2!A$1:L$10,I8+1,3)</f>
        <v>33 RUE DE MIROMESNIL, PARIS, 75008</v>
      </c>
      <c r="L8" s="7">
        <f t="shared" si="6"/>
        <v>1</v>
      </c>
      <c r="M8" s="7">
        <f t="shared" si="7"/>
        <v>0</v>
      </c>
      <c r="N8" t="str">
        <f>""</f>
        <v/>
      </c>
      <c r="O8" t="str">
        <f>""</f>
        <v/>
      </c>
      <c r="P8" t="str">
        <f>""</f>
        <v/>
      </c>
      <c r="Q8" t="str">
        <f>""</f>
        <v/>
      </c>
      <c r="R8" t="str">
        <f>""</f>
        <v/>
      </c>
      <c r="S8" t="str">
        <f>""</f>
        <v/>
      </c>
      <c r="T8" t="str">
        <f>""</f>
        <v/>
      </c>
      <c r="U8" t="str">
        <f t="shared" si="3"/>
        <v>03</v>
      </c>
      <c r="V8" t="str">
        <f t="shared" si="4"/>
        <v>Virement</v>
      </c>
      <c r="W8" t="s">
        <v>1</v>
      </c>
      <c r="X8" t="str">
        <f>""</f>
        <v/>
      </c>
      <c r="Y8" t="s">
        <v>1</v>
      </c>
      <c r="Z8" t="s">
        <v>8</v>
      </c>
      <c r="AA8" t="s">
        <v>18</v>
      </c>
      <c r="AB8" t="str">
        <f>""</f>
        <v/>
      </c>
      <c r="AC8" t="s">
        <v>28</v>
      </c>
      <c r="AD8" t="str">
        <f>""</f>
        <v/>
      </c>
      <c r="AE8" t="str">
        <f>"75008"</f>
        <v>75008</v>
      </c>
      <c r="AF8" t="str">
        <f>"PARIS"</f>
        <v>PARIS</v>
      </c>
      <c r="AG8" t="str">
        <f t="shared" si="9"/>
        <v>FR</v>
      </c>
      <c r="AH8" s="2" t="s">
        <v>38</v>
      </c>
      <c r="AI8" t="str">
        <f>""</f>
        <v/>
      </c>
      <c r="AJ8" t="s">
        <v>49</v>
      </c>
      <c r="AK8" t="s">
        <v>60</v>
      </c>
      <c r="AL8" t="s">
        <v>71</v>
      </c>
      <c r="AM8" t="s">
        <v>81</v>
      </c>
      <c r="AN8" t="str">
        <f>""</f>
        <v/>
      </c>
      <c r="AO8" t="str">
        <f>""</f>
        <v/>
      </c>
      <c r="AP8" t="str">
        <f>""</f>
        <v/>
      </c>
    </row>
    <row r="9" spans="1:42">
      <c r="A9" t="str">
        <f>"ACCPN"</f>
        <v>ACCPN</v>
      </c>
      <c r="B9" t="str">
        <f>"ACCPN"</f>
        <v>ACCPN</v>
      </c>
      <c r="C9" t="str">
        <f t="shared" si="0"/>
        <v>Client</v>
      </c>
      <c r="D9" t="str">
        <f t="shared" si="1"/>
        <v>GR</v>
      </c>
      <c r="E9" t="str">
        <f t="shared" si="8"/>
        <v>CF</v>
      </c>
      <c r="F9" s="1">
        <v>40521</v>
      </c>
      <c r="G9" s="1">
        <v>401768</v>
      </c>
      <c r="H9" t="s">
        <v>0</v>
      </c>
      <c r="I9" s="6">
        <f>MATCH(B9,Feuil2!A$2:A$10,0)</f>
        <v>7</v>
      </c>
      <c r="J9" s="8">
        <f>IF(OR(ISERROR(I9),M9=1),REPT("Manuel  ",M9),INDEX(Feuil2!A$1:L$10,I9+1,12)*L9)</f>
        <v>23671</v>
      </c>
      <c r="K9" s="9" t="str">
        <f>INDEX(Feuil2!A$1:L$10,I9+1,3)</f>
        <v>33, rue des rosiers, COLOMBES, 92700</v>
      </c>
      <c r="L9" s="7">
        <f t="shared" si="6"/>
        <v>1</v>
      </c>
      <c r="M9" s="7">
        <f t="shared" si="7"/>
        <v>0</v>
      </c>
      <c r="N9" t="str">
        <f>""</f>
        <v/>
      </c>
      <c r="O9" t="str">
        <f>""</f>
        <v/>
      </c>
      <c r="P9" t="str">
        <f>""</f>
        <v/>
      </c>
      <c r="Q9" t="str">
        <f>""</f>
        <v/>
      </c>
      <c r="R9" t="str">
        <f>""</f>
        <v/>
      </c>
      <c r="S9" t="str">
        <f>""</f>
        <v/>
      </c>
      <c r="T9" t="str">
        <f>""</f>
        <v/>
      </c>
      <c r="U9" t="str">
        <f t="shared" si="3"/>
        <v>03</v>
      </c>
      <c r="V9" t="str">
        <f t="shared" si="4"/>
        <v>Virement</v>
      </c>
      <c r="W9" t="str">
        <f>""</f>
        <v/>
      </c>
      <c r="X9" t="str">
        <f>""</f>
        <v/>
      </c>
      <c r="Y9" t="str">
        <f>""</f>
        <v/>
      </c>
      <c r="Z9" t="s">
        <v>9</v>
      </c>
      <c r="AA9" t="s">
        <v>19</v>
      </c>
      <c r="AB9" t="str">
        <f>""</f>
        <v/>
      </c>
      <c r="AC9" t="s">
        <v>29</v>
      </c>
      <c r="AD9" t="str">
        <f>""</f>
        <v/>
      </c>
      <c r="AE9" t="str">
        <f>"92700"</f>
        <v>92700</v>
      </c>
      <c r="AF9" t="str">
        <f>"COLOMBES"</f>
        <v>COLOMBES</v>
      </c>
      <c r="AG9" t="str">
        <f t="shared" si="9"/>
        <v>FR</v>
      </c>
      <c r="AH9" s="2" t="s">
        <v>39</v>
      </c>
      <c r="AI9" t="str">
        <f>""</f>
        <v/>
      </c>
      <c r="AJ9" t="s">
        <v>50</v>
      </c>
      <c r="AK9" t="s">
        <v>61</v>
      </c>
      <c r="AL9" t="s">
        <v>72</v>
      </c>
      <c r="AM9" t="s">
        <v>82</v>
      </c>
      <c r="AN9" t="str">
        <f>""</f>
        <v/>
      </c>
      <c r="AO9" t="str">
        <f>""</f>
        <v/>
      </c>
      <c r="AP9" t="str">
        <f>""</f>
        <v/>
      </c>
    </row>
    <row r="10" spans="1:42">
      <c r="A10" t="str">
        <f>"ACEVIA"</f>
        <v>ACEVIA</v>
      </c>
      <c r="B10" t="str">
        <f>"ACEVIA"</f>
        <v>ACEVIA</v>
      </c>
      <c r="C10" t="str">
        <f t="shared" si="0"/>
        <v>Client</v>
      </c>
      <c r="D10" t="str">
        <f t="shared" si="1"/>
        <v>GR</v>
      </c>
      <c r="E10" t="str">
        <f t="shared" si="8"/>
        <v>CF</v>
      </c>
      <c r="F10" s="1">
        <v>40521</v>
      </c>
      <c r="G10" s="1">
        <v>401768</v>
      </c>
      <c r="H10" t="s">
        <v>0</v>
      </c>
      <c r="I10" s="6">
        <f>MATCH(B10,Feuil2!A$2:A$10,0)</f>
        <v>8</v>
      </c>
      <c r="J10" s="8" t="str">
        <f>IF(OR(ISERROR(I10),M10=1),REPT("Manuel  ",M10),INDEX(Feuil2!A$1:L$10,I10+1,12)*L10)</f>
        <v xml:space="preserve">Manuel  </v>
      </c>
      <c r="K10" s="9" t="str">
        <f>INDEX(Feuil2!A$1:L$10,I10+1,3)</f>
        <v>Route Martin</v>
      </c>
      <c r="L10" s="7">
        <f t="shared" si="6"/>
        <v>0</v>
      </c>
      <c r="M10" s="7">
        <f t="shared" si="7"/>
        <v>1</v>
      </c>
      <c r="N10" t="str">
        <f>""</f>
        <v/>
      </c>
      <c r="O10" t="str">
        <f>""</f>
        <v/>
      </c>
      <c r="P10" t="str">
        <f>""</f>
        <v/>
      </c>
      <c r="Q10" t="str">
        <f>""</f>
        <v/>
      </c>
      <c r="R10" t="str">
        <f>""</f>
        <v/>
      </c>
      <c r="S10" t="str">
        <f>""</f>
        <v/>
      </c>
      <c r="T10" t="str">
        <f>""</f>
        <v/>
      </c>
      <c r="U10" t="str">
        <f t="shared" si="3"/>
        <v>03</v>
      </c>
      <c r="V10" t="str">
        <f t="shared" si="4"/>
        <v>Virement</v>
      </c>
      <c r="W10" t="str">
        <f>""</f>
        <v/>
      </c>
      <c r="X10" t="str">
        <f>""</f>
        <v/>
      </c>
      <c r="Y10" t="str">
        <f>""</f>
        <v/>
      </c>
      <c r="Z10" t="s">
        <v>10</v>
      </c>
      <c r="AA10" t="s">
        <v>20</v>
      </c>
      <c r="AB10" t="str">
        <f>""</f>
        <v/>
      </c>
      <c r="AC10" t="s">
        <v>30</v>
      </c>
      <c r="AD10" t="str">
        <f>""</f>
        <v/>
      </c>
      <c r="AE10" t="str">
        <f>"12550"</f>
        <v>12550</v>
      </c>
      <c r="AF10" t="str">
        <f>"COUPIAC"</f>
        <v>COUPIAC</v>
      </c>
      <c r="AG10" t="str">
        <f t="shared" si="9"/>
        <v>FR</v>
      </c>
      <c r="AH10" s="2" t="s">
        <v>40</v>
      </c>
      <c r="AI10" t="str">
        <f>""</f>
        <v/>
      </c>
      <c r="AJ10" t="s">
        <v>51</v>
      </c>
      <c r="AK10" t="s">
        <v>62</v>
      </c>
      <c r="AL10" t="s">
        <v>73</v>
      </c>
      <c r="AM10" t="s">
        <v>83</v>
      </c>
      <c r="AN10" t="str">
        <f>""</f>
        <v/>
      </c>
      <c r="AO10" t="str">
        <f>""</f>
        <v/>
      </c>
      <c r="AP10" t="str">
        <f>""</f>
        <v/>
      </c>
    </row>
    <row r="11" spans="1:42">
      <c r="A11" t="str">
        <f>"ACH.BERTRA"</f>
        <v>ACH.BERTRA</v>
      </c>
      <c r="B11" t="str">
        <f>"ACHILLE BERTRAND ETS"</f>
        <v>ACHILLE BERTRAND ETS</v>
      </c>
      <c r="C11" t="str">
        <f t="shared" si="0"/>
        <v>Client</v>
      </c>
      <c r="D11" t="str">
        <f t="shared" si="1"/>
        <v>GR</v>
      </c>
      <c r="E11" t="str">
        <f t="shared" si="8"/>
        <v>CF</v>
      </c>
      <c r="F11" s="1">
        <v>40521</v>
      </c>
      <c r="G11" s="1">
        <v>401768</v>
      </c>
      <c r="H11" t="s">
        <v>0</v>
      </c>
      <c r="I11" s="6">
        <f>MATCH(B11,Feuil2!A$2:A$10,0)</f>
        <v>9</v>
      </c>
      <c r="J11" s="8">
        <f>IF(OR(ISERROR(I11),M11=1),REPT("Manuel  ",M11),INDEX(Feuil2!A$1:L$10,I11+1,12)*L11)</f>
        <v>23676</v>
      </c>
      <c r="K11" s="9" t="str">
        <f>INDEX(Feuil2!A$1:L$10,I11+1,3)</f>
        <v>ZI du Bois Joly, LES HERBIERS, 85500</v>
      </c>
      <c r="L11" s="7">
        <f t="shared" si="6"/>
        <v>1</v>
      </c>
      <c r="M11" s="7">
        <f t="shared" si="7"/>
        <v>0</v>
      </c>
      <c r="N11" t="str">
        <f>""</f>
        <v/>
      </c>
      <c r="O11" t="str">
        <f>""</f>
        <v/>
      </c>
      <c r="P11" t="str">
        <f>""</f>
        <v/>
      </c>
      <c r="Q11" t="str">
        <f>""</f>
        <v/>
      </c>
      <c r="R11" t="str">
        <f>""</f>
        <v/>
      </c>
      <c r="S11" t="str">
        <f>""</f>
        <v/>
      </c>
      <c r="T11" t="str">
        <f>""</f>
        <v/>
      </c>
      <c r="U11" t="str">
        <f t="shared" si="3"/>
        <v>03</v>
      </c>
      <c r="V11" t="str">
        <f t="shared" si="4"/>
        <v>Virement</v>
      </c>
      <c r="W11" t="str">
        <f>""</f>
        <v/>
      </c>
      <c r="X11" t="str">
        <f>""</f>
        <v/>
      </c>
      <c r="Y11" t="str">
        <f>""</f>
        <v/>
      </c>
      <c r="Z11" t="s">
        <v>11</v>
      </c>
      <c r="AA11" t="s">
        <v>21</v>
      </c>
      <c r="AB11" t="str">
        <f>""</f>
        <v/>
      </c>
      <c r="AC11" t="s">
        <v>31</v>
      </c>
      <c r="AD11" t="str">
        <f>""</f>
        <v/>
      </c>
      <c r="AE11" t="str">
        <f>"85500"</f>
        <v>85500</v>
      </c>
      <c r="AF11" t="str">
        <f>"LES HERBIERS"</f>
        <v>LES HERBIERS</v>
      </c>
      <c r="AG11" t="str">
        <f t="shared" si="9"/>
        <v>FR</v>
      </c>
      <c r="AH11" s="2" t="s">
        <v>41</v>
      </c>
      <c r="AI11" t="str">
        <f>""</f>
        <v/>
      </c>
      <c r="AJ11" t="s">
        <v>52</v>
      </c>
      <c r="AK11" t="s">
        <v>63</v>
      </c>
      <c r="AL11" t="s">
        <v>74</v>
      </c>
      <c r="AM11" t="s">
        <v>84</v>
      </c>
      <c r="AN11" t="str">
        <f>""</f>
        <v/>
      </c>
      <c r="AO11" t="str">
        <f>""</f>
        <v/>
      </c>
      <c r="AP11" t="str">
        <f>""</f>
        <v/>
      </c>
    </row>
    <row r="12" spans="1:42">
      <c r="A12" t="str">
        <f>"ACHERE"</f>
        <v>ACHERE</v>
      </c>
      <c r="B12" t="str">
        <f>"ACHERE JM"</f>
        <v>ACHERE JM</v>
      </c>
      <c r="C12" t="str">
        <f t="shared" si="0"/>
        <v>Client</v>
      </c>
      <c r="D12" t="str">
        <f t="shared" si="1"/>
        <v>GR</v>
      </c>
      <c r="E12" t="str">
        <f t="shared" si="8"/>
        <v>CF</v>
      </c>
      <c r="F12" s="1">
        <v>40521</v>
      </c>
      <c r="G12" s="1">
        <v>401768</v>
      </c>
      <c r="H12" t="s">
        <v>0</v>
      </c>
      <c r="I12" s="6" t="e">
        <f>MATCH(B12,Feuil2!A$2:A$10,0)</f>
        <v>#N/A</v>
      </c>
      <c r="J12" s="8" t="e">
        <f>IF(OR(ISERROR(I12),M12=1),REPT("Manuel  ",M12),INDEX(Feuil2!A$1:L$10,I12+1,12)*L12)</f>
        <v>#N/A</v>
      </c>
      <c r="K12" s="9" t="e">
        <f>INDEX(Feuil2!A$1:L$10,I12+1,3)</f>
        <v>#N/A</v>
      </c>
      <c r="L12" s="7" t="e">
        <f t="shared" si="6"/>
        <v>#N/A</v>
      </c>
      <c r="M12" s="7" t="e">
        <f>IF(AC12=K12,1,0)</f>
        <v>#N/A</v>
      </c>
      <c r="N12" t="str">
        <f>""</f>
        <v/>
      </c>
      <c r="O12" t="str">
        <f>""</f>
        <v/>
      </c>
      <c r="P12" t="str">
        <f>""</f>
        <v/>
      </c>
      <c r="Q12" t="str">
        <f>""</f>
        <v/>
      </c>
      <c r="R12" t="str">
        <f>""</f>
        <v/>
      </c>
      <c r="S12" t="str">
        <f>""</f>
        <v/>
      </c>
      <c r="T12" t="str">
        <f>""</f>
        <v/>
      </c>
      <c r="U12" t="str">
        <f t="shared" si="3"/>
        <v>03</v>
      </c>
      <c r="V12" t="str">
        <f t="shared" si="4"/>
        <v>Virement</v>
      </c>
      <c r="W12" t="str">
        <f>""</f>
        <v/>
      </c>
      <c r="X12" t="str">
        <f>""</f>
        <v/>
      </c>
      <c r="Y12" t="str">
        <f>""</f>
        <v/>
      </c>
      <c r="Z12" t="str">
        <f>""</f>
        <v/>
      </c>
      <c r="AA12" t="str">
        <f>""</f>
        <v/>
      </c>
      <c r="AB12" t="str">
        <f>""</f>
        <v/>
      </c>
      <c r="AC12" t="str">
        <f>""</f>
        <v/>
      </c>
      <c r="AD12" t="str">
        <f>""</f>
        <v/>
      </c>
      <c r="AE12" t="str">
        <f>""</f>
        <v/>
      </c>
      <c r="AF12" t="str">
        <f>""</f>
        <v/>
      </c>
      <c r="AG12" t="str">
        <f t="shared" si="9"/>
        <v>FR</v>
      </c>
      <c r="AH12" s="2" t="str">
        <f>""</f>
        <v/>
      </c>
      <c r="AI12" t="str">
        <f>""</f>
        <v/>
      </c>
      <c r="AJ12" t="s">
        <v>53</v>
      </c>
      <c r="AK12" t="s">
        <v>64</v>
      </c>
      <c r="AL12" t="s">
        <v>75</v>
      </c>
      <c r="AM12" t="s">
        <v>85</v>
      </c>
      <c r="AN12" t="str">
        <f>""</f>
        <v/>
      </c>
      <c r="AO12" t="str">
        <f>""</f>
        <v/>
      </c>
      <c r="AP12" t="str">
        <f>""</f>
        <v/>
      </c>
    </row>
    <row r="15" spans="1:42">
      <c r="B15" s="11" t="s">
        <v>138</v>
      </c>
      <c r="G15" s="10" t="s">
        <v>135</v>
      </c>
      <c r="K15" s="10" t="s">
        <v>126</v>
      </c>
      <c r="L15" s="10" t="s">
        <v>131</v>
      </c>
    </row>
    <row r="16" spans="1:42">
      <c r="B16" s="11" t="s">
        <v>139</v>
      </c>
      <c r="G16" s="10" t="s">
        <v>136</v>
      </c>
      <c r="K16" s="10" t="s">
        <v>125</v>
      </c>
      <c r="L16" s="10" t="s">
        <v>132</v>
      </c>
    </row>
    <row r="17" spans="2:12">
      <c r="B17" s="11" t="s">
        <v>140</v>
      </c>
      <c r="K17" s="10" t="s">
        <v>124</v>
      </c>
      <c r="L17" s="10" t="s">
        <v>133</v>
      </c>
    </row>
    <row r="19" spans="2:12">
      <c r="J19" s="10" t="s">
        <v>137</v>
      </c>
    </row>
    <row r="20" spans="2:12">
      <c r="J20" s="10" t="s">
        <v>127</v>
      </c>
    </row>
    <row r="21" spans="2:12">
      <c r="J21" s="10" t="s">
        <v>128</v>
      </c>
    </row>
    <row r="22" spans="2:12">
      <c r="J22" s="10" t="s">
        <v>141</v>
      </c>
    </row>
    <row r="23" spans="2:12">
      <c r="J23" s="10" t="s">
        <v>142</v>
      </c>
    </row>
  </sheetData>
  <phoneticPr fontId="1" type="noConversion"/>
  <conditionalFormatting sqref="I1:M1048576">
    <cfRule type="containsErrors" dxfId="17" priority="7">
      <formula>ISERROR(I1)</formula>
    </cfRule>
  </conditionalFormatting>
  <conditionalFormatting sqref="J1:J1048576">
    <cfRule type="containsText" dxfId="16" priority="2" operator="containsText" text="Manuel">
      <formula>NOT(ISERROR(SEARCH("Manuel",J1)))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"/>
  <sheetViews>
    <sheetView workbookViewId="0">
      <selection activeCell="C18" sqref="C18"/>
    </sheetView>
  </sheetViews>
  <sheetFormatPr baseColWidth="10" defaultRowHeight="15"/>
  <cols>
    <col min="1" max="1" width="25.42578125" customWidth="1"/>
    <col min="2" max="2" width="6.7109375" customWidth="1"/>
    <col min="3" max="3" width="48.5703125" customWidth="1"/>
    <col min="4" max="4" width="4.140625" customWidth="1"/>
    <col min="5" max="5" width="3.7109375" customWidth="1"/>
    <col min="6" max="6" width="3.28515625" customWidth="1"/>
    <col min="7" max="7" width="3.7109375" customWidth="1"/>
    <col min="8" max="8" width="3.5703125" customWidth="1"/>
    <col min="9" max="9" width="8.7109375" customWidth="1"/>
    <col min="10" max="11" width="8" customWidth="1"/>
    <col min="12" max="12" width="7.5703125" customWidth="1"/>
  </cols>
  <sheetData>
    <row r="1" spans="1:12">
      <c r="A1" t="s">
        <v>118</v>
      </c>
      <c r="C1" t="s">
        <v>122</v>
      </c>
      <c r="G1" t="s">
        <v>121</v>
      </c>
      <c r="L1" s="4" t="s">
        <v>116</v>
      </c>
    </row>
    <row r="2" spans="1:12">
      <c r="A2" t="s">
        <v>86</v>
      </c>
      <c r="B2" t="s">
        <v>87</v>
      </c>
      <c r="C2" t="s">
        <v>88</v>
      </c>
      <c r="D2">
        <v>0</v>
      </c>
      <c r="E2">
        <v>0</v>
      </c>
      <c r="G2" t="s">
        <v>89</v>
      </c>
      <c r="K2" t="s">
        <v>107</v>
      </c>
      <c r="L2" s="3">
        <v>23667</v>
      </c>
    </row>
    <row r="3" spans="1:12">
      <c r="A3" t="s">
        <v>90</v>
      </c>
      <c r="B3" t="s">
        <v>87</v>
      </c>
      <c r="C3" t="s">
        <v>91</v>
      </c>
      <c r="D3">
        <v>0</v>
      </c>
      <c r="E3">
        <v>0</v>
      </c>
      <c r="G3" t="s">
        <v>89</v>
      </c>
      <c r="I3" t="s">
        <v>115</v>
      </c>
      <c r="K3" t="s">
        <v>108</v>
      </c>
      <c r="L3" s="3">
        <v>23674</v>
      </c>
    </row>
    <row r="4" spans="1:12">
      <c r="A4" t="s">
        <v>92</v>
      </c>
      <c r="B4" t="s">
        <v>87</v>
      </c>
      <c r="C4" t="s">
        <v>93</v>
      </c>
      <c r="D4">
        <v>0</v>
      </c>
      <c r="E4">
        <v>0</v>
      </c>
      <c r="G4" t="s">
        <v>89</v>
      </c>
      <c r="I4" t="s">
        <v>117</v>
      </c>
      <c r="K4" t="s">
        <v>109</v>
      </c>
      <c r="L4" s="3">
        <v>23673</v>
      </c>
    </row>
    <row r="5" spans="1:12">
      <c r="A5" t="s">
        <v>95</v>
      </c>
      <c r="B5" t="s">
        <v>87</v>
      </c>
      <c r="C5" t="s">
        <v>96</v>
      </c>
      <c r="D5">
        <v>0</v>
      </c>
      <c r="E5">
        <v>0</v>
      </c>
      <c r="G5" t="s">
        <v>97</v>
      </c>
      <c r="I5" t="s">
        <v>12</v>
      </c>
      <c r="K5" t="s">
        <v>110</v>
      </c>
      <c r="L5" s="3">
        <v>23669</v>
      </c>
    </row>
    <row r="6" spans="1:12">
      <c r="A6" t="s">
        <v>98</v>
      </c>
      <c r="B6" t="s">
        <v>87</v>
      </c>
      <c r="C6" t="s">
        <v>99</v>
      </c>
      <c r="D6">
        <v>0</v>
      </c>
      <c r="E6">
        <v>0</v>
      </c>
      <c r="G6" t="s">
        <v>89</v>
      </c>
      <c r="I6" t="s">
        <v>13</v>
      </c>
      <c r="J6" t="s">
        <v>18</v>
      </c>
      <c r="K6" t="s">
        <v>111</v>
      </c>
      <c r="L6" s="3">
        <v>23670</v>
      </c>
    </row>
    <row r="7" spans="1:12">
      <c r="A7" t="s">
        <v>100</v>
      </c>
      <c r="B7" t="s">
        <v>87</v>
      </c>
      <c r="C7" t="s">
        <v>101</v>
      </c>
      <c r="D7">
        <v>0</v>
      </c>
      <c r="E7">
        <v>0</v>
      </c>
      <c r="G7" t="s">
        <v>89</v>
      </c>
      <c r="I7" t="s">
        <v>14</v>
      </c>
      <c r="K7" t="s">
        <v>112</v>
      </c>
      <c r="L7" s="3">
        <v>23672</v>
      </c>
    </row>
    <row r="8" spans="1:12">
      <c r="A8" t="s">
        <v>102</v>
      </c>
      <c r="B8" t="s">
        <v>87</v>
      </c>
      <c r="C8" t="s">
        <v>103</v>
      </c>
      <c r="D8">
        <v>0</v>
      </c>
      <c r="E8">
        <v>0</v>
      </c>
      <c r="G8" t="s">
        <v>89</v>
      </c>
      <c r="I8" t="s">
        <v>15</v>
      </c>
      <c r="K8" t="s">
        <v>113</v>
      </c>
      <c r="L8" s="3">
        <v>23671</v>
      </c>
    </row>
    <row r="9" spans="1:12">
      <c r="A9" t="s">
        <v>104</v>
      </c>
      <c r="B9" t="s">
        <v>87</v>
      </c>
      <c r="C9" t="s">
        <v>30</v>
      </c>
      <c r="D9">
        <v>0</v>
      </c>
      <c r="E9">
        <v>0</v>
      </c>
      <c r="G9" t="s">
        <v>89</v>
      </c>
      <c r="I9" t="s">
        <v>16</v>
      </c>
      <c r="K9" t="s">
        <v>114</v>
      </c>
      <c r="L9" s="3">
        <v>23675</v>
      </c>
    </row>
    <row r="10" spans="1:12">
      <c r="A10" t="s">
        <v>105</v>
      </c>
      <c r="B10" t="s">
        <v>87</v>
      </c>
      <c r="C10" t="s">
        <v>106</v>
      </c>
      <c r="D10">
        <v>0</v>
      </c>
      <c r="E10">
        <v>0</v>
      </c>
      <c r="G10" t="s">
        <v>89</v>
      </c>
      <c r="I10" t="s">
        <v>17</v>
      </c>
      <c r="K10" t="s">
        <v>115</v>
      </c>
      <c r="L10" s="3">
        <v>23676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JBV0419</dc:creator>
  <cp:lastModifiedBy>Patrice</cp:lastModifiedBy>
  <dcterms:created xsi:type="dcterms:W3CDTF">2019-12-02T07:53:43Z</dcterms:created>
  <dcterms:modified xsi:type="dcterms:W3CDTF">2019-12-02T11:07:46Z</dcterms:modified>
</cp:coreProperties>
</file>