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codeName="{4470D2CD-2249-CD33-4A35-6F278624656F}"/>
  <workbookPr showInkAnnotation="0" codeName="ThisWorkbook" defaultThemeVersion="124226"/>
  <mc:AlternateContent xmlns:mc="http://schemas.openxmlformats.org/markup-compatibility/2006">
    <mc:Choice Requires="x15">
      <x15ac:absPath xmlns:x15ac="http://schemas.microsoft.com/office/spreadsheetml/2010/11/ac" url="C:\Users\Jean-Luc\Downloads\"/>
    </mc:Choice>
  </mc:AlternateContent>
  <xr:revisionPtr revIDLastSave="0" documentId="13_ncr:1_{5E3767EF-3E32-4200-B1BC-5FBF6B2759E0}" xr6:coauthVersionLast="45" xr6:coauthVersionMax="45" xr10:uidLastSave="{00000000-0000-0000-0000-000000000000}"/>
  <bookViews>
    <workbookView xWindow="-120" yWindow="-120" windowWidth="20730" windowHeight="11160" activeTab="1" xr2:uid="{00000000-000D-0000-FFFF-FFFF00000000}"/>
  </bookViews>
  <sheets>
    <sheet name="Méthodo Interne" sheetId="14" r:id="rId1"/>
    <sheet name="TP Variable" sheetId="10" r:id="rId2"/>
    <sheet name="Jours Fériés" sheetId="5" r:id="rId3"/>
  </sheets>
  <externalReferences>
    <externalReference r:id="rId4"/>
  </externalReferences>
  <definedNames>
    <definedName name="Année">'TP Variable'!$AM$2:$AM$25</definedName>
    <definedName name="feries">[1]donnée!$F$4:$F$16</definedName>
    <definedName name="moi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5" i="10" l="1"/>
  <c r="K45" i="10" s="1"/>
  <c r="J45" i="10"/>
  <c r="AB40" i="10" l="1"/>
  <c r="AC40" i="10" s="1"/>
  <c r="AC39" i="10"/>
  <c r="AB2" i="10" l="1"/>
  <c r="Q45" i="10" s="1"/>
  <c r="AE2" i="10" l="1"/>
  <c r="AE1" i="10" s="1"/>
  <c r="AF2" i="10" l="1"/>
  <c r="P45" i="10" s="1"/>
  <c r="T2" i="10"/>
  <c r="P2" i="10" l="1"/>
  <c r="A4" i="10" l="1"/>
  <c r="AH25" i="10"/>
  <c r="G30" i="10"/>
  <c r="Y29" i="10"/>
  <c r="A17" i="10"/>
  <c r="S5" i="10"/>
  <c r="D17" i="10"/>
  <c r="V17" i="10"/>
  <c r="A5" i="10"/>
  <c r="M13" i="10"/>
  <c r="AE21" i="10"/>
  <c r="A7" i="10"/>
  <c r="A25" i="10"/>
  <c r="D25" i="10"/>
  <c r="J9" i="10"/>
  <c r="M29" i="10"/>
  <c r="S13" i="10"/>
  <c r="V25" i="10"/>
  <c r="AB17" i="10"/>
  <c r="AE29" i="10"/>
  <c r="AH17" i="10"/>
  <c r="A11" i="10"/>
  <c r="C2" i="5"/>
  <c r="G6" i="10"/>
  <c r="J25" i="10"/>
  <c r="P9" i="10"/>
  <c r="S21" i="10"/>
  <c r="Y13" i="10"/>
  <c r="AB25" i="10"/>
  <c r="AH9" i="10"/>
  <c r="A12" i="10"/>
  <c r="Y4" i="10"/>
  <c r="G22" i="10"/>
  <c r="M5" i="10"/>
  <c r="P17" i="10"/>
  <c r="V9" i="10"/>
  <c r="Y21" i="10"/>
  <c r="AE5" i="10"/>
  <c r="A8" i="10"/>
  <c r="A19" i="10"/>
  <c r="D9" i="10"/>
  <c r="G14" i="10"/>
  <c r="J17" i="10"/>
  <c r="M21" i="10"/>
  <c r="P25" i="10"/>
  <c r="S29" i="10"/>
  <c r="Y5" i="10"/>
  <c r="AB9" i="10"/>
  <c r="AE13" i="10"/>
  <c r="AH32" i="10"/>
  <c r="AH28" i="10"/>
  <c r="AH24" i="10"/>
  <c r="AH20" i="10"/>
  <c r="AH16" i="10"/>
  <c r="AH12" i="10"/>
  <c r="AH8" i="10"/>
  <c r="AE32" i="10"/>
  <c r="AE28" i="10"/>
  <c r="AE24" i="10"/>
  <c r="AE20" i="10"/>
  <c r="AE16" i="10"/>
  <c r="AE12" i="10"/>
  <c r="AE8" i="10"/>
  <c r="AB32" i="10"/>
  <c r="AB28" i="10"/>
  <c r="AB24" i="10"/>
  <c r="AB20" i="10"/>
  <c r="AB16" i="10"/>
  <c r="AB12" i="10"/>
  <c r="AB8" i="10"/>
  <c r="Y32" i="10"/>
  <c r="Y28" i="10"/>
  <c r="Y24" i="10"/>
  <c r="Y20" i="10"/>
  <c r="Y16" i="10"/>
  <c r="Y12" i="10"/>
  <c r="Y8" i="10"/>
  <c r="V32" i="10"/>
  <c r="V28" i="10"/>
  <c r="V24" i="10"/>
  <c r="V20" i="10"/>
  <c r="V16" i="10"/>
  <c r="V12" i="10"/>
  <c r="V8" i="10"/>
  <c r="S32" i="10"/>
  <c r="S28" i="10"/>
  <c r="S24" i="10"/>
  <c r="S20" i="10"/>
  <c r="S16" i="10"/>
  <c r="S12" i="10"/>
  <c r="S8" i="10"/>
  <c r="P32" i="10"/>
  <c r="P28" i="10"/>
  <c r="P24" i="10"/>
  <c r="P20" i="10"/>
  <c r="P16" i="10"/>
  <c r="P12" i="10"/>
  <c r="P8" i="10"/>
  <c r="M32" i="10"/>
  <c r="M28" i="10"/>
  <c r="M24" i="10"/>
  <c r="M20" i="10"/>
  <c r="M16" i="10"/>
  <c r="M12" i="10"/>
  <c r="M8" i="10"/>
  <c r="J32" i="10"/>
  <c r="J28" i="10"/>
  <c r="J24" i="10"/>
  <c r="J20" i="10"/>
  <c r="J16" i="10"/>
  <c r="J12" i="10"/>
  <c r="J8" i="10"/>
  <c r="G32" i="10"/>
  <c r="G29" i="10"/>
  <c r="G25" i="10"/>
  <c r="G21" i="10"/>
  <c r="G17" i="10"/>
  <c r="G13" i="10"/>
  <c r="G9" i="10"/>
  <c r="G5" i="10"/>
  <c r="D28" i="10"/>
  <c r="D24" i="10"/>
  <c r="D20" i="10"/>
  <c r="D16" i="10"/>
  <c r="D12" i="10"/>
  <c r="D8" i="10"/>
  <c r="AH4" i="10"/>
  <c r="V4" i="10"/>
  <c r="J4" i="10"/>
  <c r="A32" i="10"/>
  <c r="A33" i="10" s="1"/>
  <c r="A34" i="10" s="1"/>
  <c r="A35" i="10" s="1"/>
  <c r="A28" i="10"/>
  <c r="A24" i="10"/>
  <c r="A20" i="10"/>
  <c r="A16" i="10"/>
  <c r="AH30" i="10"/>
  <c r="AH26" i="10"/>
  <c r="AH22" i="10"/>
  <c r="AH18" i="10"/>
  <c r="AH14" i="10"/>
  <c r="AH10" i="10"/>
  <c r="AH6" i="10"/>
  <c r="AE30" i="10"/>
  <c r="AE26" i="10"/>
  <c r="AE22" i="10"/>
  <c r="AE18" i="10"/>
  <c r="AE14" i="10"/>
  <c r="AE10" i="10"/>
  <c r="AE6" i="10"/>
  <c r="AB30" i="10"/>
  <c r="AB26" i="10"/>
  <c r="AB22" i="10"/>
  <c r="AB18" i="10"/>
  <c r="AB14" i="10"/>
  <c r="AB10" i="10"/>
  <c r="AB6" i="10"/>
  <c r="Y30" i="10"/>
  <c r="Y26" i="10"/>
  <c r="Y22" i="10"/>
  <c r="Y18" i="10"/>
  <c r="Y14" i="10"/>
  <c r="Y10" i="10"/>
  <c r="Y6" i="10"/>
  <c r="V30" i="10"/>
  <c r="V26" i="10"/>
  <c r="V22" i="10"/>
  <c r="V18" i="10"/>
  <c r="V14" i="10"/>
  <c r="V10" i="10"/>
  <c r="V6" i="10"/>
  <c r="S30" i="10"/>
  <c r="S26" i="10"/>
  <c r="S22" i="10"/>
  <c r="S18" i="10"/>
  <c r="S14" i="10"/>
  <c r="S10" i="10"/>
  <c r="S6" i="10"/>
  <c r="P30" i="10"/>
  <c r="P26" i="10"/>
  <c r="P22" i="10"/>
  <c r="P18" i="10"/>
  <c r="P14" i="10"/>
  <c r="P10" i="10"/>
  <c r="P6" i="10"/>
  <c r="M30" i="10"/>
  <c r="M26" i="10"/>
  <c r="M22" i="10"/>
  <c r="M18" i="10"/>
  <c r="M14" i="10"/>
  <c r="M10" i="10"/>
  <c r="M6" i="10"/>
  <c r="J30" i="10"/>
  <c r="J26" i="10"/>
  <c r="J22" i="10"/>
  <c r="J18" i="10"/>
  <c r="J14" i="10"/>
  <c r="J10" i="10"/>
  <c r="J6" i="10"/>
  <c r="G31" i="10"/>
  <c r="G27" i="10"/>
  <c r="G23" i="10"/>
  <c r="G19" i="10"/>
  <c r="G15" i="10"/>
  <c r="G11" i="10"/>
  <c r="G7" i="10"/>
  <c r="D30" i="10"/>
  <c r="D26" i="10"/>
  <c r="D22" i="10"/>
  <c r="D18" i="10"/>
  <c r="D14" i="10"/>
  <c r="D10" i="10"/>
  <c r="D6" i="10"/>
  <c r="AB4" i="10"/>
  <c r="M4" i="10"/>
  <c r="D4" i="10"/>
  <c r="A30" i="10"/>
  <c r="A26" i="10"/>
  <c r="A22" i="10"/>
  <c r="A18" i="10"/>
  <c r="A14" i="10"/>
  <c r="A9" i="10"/>
  <c r="A13" i="10"/>
  <c r="A21" i="10"/>
  <c r="A29" i="10"/>
  <c r="P4" i="10"/>
  <c r="D5" i="10"/>
  <c r="D13" i="10"/>
  <c r="D21" i="10"/>
  <c r="D29" i="10"/>
  <c r="G10" i="10"/>
  <c r="G18" i="10"/>
  <c r="G26" i="10"/>
  <c r="J5" i="10"/>
  <c r="J13" i="10"/>
  <c r="J21" i="10"/>
  <c r="J29" i="10"/>
  <c r="M9" i="10"/>
  <c r="M17" i="10"/>
  <c r="M25" i="10"/>
  <c r="P5" i="10"/>
  <c r="P13" i="10"/>
  <c r="P21" i="10"/>
  <c r="P29" i="10"/>
  <c r="S9" i="10"/>
  <c r="S17" i="10"/>
  <c r="S25" i="10"/>
  <c r="V5" i="10"/>
  <c r="V13" i="10"/>
  <c r="V21" i="10"/>
  <c r="V29" i="10"/>
  <c r="Y9" i="10"/>
  <c r="Y17" i="10"/>
  <c r="Y25" i="10"/>
  <c r="AB5" i="10"/>
  <c r="AB13" i="10"/>
  <c r="AB21" i="10"/>
  <c r="AB29" i="10"/>
  <c r="AE9" i="10"/>
  <c r="AE17" i="10"/>
  <c r="AE25" i="10"/>
  <c r="AH5" i="10"/>
  <c r="AH13" i="10"/>
  <c r="AH21" i="10"/>
  <c r="AH29" i="10"/>
  <c r="A27" i="10"/>
  <c r="G4" i="10"/>
  <c r="AE4" i="10"/>
  <c r="D11" i="10"/>
  <c r="D19" i="10"/>
  <c r="D27" i="10"/>
  <c r="G8" i="10"/>
  <c r="G16" i="10"/>
  <c r="G24" i="10"/>
  <c r="D32" i="10"/>
  <c r="J11" i="10"/>
  <c r="J19" i="10"/>
  <c r="J27" i="10"/>
  <c r="M7" i="10"/>
  <c r="M15" i="10"/>
  <c r="M23" i="10"/>
  <c r="M31" i="10"/>
  <c r="P11" i="10"/>
  <c r="P19" i="10"/>
  <c r="P27" i="10"/>
  <c r="S7" i="10"/>
  <c r="S15" i="10"/>
  <c r="S23" i="10"/>
  <c r="S31" i="10"/>
  <c r="V11" i="10"/>
  <c r="V19" i="10"/>
  <c r="V27" i="10"/>
  <c r="Y7" i="10"/>
  <c r="Y15" i="10"/>
  <c r="Y23" i="10"/>
  <c r="Y31" i="10"/>
  <c r="AB11" i="10"/>
  <c r="AB19" i="10"/>
  <c r="AB27" i="10"/>
  <c r="AE7" i="10"/>
  <c r="AE15" i="10"/>
  <c r="AE23" i="10"/>
  <c r="AE31" i="10"/>
  <c r="AH11" i="10"/>
  <c r="AH19" i="10"/>
  <c r="AH27" i="10"/>
  <c r="A6" i="10"/>
  <c r="A10" i="10"/>
  <c r="A15" i="10"/>
  <c r="A23" i="10"/>
  <c r="A31" i="10"/>
  <c r="S4" i="10"/>
  <c r="D7" i="10"/>
  <c r="D15" i="10"/>
  <c r="D23" i="10"/>
  <c r="D31" i="10"/>
  <c r="G12" i="10"/>
  <c r="G20" i="10"/>
  <c r="G28" i="10"/>
  <c r="J7" i="10"/>
  <c r="J15" i="10"/>
  <c r="J23" i="10"/>
  <c r="J31" i="10"/>
  <c r="M11" i="10"/>
  <c r="M19" i="10"/>
  <c r="M27" i="10"/>
  <c r="P7" i="10"/>
  <c r="P15" i="10"/>
  <c r="P23" i="10"/>
  <c r="P31" i="10"/>
  <c r="S11" i="10"/>
  <c r="S19" i="10"/>
  <c r="S27" i="10"/>
  <c r="V7" i="10"/>
  <c r="V15" i="10"/>
  <c r="V23" i="10"/>
  <c r="V31" i="10"/>
  <c r="Y11" i="10"/>
  <c r="Y19" i="10"/>
  <c r="Y27" i="10"/>
  <c r="AB7" i="10"/>
  <c r="AB15" i="10"/>
  <c r="AB23" i="10"/>
  <c r="AB31" i="10"/>
  <c r="AE11" i="10"/>
  <c r="AE19" i="10"/>
  <c r="AE27" i="10"/>
  <c r="AH7" i="10"/>
  <c r="AH15" i="10"/>
  <c r="AH23" i="10"/>
  <c r="AH31" i="10"/>
  <c r="AD21" i="10" l="1"/>
  <c r="AD22" i="10"/>
  <c r="AD23" i="10"/>
  <c r="AD24" i="10"/>
  <c r="AD25" i="10"/>
  <c r="E36" i="10" l="1"/>
  <c r="H36" i="10"/>
  <c r="K36" i="10"/>
  <c r="N36" i="10"/>
  <c r="Q36" i="10"/>
  <c r="T36" i="10"/>
  <c r="W36" i="10"/>
  <c r="Z36" i="10"/>
  <c r="AC36" i="10"/>
  <c r="AF36" i="10"/>
  <c r="AI36" i="10"/>
  <c r="B36" i="10"/>
  <c r="AJ35" i="10"/>
  <c r="AJ34" i="10"/>
  <c r="AJ33" i="10"/>
  <c r="AJ32" i="10"/>
  <c r="AJ31" i="10"/>
  <c r="AJ30" i="10"/>
  <c r="AJ29" i="10"/>
  <c r="AJ28" i="10"/>
  <c r="AJ27" i="10"/>
  <c r="AJ26" i="10"/>
  <c r="AJ25" i="10"/>
  <c r="AJ24" i="10"/>
  <c r="AJ23" i="10"/>
  <c r="AJ22" i="10"/>
  <c r="AJ21" i="10"/>
  <c r="AJ20" i="10"/>
  <c r="AJ19" i="10"/>
  <c r="AJ18" i="10"/>
  <c r="AJ17" i="10"/>
  <c r="AJ16" i="10"/>
  <c r="AJ15" i="10"/>
  <c r="AJ14" i="10"/>
  <c r="AJ13" i="10"/>
  <c r="AJ12" i="10"/>
  <c r="AJ11" i="10"/>
  <c r="AJ10" i="10"/>
  <c r="AJ9" i="10"/>
  <c r="AJ8" i="10"/>
  <c r="AJ7" i="10"/>
  <c r="AJ6" i="10"/>
  <c r="AJ5" i="10"/>
  <c r="AG35" i="10"/>
  <c r="AG34" i="10"/>
  <c r="AG33" i="10"/>
  <c r="AG32" i="10"/>
  <c r="AG31" i="10"/>
  <c r="AG30" i="10"/>
  <c r="AG29" i="10"/>
  <c r="AG28" i="10"/>
  <c r="AG27" i="10"/>
  <c r="AG26" i="10"/>
  <c r="AG25" i="10"/>
  <c r="AG24" i="10"/>
  <c r="AG23" i="10"/>
  <c r="AG22" i="10"/>
  <c r="AG21" i="10"/>
  <c r="AG20" i="10"/>
  <c r="AG19" i="10"/>
  <c r="AG18" i="10"/>
  <c r="AG17" i="10"/>
  <c r="AG16" i="10"/>
  <c r="AG15" i="10"/>
  <c r="AG14" i="10"/>
  <c r="AG13" i="10"/>
  <c r="AG12" i="10"/>
  <c r="AG11" i="10"/>
  <c r="AG10" i="10"/>
  <c r="AG9" i="10"/>
  <c r="AG8" i="10"/>
  <c r="AG7" i="10"/>
  <c r="AG6" i="10"/>
  <c r="AG5" i="10"/>
  <c r="AD35" i="10"/>
  <c r="AD34" i="10"/>
  <c r="AD33" i="10"/>
  <c r="AD32" i="10"/>
  <c r="AD31" i="10"/>
  <c r="AD30" i="10"/>
  <c r="AD29" i="10"/>
  <c r="AD28" i="10"/>
  <c r="AD27" i="10"/>
  <c r="AD26" i="10"/>
  <c r="AD20" i="10"/>
  <c r="AD19" i="10"/>
  <c r="AD18" i="10"/>
  <c r="AD17" i="10"/>
  <c r="AD16" i="10"/>
  <c r="AD15" i="10"/>
  <c r="AD14" i="10"/>
  <c r="AD13" i="10"/>
  <c r="AD12" i="10"/>
  <c r="AD11" i="10"/>
  <c r="AD10" i="10"/>
  <c r="AD9" i="10"/>
  <c r="AD8" i="10"/>
  <c r="AD7" i="10"/>
  <c r="AD6" i="10"/>
  <c r="AD5" i="10"/>
  <c r="AA35" i="10"/>
  <c r="AA34" i="10"/>
  <c r="AA33" i="10"/>
  <c r="AA32" i="10"/>
  <c r="AA31" i="10"/>
  <c r="AA30" i="10"/>
  <c r="AA29" i="10"/>
  <c r="AA28" i="10"/>
  <c r="AA27" i="10"/>
  <c r="AA26" i="10"/>
  <c r="AA25" i="10"/>
  <c r="AA24" i="10"/>
  <c r="AA23" i="10"/>
  <c r="AA22" i="10"/>
  <c r="AA21" i="10"/>
  <c r="AA20" i="10"/>
  <c r="AA19" i="10"/>
  <c r="AA18" i="10"/>
  <c r="AA17" i="10"/>
  <c r="AA16" i="10"/>
  <c r="AA15" i="10"/>
  <c r="AA14" i="10"/>
  <c r="AA13" i="10"/>
  <c r="AA12" i="10"/>
  <c r="AA11" i="10"/>
  <c r="AA10" i="10"/>
  <c r="AA9" i="10"/>
  <c r="AA8" i="10"/>
  <c r="AA7" i="10"/>
  <c r="AA6" i="10"/>
  <c r="AA5" i="10"/>
  <c r="X35" i="10"/>
  <c r="X34" i="10"/>
  <c r="X33" i="10"/>
  <c r="X32" i="10"/>
  <c r="X31" i="10"/>
  <c r="X30" i="10"/>
  <c r="X29" i="10"/>
  <c r="X28" i="10"/>
  <c r="X27" i="10"/>
  <c r="X26" i="10"/>
  <c r="X25" i="10"/>
  <c r="X24" i="10"/>
  <c r="X23" i="10"/>
  <c r="X22" i="10"/>
  <c r="X21" i="10"/>
  <c r="X20" i="10"/>
  <c r="X19" i="10"/>
  <c r="X18" i="10"/>
  <c r="X17" i="10"/>
  <c r="X16" i="10"/>
  <c r="X15" i="10"/>
  <c r="X14" i="10"/>
  <c r="X13" i="10"/>
  <c r="X12" i="10"/>
  <c r="X11" i="10"/>
  <c r="X10" i="10"/>
  <c r="X9" i="10"/>
  <c r="X8" i="10"/>
  <c r="X7" i="10"/>
  <c r="X6" i="10"/>
  <c r="X5" i="10"/>
  <c r="U35" i="10"/>
  <c r="U34" i="10"/>
  <c r="U33" i="10"/>
  <c r="U32" i="10"/>
  <c r="U31" i="10"/>
  <c r="U30" i="10"/>
  <c r="U29" i="10"/>
  <c r="U28" i="10"/>
  <c r="U27" i="10"/>
  <c r="U26" i="10"/>
  <c r="U25" i="10"/>
  <c r="U24" i="10"/>
  <c r="U23" i="10"/>
  <c r="U22" i="10"/>
  <c r="U21" i="10"/>
  <c r="U20" i="10"/>
  <c r="U19" i="10"/>
  <c r="U18" i="10"/>
  <c r="U17" i="10"/>
  <c r="U16" i="10"/>
  <c r="U15" i="10"/>
  <c r="U14" i="10"/>
  <c r="U13" i="10"/>
  <c r="U12" i="10"/>
  <c r="U11" i="10"/>
  <c r="U10" i="10"/>
  <c r="U9" i="10"/>
  <c r="U8" i="10"/>
  <c r="U7" i="10"/>
  <c r="U6" i="10"/>
  <c r="U5" i="10"/>
  <c r="R35" i="10"/>
  <c r="R34" i="10"/>
  <c r="R33" i="10"/>
  <c r="R32" i="10"/>
  <c r="R31" i="10"/>
  <c r="R30" i="10"/>
  <c r="R29" i="10"/>
  <c r="R28" i="10"/>
  <c r="R27" i="10"/>
  <c r="R26" i="10"/>
  <c r="R25" i="10"/>
  <c r="R24" i="10"/>
  <c r="R23" i="10"/>
  <c r="R22" i="10"/>
  <c r="R21" i="10"/>
  <c r="R20" i="10"/>
  <c r="R19" i="10"/>
  <c r="R18" i="10"/>
  <c r="R17" i="10"/>
  <c r="R16" i="10"/>
  <c r="R15" i="10"/>
  <c r="R14" i="10"/>
  <c r="R13" i="10"/>
  <c r="R12" i="10"/>
  <c r="R11" i="10"/>
  <c r="R10" i="10"/>
  <c r="R9" i="10"/>
  <c r="R8" i="10"/>
  <c r="R7" i="10"/>
  <c r="R6" i="10"/>
  <c r="R5" i="10"/>
  <c r="O35" i="10"/>
  <c r="O34" i="10"/>
  <c r="O33" i="10"/>
  <c r="O32" i="10"/>
  <c r="O31" i="10"/>
  <c r="O30" i="10"/>
  <c r="O29" i="10"/>
  <c r="O28" i="10"/>
  <c r="O27" i="10"/>
  <c r="O26" i="10"/>
  <c r="O25" i="10"/>
  <c r="O24" i="10"/>
  <c r="O23" i="10"/>
  <c r="O22" i="10"/>
  <c r="O21" i="10"/>
  <c r="O20" i="10"/>
  <c r="O19" i="10"/>
  <c r="O18" i="10"/>
  <c r="O17" i="10"/>
  <c r="O16" i="10"/>
  <c r="O15" i="10"/>
  <c r="O14" i="10"/>
  <c r="O13" i="10"/>
  <c r="O12" i="10"/>
  <c r="O11" i="10"/>
  <c r="O10" i="10"/>
  <c r="O9" i="10"/>
  <c r="O8" i="10"/>
  <c r="O7" i="10"/>
  <c r="O6" i="10"/>
  <c r="O5" i="10"/>
  <c r="L35" i="10"/>
  <c r="L34" i="10"/>
  <c r="L33" i="10"/>
  <c r="L32" i="10"/>
  <c r="L31" i="10"/>
  <c r="L30" i="10"/>
  <c r="L29" i="10"/>
  <c r="L28" i="10"/>
  <c r="L27" i="10"/>
  <c r="L26" i="10"/>
  <c r="L25" i="10"/>
  <c r="L24" i="10"/>
  <c r="L23" i="10"/>
  <c r="L22" i="10"/>
  <c r="L21" i="10"/>
  <c r="L20" i="10"/>
  <c r="L19" i="10"/>
  <c r="L18" i="10"/>
  <c r="L17" i="10"/>
  <c r="L16" i="10"/>
  <c r="L15" i="10"/>
  <c r="L14" i="10"/>
  <c r="L13" i="10"/>
  <c r="L12" i="10"/>
  <c r="L11" i="10"/>
  <c r="L10" i="10"/>
  <c r="L9" i="10"/>
  <c r="L8" i="10"/>
  <c r="L7" i="10"/>
  <c r="L6" i="10"/>
  <c r="L5" i="10"/>
  <c r="I35" i="10"/>
  <c r="I34" i="10"/>
  <c r="I33" i="10"/>
  <c r="I32" i="10"/>
  <c r="I31" i="10"/>
  <c r="I30" i="10"/>
  <c r="I29" i="10"/>
  <c r="I28" i="10"/>
  <c r="I27" i="10"/>
  <c r="I26" i="10"/>
  <c r="I25" i="10"/>
  <c r="I24" i="10"/>
  <c r="I23" i="10"/>
  <c r="I22" i="10"/>
  <c r="I21" i="10"/>
  <c r="I20" i="10"/>
  <c r="I19" i="10"/>
  <c r="I18" i="10"/>
  <c r="I17" i="10"/>
  <c r="I16" i="10"/>
  <c r="I15" i="10"/>
  <c r="I14" i="10"/>
  <c r="I13" i="10"/>
  <c r="I12" i="10"/>
  <c r="I11" i="10"/>
  <c r="I10" i="10"/>
  <c r="I9" i="10"/>
  <c r="I8" i="10"/>
  <c r="I7" i="10"/>
  <c r="I6" i="10"/>
  <c r="I5" i="10"/>
  <c r="F35" i="10"/>
  <c r="F34" i="10"/>
  <c r="F33" i="10"/>
  <c r="F32" i="10"/>
  <c r="F31" i="10"/>
  <c r="F30" i="10"/>
  <c r="F29" i="10"/>
  <c r="F28" i="10"/>
  <c r="F27" i="10"/>
  <c r="F26" i="10"/>
  <c r="F25" i="10"/>
  <c r="F24" i="10"/>
  <c r="F23" i="10"/>
  <c r="F22" i="10"/>
  <c r="F21" i="10"/>
  <c r="F20" i="10"/>
  <c r="F19" i="10"/>
  <c r="F18" i="10"/>
  <c r="F17" i="10"/>
  <c r="F16" i="10"/>
  <c r="F15" i="10"/>
  <c r="F14" i="10"/>
  <c r="F13" i="10"/>
  <c r="F12" i="10"/>
  <c r="F11" i="10"/>
  <c r="F10" i="10"/>
  <c r="F9" i="10"/>
  <c r="F8" i="10"/>
  <c r="F7" i="10"/>
  <c r="F6" i="10"/>
  <c r="F5" i="10"/>
  <c r="C6" i="10"/>
  <c r="C7"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5" i="10"/>
  <c r="G39" i="10" l="1"/>
  <c r="K37" i="10"/>
  <c r="N37" i="10"/>
  <c r="W37" i="10"/>
  <c r="Z37" i="10"/>
  <c r="AI37" i="10"/>
  <c r="B37" i="10"/>
  <c r="H37" i="10"/>
  <c r="T37" i="10"/>
  <c r="AF37" i="10"/>
  <c r="E37" i="10"/>
  <c r="Q37" i="10"/>
  <c r="AC37" i="10"/>
  <c r="AH33" i="10"/>
  <c r="AE33" i="10"/>
  <c r="AE34" i="10" s="1"/>
  <c r="AE35" i="10" s="1"/>
  <c r="AB33" i="10"/>
  <c r="AB34" i="10" s="1"/>
  <c r="AB35" i="10" s="1"/>
  <c r="Y33" i="10"/>
  <c r="Y34" i="10" s="1"/>
  <c r="Y35" i="10" s="1"/>
  <c r="V33" i="10"/>
  <c r="V34" i="10" s="1"/>
  <c r="V35" i="10" s="1"/>
  <c r="S33" i="10"/>
  <c r="S34" i="10" s="1"/>
  <c r="S35" i="10" s="1"/>
  <c r="P33" i="10"/>
  <c r="P34" i="10" s="1"/>
  <c r="P35" i="10" s="1"/>
  <c r="M33" i="10"/>
  <c r="M34" i="10" s="1"/>
  <c r="M35" i="10" s="1"/>
  <c r="J33" i="10"/>
  <c r="J34" i="10" s="1"/>
  <c r="J35" i="10" s="1"/>
  <c r="G33" i="10"/>
  <c r="G34" i="10" s="1"/>
  <c r="G35" i="10" s="1"/>
  <c r="AH34" i="10" l="1"/>
  <c r="AH35" i="10" s="1"/>
  <c r="G40" i="10"/>
  <c r="D33" i="10"/>
  <c r="D34" i="10" s="1"/>
  <c r="D35" i="10" s="1"/>
  <c r="AH39" i="10" l="1"/>
  <c r="N45" i="10" s="1"/>
  <c r="S45" i="10" s="1"/>
  <c r="V45" i="10" s="1"/>
  <c r="S40" i="10" s="1"/>
  <c r="E17" i="5"/>
  <c r="F17" i="5" s="1"/>
  <c r="E16" i="5"/>
  <c r="F16" i="5" s="1"/>
  <c r="E15" i="5"/>
  <c r="F15" i="5" s="1"/>
  <c r="E14" i="5"/>
  <c r="F14" i="5" s="1"/>
  <c r="E13" i="5"/>
  <c r="F13" i="5" s="1"/>
  <c r="E9" i="5"/>
  <c r="F9" i="5" s="1"/>
  <c r="E8" i="5"/>
  <c r="F8" i="5" s="1"/>
  <c r="E6" i="5"/>
  <c r="E12" i="5" s="1"/>
  <c r="E5" i="5"/>
  <c r="F5" i="5" s="1"/>
  <c r="C17" i="5" l="1"/>
  <c r="A17" i="5" s="1"/>
  <c r="K2" i="5"/>
  <c r="E19" i="5" s="1"/>
  <c r="F19" i="5" s="1"/>
  <c r="E18" i="5"/>
  <c r="C9" i="5"/>
  <c r="A9" i="5" s="1"/>
  <c r="C5" i="5"/>
  <c r="C8" i="5"/>
  <c r="C16" i="5"/>
  <c r="B9" i="5"/>
  <c r="C13" i="5"/>
  <c r="A13" i="5" s="1"/>
  <c r="C15" i="5"/>
  <c r="C6" i="5"/>
  <c r="C14" i="5"/>
  <c r="F12" i="5"/>
  <c r="C12" i="5"/>
  <c r="F6" i="5"/>
  <c r="E7" i="5"/>
  <c r="E10" i="5"/>
  <c r="E11" i="5"/>
  <c r="E28" i="5" l="1"/>
  <c r="F28" i="5" s="1"/>
  <c r="E21" i="5"/>
  <c r="C21" i="5" s="1"/>
  <c r="E22" i="5"/>
  <c r="C22" i="5" s="1"/>
  <c r="B17" i="5"/>
  <c r="G17" i="5" s="1"/>
  <c r="E29" i="5"/>
  <c r="C29" i="5" s="1"/>
  <c r="E26" i="5"/>
  <c r="F26" i="5" s="1"/>
  <c r="E27" i="5"/>
  <c r="C27" i="5" s="1"/>
  <c r="E30" i="5"/>
  <c r="C30" i="5" s="1"/>
  <c r="A5" i="5"/>
  <c r="G9" i="5"/>
  <c r="B5" i="5"/>
  <c r="A16" i="5"/>
  <c r="B16" i="5"/>
  <c r="A8" i="5"/>
  <c r="B8" i="5"/>
  <c r="B13" i="5"/>
  <c r="G13" i="5" s="1"/>
  <c r="A15" i="5"/>
  <c r="B15" i="5"/>
  <c r="A14" i="5"/>
  <c r="B14" i="5"/>
  <c r="A6" i="5"/>
  <c r="B6" i="5"/>
  <c r="F18" i="5"/>
  <c r="C18" i="5"/>
  <c r="F10" i="5"/>
  <c r="C10" i="5"/>
  <c r="E25" i="5"/>
  <c r="C19" i="5"/>
  <c r="E24" i="5"/>
  <c r="E23" i="5"/>
  <c r="E20" i="5"/>
  <c r="F7" i="5"/>
  <c r="C7" i="5"/>
  <c r="A12" i="5"/>
  <c r="B12" i="5"/>
  <c r="F11" i="5"/>
  <c r="C11" i="5"/>
  <c r="C28" i="5" l="1"/>
  <c r="B28" i="5" s="1"/>
  <c r="F22" i="5"/>
  <c r="F21" i="5"/>
  <c r="F29" i="5"/>
  <c r="F27" i="5"/>
  <c r="C26" i="5"/>
  <c r="A26" i="5" s="1"/>
  <c r="F30" i="5"/>
  <c r="G5" i="5"/>
  <c r="G8" i="5"/>
  <c r="G16" i="5"/>
  <c r="G15" i="5"/>
  <c r="G12" i="5"/>
  <c r="G6" i="5"/>
  <c r="G14" i="5"/>
  <c r="A27" i="5"/>
  <c r="B27" i="5"/>
  <c r="A29" i="5"/>
  <c r="B29" i="5"/>
  <c r="B22" i="5"/>
  <c r="A22" i="5"/>
  <c r="A21" i="5"/>
  <c r="B21" i="5"/>
  <c r="B18" i="5"/>
  <c r="A18" i="5"/>
  <c r="B30" i="5"/>
  <c r="A30" i="5"/>
  <c r="A19" i="5"/>
  <c r="B19" i="5"/>
  <c r="C20" i="5"/>
  <c r="F20" i="5"/>
  <c r="C24" i="5"/>
  <c r="F24" i="5"/>
  <c r="A10" i="5"/>
  <c r="B10" i="5"/>
  <c r="A11" i="5"/>
  <c r="B11" i="5"/>
  <c r="A7" i="5"/>
  <c r="B7" i="5"/>
  <c r="F23" i="5"/>
  <c r="C23" i="5"/>
  <c r="F25" i="5"/>
  <c r="C25" i="5"/>
  <c r="A28" i="5" l="1"/>
  <c r="G28" i="5" s="1"/>
  <c r="B26" i="5"/>
  <c r="G26" i="5" s="1"/>
  <c r="G11" i="5"/>
  <c r="G18" i="5"/>
  <c r="G21" i="5"/>
  <c r="G19" i="5"/>
  <c r="G27" i="5"/>
  <c r="G29" i="5"/>
  <c r="B24" i="5"/>
  <c r="A24" i="5"/>
  <c r="A25" i="5"/>
  <c r="B25" i="5"/>
  <c r="G30" i="5"/>
  <c r="B20" i="5"/>
  <c r="A20" i="5"/>
  <c r="A23" i="5"/>
  <c r="B23" i="5"/>
  <c r="G22" i="5"/>
  <c r="G7" i="5"/>
  <c r="G10" i="5"/>
  <c r="J17" i="5" l="1"/>
  <c r="G20" i="5"/>
  <c r="G24" i="5"/>
  <c r="G23" i="5"/>
  <c r="G25" i="5"/>
  <c r="J30" i="5" l="1"/>
</calcChain>
</file>

<file path=xl/sharedStrings.xml><?xml version="1.0" encoding="utf-8"?>
<sst xmlns="http://schemas.openxmlformats.org/spreadsheetml/2006/main" count="88" uniqueCount="73">
  <si>
    <t>Heures</t>
  </si>
  <si>
    <t>Congés</t>
  </si>
  <si>
    <t>Jour</t>
  </si>
  <si>
    <t>JF</t>
  </si>
  <si>
    <t>Date</t>
  </si>
  <si>
    <t>N° Sem</t>
  </si>
  <si>
    <t>Ouvrés</t>
  </si>
  <si>
    <t>Jour de l’an</t>
  </si>
  <si>
    <t>Pâques</t>
  </si>
  <si>
    <t>de Pâques</t>
  </si>
  <si>
    <t>Fête du travail</t>
  </si>
  <si>
    <t>Armistice 39/45</t>
  </si>
  <si>
    <t>Ascension</t>
  </si>
  <si>
    <t>Pentecôte</t>
  </si>
  <si>
    <t>de Pentecôte</t>
  </si>
  <si>
    <t>Fête Nationale</t>
  </si>
  <si>
    <t>Assomption</t>
  </si>
  <si>
    <t>Toussaint</t>
  </si>
  <si>
    <t>Armistice 14/18</t>
  </si>
  <si>
    <t>Noël</t>
  </si>
  <si>
    <t>Janvier</t>
  </si>
  <si>
    <t>Février</t>
  </si>
  <si>
    <t>Mars</t>
  </si>
  <si>
    <t>Avril</t>
  </si>
  <si>
    <t>Mai</t>
  </si>
  <si>
    <t>Juin</t>
  </si>
  <si>
    <t>Juillet</t>
  </si>
  <si>
    <t>Août</t>
  </si>
  <si>
    <t>Septembre</t>
  </si>
  <si>
    <t>Octobre</t>
  </si>
  <si>
    <t>Novembre</t>
  </si>
  <si>
    <t>Décembre</t>
  </si>
  <si>
    <t>Nb JF</t>
  </si>
  <si>
    <t>NB JF</t>
  </si>
  <si>
    <t>Entreprise :</t>
  </si>
  <si>
    <t xml:space="preserve">  jours ouvrés</t>
  </si>
  <si>
    <t>Congés payés annuels</t>
  </si>
  <si>
    <t>Période du</t>
  </si>
  <si>
    <t>au</t>
  </si>
  <si>
    <t>Entrer le nombre d'heures prévues dans les cases prévues à cet effet.</t>
  </si>
  <si>
    <t>Par exemple : insérer seulement le chiffre sans mettre h (7 et non 7h)</t>
  </si>
  <si>
    <t>&gt; soit jour par jour (7, 4, 8…)</t>
  </si>
  <si>
    <t>&gt; soit à la semaine (sur une seule case, insérer 20, 35, 48…)</t>
  </si>
  <si>
    <t>Si des congés payés sont pris, insérer C sur les jours concernés (seulement en jours ouvré et non ouvrable).</t>
  </si>
  <si>
    <t>1. Choisir la période de modulation</t>
  </si>
  <si>
    <t>Choisir dans la liste déroulante l'année de début de période, puis le mois</t>
  </si>
  <si>
    <t xml:space="preserve">Commencer la modulation en début de mois pour éviter toute contrainte </t>
  </si>
  <si>
    <t>Si le salarié entre en cours de mois, voir avec le client s'il est possible de ne faire travailler le salarié que sur la base de 35h, pour débuter la modulation au début du mois suivant</t>
  </si>
  <si>
    <t>2. Compléter les heures</t>
  </si>
  <si>
    <t>3. Compte individuel de Compensation</t>
  </si>
  <si>
    <t>Méthodologie d'utilisation du tableur (interne) :</t>
  </si>
  <si>
    <t>Entrer le nom du salarié concerné</t>
  </si>
  <si>
    <t>Fichier à joindre client</t>
  </si>
  <si>
    <t>4. Livraison au client</t>
  </si>
  <si>
    <t>Faire ceci pour chaque fichier non masqué</t>
  </si>
  <si>
    <t>Envoyer soit un PDF, soit le fichier Excel directement</t>
  </si>
  <si>
    <t>Insérer dans la case prévue le nom de l'entreprise</t>
  </si>
  <si>
    <t>L'année et le mois de fin de période sont automatiques</t>
  </si>
  <si>
    <t>Le calendrier et les jours fériés se mettront à jour automatiquement.</t>
  </si>
  <si>
    <t>Si vous vous trompez, ou si vous dépassez 48h par semaine, les cases se mettent en rouge.</t>
  </si>
  <si>
    <t>Attention, le fichier n'alerte pas sur les dépassements des durées maximales (+ 48 h si comptabilisation</t>
  </si>
  <si>
    <t>jours par jours ; ni moyenne 44h sur 12 semaine…)</t>
  </si>
  <si>
    <r>
      <t xml:space="preserve">Protéger les feuilles avec un mot de passe : </t>
    </r>
    <r>
      <rPr>
        <b/>
        <sz val="10"/>
        <rFont val="Arial"/>
        <family val="2"/>
      </rPr>
      <t>CerfranceGTModul</t>
    </r>
  </si>
  <si>
    <t>Pour protéger, aller dans l'onglet Révision, Protéger la feuille</t>
  </si>
  <si>
    <r>
      <t xml:space="preserve">insérer le mot de passe </t>
    </r>
    <r>
      <rPr>
        <b/>
        <sz val="10"/>
        <rFont val="Arial"/>
        <family val="2"/>
      </rPr>
      <t xml:space="preserve">CerfranceGTModul </t>
    </r>
    <r>
      <rPr>
        <sz val="10"/>
        <rFont val="Arial"/>
        <family val="2"/>
      </rPr>
      <t>une première fofis, puis une seconde fois</t>
    </r>
  </si>
  <si>
    <t>TP Maxi</t>
  </si>
  <si>
    <t>TP Mini</t>
  </si>
  <si>
    <t>Temps partiel Variable</t>
  </si>
  <si>
    <t>Moyenne Hebdo</t>
  </si>
  <si>
    <t>Heures annuelles prévision</t>
  </si>
  <si>
    <t>Heures annuelles totales</t>
  </si>
  <si>
    <t>Calcul nombre jour année</t>
  </si>
  <si>
    <t>Calcul nombre cases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</si>
</sst>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d\ dd"/>
    <numFmt numFmtId="165" formatCode="mmm\ yy"/>
    <numFmt numFmtId="168" formatCode="m/d/aaaa"/>
  </numFmts>
  <fonts count="29"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6"/>
      <name val="Arial"/>
      <family val="2"/>
    </font>
    <font>
      <b/>
      <sz val="9"/>
      <name val="Arial"/>
      <family val="2"/>
    </font>
    <font>
      <sz val="9"/>
      <name val="Arial"/>
      <family val="2"/>
    </font>
    <font>
      <b/>
      <sz val="10"/>
      <color theme="0"/>
      <name val="Arial"/>
      <family val="2"/>
    </font>
    <font>
      <sz val="9"/>
      <color theme="1"/>
      <name val="Calibri"/>
      <family val="2"/>
      <scheme val="minor"/>
    </font>
    <font>
      <sz val="12"/>
      <color theme="1"/>
      <name val="Calibri"/>
      <family val="2"/>
      <scheme val="minor"/>
    </font>
    <font>
      <sz val="9"/>
      <name val="Calibri"/>
      <family val="2"/>
      <scheme val="minor"/>
    </font>
    <font>
      <b/>
      <sz val="9"/>
      <color theme="1"/>
      <name val="Calibri"/>
      <family val="2"/>
      <scheme val="minor"/>
    </font>
    <font>
      <b/>
      <sz val="9"/>
      <name val="Calibri"/>
      <family val="2"/>
      <scheme val="minor"/>
    </font>
    <font>
      <sz val="9"/>
      <color theme="0"/>
      <name val="Calibri"/>
      <family val="2"/>
      <scheme val="minor"/>
    </font>
    <font>
      <sz val="12"/>
      <color theme="0"/>
      <name val="Calibri"/>
      <family val="2"/>
      <scheme val="minor"/>
    </font>
    <font>
      <b/>
      <sz val="14"/>
      <color theme="1"/>
      <name val="Calibri"/>
      <family val="2"/>
      <scheme val="minor"/>
    </font>
    <font>
      <b/>
      <sz val="16"/>
      <color theme="1"/>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2"/>
      <name val="Calibri"/>
      <family val="2"/>
      <scheme val="minor"/>
    </font>
    <font>
      <sz val="12"/>
      <name val="Arial"/>
      <family val="2"/>
    </font>
    <font>
      <sz val="12"/>
      <name val="Calibri"/>
      <family val="2"/>
      <scheme val="minor"/>
    </font>
    <font>
      <b/>
      <sz val="10"/>
      <color rgb="FFFF0000"/>
      <name val="Arial"/>
      <family val="2"/>
    </font>
    <font>
      <sz val="10"/>
      <color theme="0"/>
      <name val="Calibri"/>
      <family val="2"/>
      <scheme val="minor"/>
    </font>
    <font>
      <b/>
      <sz val="15"/>
      <name val="Arial"/>
      <family val="2"/>
    </font>
    <font>
      <b/>
      <sz val="10"/>
      <color rgb="FF000000"/>
      <name val="Arial"/>
      <family val="2"/>
    </font>
    <font>
      <b/>
      <sz val="9"/>
      <color rgb="FFFF0000"/>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3999755851924192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thin">
        <color indexed="64"/>
      </bottom>
      <diagonal/>
    </border>
  </borders>
  <cellStyleXfs count="4">
    <xf numFmtId="0" fontId="0" fillId="0" borderId="0"/>
    <xf numFmtId="0" fontId="3" fillId="0" borderId="0"/>
    <xf numFmtId="0" fontId="2" fillId="0" borderId="0"/>
    <xf numFmtId="0" fontId="1" fillId="0" borderId="0"/>
  </cellStyleXfs>
  <cellXfs count="138">
    <xf numFmtId="0" fontId="0" fillId="0" borderId="0" xfId="0"/>
    <xf numFmtId="0" fontId="3" fillId="0" borderId="0" xfId="1"/>
    <xf numFmtId="0" fontId="4" fillId="0" borderId="0" xfId="1" applyFont="1"/>
    <xf numFmtId="0" fontId="6" fillId="0" borderId="1" xfId="1" applyFont="1" applyBorder="1" applyAlignment="1">
      <alignment horizontal="center" vertical="center" wrapText="1"/>
    </xf>
    <xf numFmtId="0" fontId="3" fillId="0" borderId="0" xfId="1" applyFont="1" applyAlignment="1">
      <alignment horizontal="center"/>
    </xf>
    <xf numFmtId="0" fontId="3" fillId="0" borderId="1" xfId="1" applyFont="1" applyBorder="1" applyAlignment="1">
      <alignment horizontal="center"/>
    </xf>
    <xf numFmtId="0" fontId="3" fillId="0" borderId="1" xfId="1" applyFont="1" applyBorder="1" applyAlignment="1">
      <alignment vertical="center" wrapText="1"/>
    </xf>
    <xf numFmtId="0" fontId="7" fillId="0" borderId="1" xfId="1" applyFont="1" applyBorder="1" applyAlignment="1">
      <alignment horizontal="center"/>
    </xf>
    <xf numFmtId="0" fontId="3" fillId="0" borderId="8" xfId="1" applyFont="1" applyBorder="1" applyAlignment="1">
      <alignment vertical="center"/>
    </xf>
    <xf numFmtId="0" fontId="3" fillId="0" borderId="8" xfId="1" applyFont="1" applyBorder="1" applyAlignment="1">
      <alignment vertical="center" wrapText="1"/>
    </xf>
    <xf numFmtId="0" fontId="3" fillId="0" borderId="9" xfId="1" applyFont="1" applyBorder="1" applyAlignment="1">
      <alignment vertical="center"/>
    </xf>
    <xf numFmtId="0" fontId="3" fillId="0" borderId="8" xfId="1" applyFont="1" applyBorder="1" applyAlignment="1">
      <alignment horizontal="center"/>
    </xf>
    <xf numFmtId="0" fontId="3" fillId="0" borderId="0" xfId="1" applyFont="1" applyBorder="1" applyAlignment="1">
      <alignment horizontal="center"/>
    </xf>
    <xf numFmtId="0" fontId="3" fillId="0" borderId="0" xfId="1" applyFont="1" applyBorder="1" applyAlignment="1">
      <alignment vertical="center" wrapText="1"/>
    </xf>
    <xf numFmtId="14" fontId="3" fillId="0" borderId="0" xfId="1" applyNumberFormat="1" applyFont="1" applyBorder="1" applyAlignment="1">
      <alignment vertical="center" wrapText="1"/>
    </xf>
    <xf numFmtId="0" fontId="7" fillId="0" borderId="0" xfId="1" applyFont="1" applyBorder="1" applyAlignment="1">
      <alignment horizontal="center"/>
    </xf>
    <xf numFmtId="0" fontId="7" fillId="0" borderId="0" xfId="1" applyFont="1" applyAlignment="1">
      <alignment horizontal="center"/>
    </xf>
    <xf numFmtId="0" fontId="3" fillId="0" borderId="0" xfId="1" applyFont="1" applyBorder="1"/>
    <xf numFmtId="0" fontId="3" fillId="0" borderId="0" xfId="1" applyFont="1" applyFill="1" applyBorder="1" applyAlignment="1">
      <alignment horizontal="center"/>
    </xf>
    <xf numFmtId="0" fontId="3" fillId="0" borderId="0" xfId="1" applyFont="1"/>
    <xf numFmtId="0" fontId="3" fillId="0" borderId="0" xfId="1" applyBorder="1"/>
    <xf numFmtId="0" fontId="6" fillId="0" borderId="0" xfId="1" applyFont="1" applyBorder="1" applyAlignment="1">
      <alignment horizontal="center" vertical="center" wrapText="1"/>
    </xf>
    <xf numFmtId="0" fontId="3" fillId="0" borderId="0" xfId="1" applyFont="1" applyBorder="1" applyAlignment="1">
      <alignment vertical="center"/>
    </xf>
    <xf numFmtId="0" fontId="3" fillId="0" borderId="0" xfId="1" applyFont="1" applyFill="1" applyBorder="1" applyAlignment="1">
      <alignment vertical="center" wrapText="1"/>
    </xf>
    <xf numFmtId="14" fontId="3" fillId="0" borderId="0" xfId="1" applyNumberFormat="1" applyFont="1" applyFill="1" applyBorder="1" applyAlignment="1">
      <alignment vertical="center" wrapText="1"/>
    </xf>
    <xf numFmtId="0" fontId="7" fillId="0" borderId="0" xfId="1" applyFont="1" applyFill="1" applyBorder="1" applyAlignment="1">
      <alignment horizontal="center"/>
    </xf>
    <xf numFmtId="0" fontId="3" fillId="0" borderId="0" xfId="1" applyFill="1" applyBorder="1"/>
    <xf numFmtId="0" fontId="7" fillId="0" borderId="0" xfId="1" applyFont="1" applyFill="1" applyBorder="1" applyAlignment="1">
      <alignment horizontal="left"/>
    </xf>
    <xf numFmtId="0" fontId="6" fillId="0" borderId="0" xfId="1" applyFont="1" applyFill="1" applyBorder="1" applyAlignment="1">
      <alignment horizontal="center"/>
    </xf>
    <xf numFmtId="0" fontId="8" fillId="0" borderId="0" xfId="1" applyFont="1"/>
    <xf numFmtId="0" fontId="3" fillId="0" borderId="0" xfId="1" applyFont="1" applyFill="1" applyBorder="1"/>
    <xf numFmtId="14" fontId="9" fillId="0" borderId="0" xfId="3" applyNumberFormat="1" applyFont="1" applyAlignment="1" applyProtection="1">
      <alignment horizontal="center" vertical="center"/>
    </xf>
    <xf numFmtId="0" fontId="9" fillId="0" borderId="0" xfId="3" applyFont="1" applyAlignment="1" applyProtection="1">
      <alignment horizontal="center" vertical="center"/>
    </xf>
    <xf numFmtId="0" fontId="12" fillId="0" borderId="0" xfId="3" applyFont="1" applyAlignment="1" applyProtection="1">
      <alignment horizontal="left" vertical="center"/>
    </xf>
    <xf numFmtId="0" fontId="11" fillId="0" borderId="0" xfId="3" applyFont="1" applyAlignment="1" applyProtection="1">
      <alignment horizontal="center" vertical="center"/>
    </xf>
    <xf numFmtId="164" fontId="9" fillId="0" borderId="1" xfId="3" applyNumberFormat="1" applyFont="1" applyBorder="1" applyAlignment="1" applyProtection="1">
      <alignment horizontal="center" vertical="center"/>
    </xf>
    <xf numFmtId="0" fontId="11" fillId="0" borderId="0" xfId="3" applyNumberFormat="1" applyFont="1" applyAlignment="1" applyProtection="1">
      <alignment horizontal="center" vertical="center"/>
    </xf>
    <xf numFmtId="0" fontId="9" fillId="0" borderId="0" xfId="3" applyFont="1" applyBorder="1" applyAlignment="1" applyProtection="1">
      <alignment horizontal="center" vertical="center"/>
    </xf>
    <xf numFmtId="0" fontId="12" fillId="0" borderId="0" xfId="3" applyFont="1" applyAlignment="1" applyProtection="1">
      <alignment horizontal="center" vertical="center"/>
    </xf>
    <xf numFmtId="0" fontId="14" fillId="0" borderId="0" xfId="3" applyFont="1" applyBorder="1" applyAlignment="1" applyProtection="1">
      <alignment horizontal="center" vertical="center"/>
    </xf>
    <xf numFmtId="0" fontId="10" fillId="0" borderId="0" xfId="3" applyFont="1" applyBorder="1" applyAlignment="1" applyProtection="1">
      <alignment horizontal="center" vertical="center"/>
    </xf>
    <xf numFmtId="0" fontId="15" fillId="0" borderId="0" xfId="3" applyFont="1" applyBorder="1" applyAlignment="1" applyProtection="1">
      <alignment horizontal="center" vertical="center"/>
    </xf>
    <xf numFmtId="14" fontId="18" fillId="0" borderId="0" xfId="3" applyNumberFormat="1" applyFont="1" applyBorder="1" applyAlignment="1" applyProtection="1">
      <alignment horizontal="left" vertical="center"/>
    </xf>
    <xf numFmtId="14" fontId="19" fillId="0" borderId="0" xfId="3" applyNumberFormat="1" applyFont="1" applyBorder="1" applyAlignment="1" applyProtection="1">
      <alignment horizontal="center" vertical="center"/>
    </xf>
    <xf numFmtId="0" fontId="18" fillId="2" borderId="1" xfId="3" applyFont="1" applyFill="1" applyBorder="1" applyAlignment="1" applyProtection="1">
      <alignment horizontal="center" vertical="center"/>
    </xf>
    <xf numFmtId="0" fontId="19" fillId="0" borderId="0" xfId="3" applyFont="1" applyBorder="1" applyAlignment="1" applyProtection="1">
      <alignment horizontal="center" vertical="center"/>
    </xf>
    <xf numFmtId="0" fontId="19" fillId="0" borderId="0" xfId="3" applyFont="1" applyBorder="1" applyAlignment="1" applyProtection="1">
      <alignment horizontal="left" vertical="center"/>
    </xf>
    <xf numFmtId="0" fontId="20" fillId="0" borderId="0" xfId="3" applyFont="1" applyBorder="1" applyAlignment="1" applyProtection="1">
      <alignment horizontal="center" vertical="center"/>
    </xf>
    <xf numFmtId="0" fontId="20" fillId="0" borderId="0" xfId="3" applyFont="1" applyAlignment="1" applyProtection="1">
      <alignment horizontal="center" vertical="center"/>
    </xf>
    <xf numFmtId="0" fontId="19" fillId="0" borderId="0" xfId="3" applyFont="1" applyAlignment="1" applyProtection="1">
      <alignment horizontal="center" vertical="center"/>
    </xf>
    <xf numFmtId="14" fontId="18" fillId="0" borderId="0" xfId="3" applyNumberFormat="1" applyFont="1" applyAlignment="1" applyProtection="1">
      <alignment horizontal="left" vertical="center"/>
    </xf>
    <xf numFmtId="14" fontId="19" fillId="0" borderId="0" xfId="3" applyNumberFormat="1" applyFont="1" applyAlignment="1" applyProtection="1">
      <alignment horizontal="center" vertical="center"/>
    </xf>
    <xf numFmtId="2" fontId="18" fillId="0" borderId="0" xfId="3" applyNumberFormat="1" applyFont="1" applyBorder="1" applyAlignment="1" applyProtection="1">
      <alignment horizontal="left" vertical="center"/>
    </xf>
    <xf numFmtId="164" fontId="9" fillId="0" borderId="11" xfId="3" applyNumberFormat="1" applyFont="1" applyBorder="1" applyAlignment="1" applyProtection="1">
      <alignment horizontal="center" vertical="center"/>
    </xf>
    <xf numFmtId="0" fontId="12" fillId="0" borderId="12" xfId="3" applyNumberFormat="1" applyFont="1" applyBorder="1" applyAlignment="1" applyProtection="1">
      <alignment horizontal="center" vertical="center"/>
    </xf>
    <xf numFmtId="0" fontId="13" fillId="0" borderId="13" xfId="3" applyNumberFormat="1" applyFont="1" applyBorder="1" applyAlignment="1" applyProtection="1">
      <alignment horizontal="center" vertical="center"/>
    </xf>
    <xf numFmtId="0" fontId="12" fillId="0" borderId="11" xfId="3" applyNumberFormat="1" applyFont="1" applyBorder="1" applyAlignment="1" applyProtection="1">
      <alignment horizontal="center" vertical="center"/>
    </xf>
    <xf numFmtId="0" fontId="13" fillId="0" borderId="15" xfId="3" applyNumberFormat="1" applyFont="1" applyBorder="1" applyAlignment="1" applyProtection="1">
      <alignment horizontal="center" vertical="center"/>
    </xf>
    <xf numFmtId="0" fontId="11" fillId="0" borderId="10" xfId="3" applyNumberFormat="1" applyFont="1" applyBorder="1" applyAlignment="1" applyProtection="1">
      <alignment horizontal="center" vertical="center"/>
    </xf>
    <xf numFmtId="164" fontId="9" fillId="0" borderId="16" xfId="3" applyNumberFormat="1" applyFont="1" applyBorder="1" applyAlignment="1" applyProtection="1">
      <alignment horizontal="center" vertical="center"/>
    </xf>
    <xf numFmtId="164" fontId="9" fillId="0" borderId="12" xfId="3" applyNumberFormat="1" applyFont="1" applyBorder="1" applyAlignment="1" applyProtection="1">
      <alignment horizontal="center" vertical="center"/>
    </xf>
    <xf numFmtId="164" fontId="9" fillId="0" borderId="17" xfId="3" applyNumberFormat="1" applyFont="1" applyBorder="1" applyAlignment="1" applyProtection="1">
      <alignment horizontal="center" vertical="center"/>
    </xf>
    <xf numFmtId="164" fontId="9" fillId="0" borderId="18" xfId="3" applyNumberFormat="1" applyFont="1" applyBorder="1" applyAlignment="1" applyProtection="1">
      <alignment horizontal="center" vertical="center"/>
    </xf>
    <xf numFmtId="0" fontId="9" fillId="0" borderId="24" xfId="3" applyNumberFormat="1" applyFont="1" applyBorder="1" applyAlignment="1" applyProtection="1">
      <alignment horizontal="center" vertical="center"/>
    </xf>
    <xf numFmtId="0" fontId="9" fillId="0" borderId="10" xfId="3" applyNumberFormat="1" applyFont="1" applyBorder="1" applyAlignment="1" applyProtection="1">
      <alignment horizontal="center" vertical="center"/>
    </xf>
    <xf numFmtId="0" fontId="9" fillId="0" borderId="7" xfId="3" applyNumberFormat="1" applyFont="1" applyBorder="1" applyAlignment="1" applyProtection="1">
      <alignment horizontal="center" vertical="center"/>
    </xf>
    <xf numFmtId="0" fontId="12" fillId="0" borderId="24" xfId="3" applyNumberFormat="1" applyFont="1" applyBorder="1" applyAlignment="1" applyProtection="1">
      <alignment horizontal="center" vertical="center"/>
    </xf>
    <xf numFmtId="0" fontId="12" fillId="0" borderId="7" xfId="3" applyNumberFormat="1" applyFont="1" applyBorder="1" applyAlignment="1" applyProtection="1">
      <alignment horizontal="center" vertical="center"/>
    </xf>
    <xf numFmtId="0" fontId="9" fillId="0" borderId="13" xfId="3" applyNumberFormat="1" applyFont="1" applyBorder="1" applyAlignment="1" applyProtection="1">
      <alignment horizontal="center" vertical="center"/>
      <protection locked="0"/>
    </xf>
    <xf numFmtId="0" fontId="9" fillId="0" borderId="4" xfId="3" applyNumberFormat="1" applyFont="1" applyBorder="1" applyAlignment="1" applyProtection="1">
      <alignment horizontal="center" vertical="center"/>
      <protection locked="0"/>
    </xf>
    <xf numFmtId="0" fontId="9" fillId="0" borderId="15" xfId="3" applyNumberFormat="1" applyFont="1" applyBorder="1" applyAlignment="1" applyProtection="1">
      <alignment horizontal="center" vertical="center"/>
      <protection locked="0"/>
    </xf>
    <xf numFmtId="0" fontId="12" fillId="0" borderId="13" xfId="3" applyNumberFormat="1" applyFont="1" applyBorder="1" applyAlignment="1" applyProtection="1">
      <alignment horizontal="center" vertical="center"/>
    </xf>
    <xf numFmtId="0" fontId="12" fillId="0" borderId="15" xfId="3" applyNumberFormat="1" applyFont="1" applyBorder="1" applyAlignment="1" applyProtection="1">
      <alignment horizontal="center" vertical="center"/>
    </xf>
    <xf numFmtId="0" fontId="12" fillId="0" borderId="25" xfId="3" applyNumberFormat="1" applyFont="1" applyBorder="1" applyAlignment="1" applyProtection="1">
      <alignment horizontal="center" vertical="center"/>
    </xf>
    <xf numFmtId="0" fontId="9" fillId="0" borderId="28" xfId="3" applyNumberFormat="1" applyFont="1" applyBorder="1" applyAlignment="1" applyProtection="1">
      <alignment horizontal="center" vertical="center"/>
    </xf>
    <xf numFmtId="0" fontId="9" fillId="0" borderId="8" xfId="3" applyNumberFormat="1" applyFont="1" applyBorder="1" applyAlignment="1" applyProtection="1">
      <alignment horizontal="center" vertical="center"/>
    </xf>
    <xf numFmtId="0" fontId="9" fillId="0" borderId="6" xfId="3" applyNumberFormat="1" applyFont="1" applyBorder="1" applyAlignment="1" applyProtection="1">
      <alignment horizontal="center" vertical="center"/>
    </xf>
    <xf numFmtId="0" fontId="12" fillId="0" borderId="28" xfId="3" applyNumberFormat="1" applyFont="1" applyBorder="1" applyAlignment="1" applyProtection="1">
      <alignment horizontal="center" vertical="center"/>
    </xf>
    <xf numFmtId="0" fontId="12" fillId="0" borderId="6" xfId="3" applyNumberFormat="1" applyFont="1" applyBorder="1" applyAlignment="1" applyProtection="1">
      <alignment horizontal="center" vertical="center"/>
    </xf>
    <xf numFmtId="165" fontId="21" fillId="2" borderId="2" xfId="3" applyNumberFormat="1" applyFont="1" applyFill="1" applyBorder="1" applyAlignment="1" applyProtection="1">
      <alignment horizontal="center" vertical="center"/>
    </xf>
    <xf numFmtId="165" fontId="21" fillId="2" borderId="19" xfId="3" applyNumberFormat="1" applyFont="1" applyFill="1" applyBorder="1" applyAlignment="1" applyProtection="1">
      <alignment horizontal="center" vertical="center"/>
    </xf>
    <xf numFmtId="165" fontId="21" fillId="2" borderId="20" xfId="3" applyNumberFormat="1" applyFont="1" applyFill="1" applyBorder="1" applyAlignment="1" applyProtection="1">
      <alignment horizontal="center" vertical="center"/>
    </xf>
    <xf numFmtId="0" fontId="23" fillId="0" borderId="10" xfId="3" applyFont="1" applyBorder="1" applyAlignment="1" applyProtection="1">
      <alignment horizontal="center" vertical="center"/>
    </xf>
    <xf numFmtId="0" fontId="23" fillId="0" borderId="0" xfId="3" applyFont="1" applyAlignment="1" applyProtection="1">
      <alignment horizontal="center" vertical="center"/>
    </xf>
    <xf numFmtId="0" fontId="10" fillId="0" borderId="0" xfId="3" applyFont="1" applyAlignment="1" applyProtection="1">
      <alignment horizontal="center" vertical="center"/>
    </xf>
    <xf numFmtId="0" fontId="12" fillId="0" borderId="14" xfId="3" applyFont="1" applyBorder="1" applyAlignment="1" applyProtection="1">
      <alignment horizontal="center" vertical="center"/>
    </xf>
    <xf numFmtId="0" fontId="5" fillId="3" borderId="10" xfId="0" applyFont="1" applyFill="1" applyBorder="1" applyAlignment="1" applyProtection="1">
      <alignment horizontal="center" vertical="center"/>
      <protection locked="0"/>
    </xf>
    <xf numFmtId="0" fontId="16" fillId="0" borderId="0" xfId="3" applyFont="1" applyAlignment="1" applyProtection="1">
      <alignment horizontal="left" vertical="top"/>
    </xf>
    <xf numFmtId="0" fontId="18" fillId="0" borderId="0" xfId="3" applyFont="1" applyAlignment="1" applyProtection="1">
      <alignment horizontal="left" vertical="center"/>
    </xf>
    <xf numFmtId="0" fontId="18" fillId="0" borderId="0" xfId="3" applyFont="1" applyAlignment="1" applyProtection="1">
      <alignment horizontal="center" vertical="center"/>
    </xf>
    <xf numFmtId="0" fontId="12" fillId="0" borderId="30" xfId="3" applyNumberFormat="1" applyFont="1" applyBorder="1" applyAlignment="1" applyProtection="1">
      <alignment horizontal="center" vertical="center"/>
    </xf>
    <xf numFmtId="0" fontId="12" fillId="0" borderId="32" xfId="3" applyFont="1" applyBorder="1" applyAlignment="1" applyProtection="1">
      <alignment horizontal="center" vertical="center"/>
    </xf>
    <xf numFmtId="0" fontId="14" fillId="0" borderId="0" xfId="3" applyFont="1" applyFill="1" applyAlignment="1" applyProtection="1">
      <alignment horizontal="center" vertical="center"/>
    </xf>
    <xf numFmtId="0" fontId="3" fillId="0" borderId="0" xfId="0" applyFont="1"/>
    <xf numFmtId="0" fontId="4" fillId="0" borderId="0" xfId="0" applyFont="1"/>
    <xf numFmtId="0" fontId="24" fillId="0" borderId="0" xfId="0" applyFont="1"/>
    <xf numFmtId="0" fontId="19" fillId="0" borderId="0" xfId="3" applyFont="1" applyFill="1" applyBorder="1" applyAlignment="1" applyProtection="1">
      <alignment horizontal="center" vertical="center"/>
    </xf>
    <xf numFmtId="0" fontId="25" fillId="0" borderId="0" xfId="3" applyFont="1" applyBorder="1" applyAlignment="1" applyProtection="1">
      <alignment horizontal="center" vertical="center"/>
    </xf>
    <xf numFmtId="0" fontId="16" fillId="4" borderId="1" xfId="3" applyFont="1" applyFill="1" applyBorder="1" applyAlignment="1" applyProtection="1">
      <alignment horizontal="center" vertical="center"/>
      <protection locked="0"/>
    </xf>
    <xf numFmtId="0" fontId="18" fillId="0" borderId="0" xfId="3" applyFont="1" applyBorder="1" applyAlignment="1" applyProtection="1">
      <alignment horizontal="center" vertical="center"/>
    </xf>
    <xf numFmtId="0" fontId="18" fillId="0" borderId="1" xfId="3" applyFont="1" applyFill="1" applyBorder="1" applyAlignment="1" applyProtection="1">
      <alignment horizontal="center" vertical="center"/>
    </xf>
    <xf numFmtId="0" fontId="9" fillId="0" borderId="0" xfId="3" applyNumberFormat="1" applyFont="1" applyAlignment="1" applyProtection="1">
      <alignment horizontal="center" vertical="center"/>
    </xf>
    <xf numFmtId="0" fontId="25" fillId="0" borderId="0" xfId="3" applyFont="1" applyAlignment="1" applyProtection="1">
      <alignment horizontal="center" vertical="center"/>
    </xf>
    <xf numFmtId="164" fontId="9" fillId="5" borderId="17" xfId="3" applyNumberFormat="1" applyFont="1" applyFill="1" applyBorder="1" applyAlignment="1" applyProtection="1">
      <alignment horizontal="center" vertical="center"/>
    </xf>
    <xf numFmtId="0" fontId="26" fillId="0" borderId="0" xfId="0" applyFont="1"/>
    <xf numFmtId="0" fontId="9" fillId="6" borderId="1" xfId="3" applyFont="1" applyFill="1" applyBorder="1" applyAlignment="1" applyProtection="1">
      <alignment horizontal="center" vertical="center"/>
    </xf>
    <xf numFmtId="165" fontId="21" fillId="2" borderId="3" xfId="3" applyNumberFormat="1" applyFont="1" applyFill="1" applyBorder="1" applyAlignment="1" applyProtection="1">
      <alignment horizontal="center" vertical="center"/>
    </xf>
    <xf numFmtId="0" fontId="22" fillId="0" borderId="21" xfId="0" applyFont="1" applyBorder="1" applyAlignment="1">
      <alignment horizontal="center" vertical="center"/>
    </xf>
    <xf numFmtId="165" fontId="21" fillId="2" borderId="20" xfId="3" applyNumberFormat="1" applyFont="1" applyFill="1" applyBorder="1" applyAlignment="1" applyProtection="1">
      <alignment horizontal="center" vertical="center"/>
    </xf>
    <xf numFmtId="0" fontId="22" fillId="0" borderId="19" xfId="0" applyFont="1" applyBorder="1" applyAlignment="1">
      <alignment horizontal="center" vertical="center"/>
    </xf>
    <xf numFmtId="49" fontId="12" fillId="0" borderId="8" xfId="3" applyNumberFormat="1" applyFont="1" applyBorder="1" applyAlignment="1" applyProtection="1">
      <alignment horizontal="center" vertical="center"/>
      <protection locked="0"/>
    </xf>
    <xf numFmtId="49" fontId="6" fillId="0" borderId="5" xfId="0" applyNumberFormat="1" applyFont="1" applyBorder="1" applyAlignment="1" applyProtection="1">
      <alignment horizontal="center" vertical="center"/>
      <protection locked="0"/>
    </xf>
    <xf numFmtId="49" fontId="6" fillId="0" borderId="10" xfId="0" applyNumberFormat="1" applyFont="1" applyBorder="1" applyAlignment="1" applyProtection="1">
      <alignment horizontal="center" vertical="center"/>
      <protection locked="0"/>
    </xf>
    <xf numFmtId="0" fontId="17" fillId="3" borderId="8" xfId="3" applyFont="1" applyFill="1" applyBorder="1" applyAlignment="1" applyProtection="1">
      <alignment horizontal="center" vertical="center"/>
      <protection locked="0"/>
    </xf>
    <xf numFmtId="0" fontId="5" fillId="3" borderId="5" xfId="0" applyFont="1" applyFill="1" applyBorder="1" applyAlignment="1" applyProtection="1">
      <alignment horizontal="center" vertical="center"/>
      <protection locked="0"/>
    </xf>
    <xf numFmtId="0" fontId="5" fillId="3" borderId="10" xfId="0" applyFont="1" applyFill="1" applyBorder="1" applyAlignment="1" applyProtection="1">
      <alignment horizontal="center" vertical="center"/>
      <protection locked="0"/>
    </xf>
    <xf numFmtId="0" fontId="0" fillId="3" borderId="5" xfId="0" applyFill="1" applyBorder="1" applyAlignment="1" applyProtection="1">
      <alignment horizontal="center" vertical="center"/>
      <protection locked="0"/>
    </xf>
    <xf numFmtId="0" fontId="0" fillId="3" borderId="10" xfId="0" applyFill="1" applyBorder="1" applyAlignment="1" applyProtection="1">
      <alignment horizontal="center" vertical="center"/>
      <protection locked="0"/>
    </xf>
    <xf numFmtId="0" fontId="17" fillId="3" borderId="8" xfId="3" applyFont="1" applyFill="1" applyBorder="1" applyAlignment="1" applyProtection="1">
      <alignment horizontal="center" vertical="center"/>
    </xf>
    <xf numFmtId="0" fontId="5" fillId="3" borderId="10" xfId="0" applyFont="1" applyFill="1" applyBorder="1" applyAlignment="1" applyProtection="1">
      <alignment horizontal="center" vertical="center"/>
    </xf>
    <xf numFmtId="0" fontId="0" fillId="0" borderId="5" xfId="0" applyBorder="1" applyAlignment="1">
      <alignment horizontal="center" vertical="center"/>
    </xf>
    <xf numFmtId="0" fontId="0" fillId="0" borderId="10" xfId="0" applyBorder="1" applyAlignment="1">
      <alignment horizontal="center" vertical="center"/>
    </xf>
    <xf numFmtId="165" fontId="21" fillId="2" borderId="31" xfId="3" applyNumberFormat="1" applyFont="1" applyFill="1" applyBorder="1" applyAlignment="1" applyProtection="1">
      <alignment horizontal="center" vertical="center"/>
    </xf>
    <xf numFmtId="0" fontId="22" fillId="0" borderId="29" xfId="0" applyFont="1" applyBorder="1" applyAlignment="1">
      <alignment horizontal="center" vertical="center"/>
    </xf>
    <xf numFmtId="0" fontId="13" fillId="0" borderId="26" xfId="3" applyNumberFormat="1" applyFont="1" applyBorder="1" applyAlignment="1" applyProtection="1">
      <alignment horizontal="center" vertical="center"/>
    </xf>
    <xf numFmtId="0" fontId="0" fillId="0" borderId="27" xfId="0" applyBorder="1" applyAlignment="1">
      <alignment horizontal="center" vertical="center"/>
    </xf>
    <xf numFmtId="2" fontId="18" fillId="2" borderId="1" xfId="3" applyNumberFormat="1" applyFont="1" applyFill="1" applyBorder="1" applyAlignment="1" applyProtection="1">
      <alignment horizontal="center" vertical="center"/>
    </xf>
    <xf numFmtId="0" fontId="0" fillId="0" borderId="1" xfId="0" applyBorder="1" applyAlignment="1">
      <alignment horizontal="center" vertical="center"/>
    </xf>
    <xf numFmtId="2" fontId="18" fillId="0" borderId="0" xfId="3" applyNumberFormat="1" applyFont="1" applyFill="1" applyBorder="1" applyAlignment="1" applyProtection="1">
      <alignment horizontal="center" vertical="center"/>
    </xf>
    <xf numFmtId="0" fontId="0" fillId="0" borderId="0" xfId="0" applyFill="1" applyBorder="1" applyAlignment="1">
      <alignment horizontal="center" vertical="center"/>
    </xf>
    <xf numFmtId="0" fontId="12" fillId="0" borderId="26" xfId="3" applyNumberFormat="1" applyFont="1" applyBorder="1" applyAlignment="1" applyProtection="1">
      <alignment horizontal="center" vertical="center"/>
    </xf>
    <xf numFmtId="0" fontId="12" fillId="0" borderId="22" xfId="3" applyNumberFormat="1" applyFont="1" applyBorder="1" applyAlignment="1" applyProtection="1">
      <alignment horizontal="center" vertical="center"/>
    </xf>
    <xf numFmtId="0" fontId="0" fillId="0" borderId="23" xfId="0" applyBorder="1" applyAlignment="1">
      <alignment horizontal="center" vertical="center"/>
    </xf>
    <xf numFmtId="0" fontId="27" fillId="0" borderId="1" xfId="0" applyNumberFormat="1" applyFont="1" applyBorder="1"/>
    <xf numFmtId="168" fontId="6" fillId="0" borderId="1" xfId="1" applyNumberFormat="1" applyFont="1" applyBorder="1" applyAlignment="1">
      <alignment horizontal="center" vertical="center" wrapText="1"/>
    </xf>
    <xf numFmtId="164" fontId="3" fillId="0" borderId="1" xfId="1" applyNumberFormat="1" applyFont="1" applyBorder="1" applyAlignment="1">
      <alignment vertical="center" wrapText="1"/>
    </xf>
    <xf numFmtId="164" fontId="3" fillId="0" borderId="10" xfId="1" applyNumberFormat="1" applyFont="1" applyBorder="1" applyAlignment="1">
      <alignment vertical="center" wrapText="1"/>
    </xf>
    <xf numFmtId="0" fontId="28" fillId="0" borderId="0" xfId="3" applyFont="1" applyAlignment="1" applyProtection="1">
      <alignment horizontal="center" vertical="center"/>
    </xf>
  </cellXfs>
  <cellStyles count="4">
    <cellStyle name="Normal" xfId="0" builtinId="0"/>
    <cellStyle name="Normal 2" xfId="1" xr:uid="{00000000-0005-0000-0000-000001000000}"/>
    <cellStyle name="Normal 2 2" xfId="2" xr:uid="{00000000-0005-0000-0000-000002000000}"/>
    <cellStyle name="Normal 3" xfId="3" xr:uid="{00000000-0005-0000-0000-000003000000}"/>
  </cellStyles>
  <dxfs count="66">
    <dxf>
      <font>
        <strike val="0"/>
      </font>
      <fill>
        <patternFill>
          <bgColor rgb="FF92D050"/>
        </patternFill>
      </fill>
      <border>
        <vertical/>
        <horizontal/>
      </border>
    </dxf>
    <dxf>
      <font>
        <strike val="0"/>
      </font>
      <fill>
        <patternFill>
          <bgColor rgb="FF92D050"/>
        </patternFill>
      </fill>
      <border>
        <vertical/>
        <horizontal/>
      </border>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3" tint="0.59996337778862885"/>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ont>
        <strike val="0"/>
        <color theme="0"/>
      </font>
      <fill>
        <patternFill>
          <bgColor rgb="FFFF0000"/>
        </patternFill>
      </fill>
    </dxf>
    <dxf>
      <font>
        <b/>
        <i val="0"/>
        <strike val="0"/>
        <color auto="1"/>
      </font>
      <fill>
        <patternFill>
          <bgColor rgb="FF92D050"/>
        </patternFill>
      </fill>
    </dxf>
    <dxf>
      <font>
        <strike val="0"/>
        <color theme="0"/>
      </font>
      <fill>
        <patternFill>
          <bgColor rgb="FFFF0000"/>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s>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114300</xdr:rowOff>
    </xdr:from>
    <xdr:to>
      <xdr:col>7</xdr:col>
      <xdr:colOff>276225</xdr:colOff>
      <xdr:row>13</xdr:row>
      <xdr:rowOff>109365</xdr:rowOff>
    </xdr:to>
    <xdr:pic>
      <xdr:nvPicPr>
        <xdr:cNvPr id="15" name="Imag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stretch>
          <a:fillRect/>
        </a:stretch>
      </xdr:blipFill>
      <xdr:spPr>
        <a:xfrm>
          <a:off x="0" y="8048625"/>
          <a:ext cx="5610225" cy="642765"/>
        </a:xfrm>
        <a:prstGeom prst="rect">
          <a:avLst/>
        </a:prstGeom>
      </xdr:spPr>
    </xdr:pic>
    <xdr:clientData/>
  </xdr:twoCellAnchor>
  <xdr:twoCellAnchor editAs="oneCell">
    <xdr:from>
      <xdr:col>8</xdr:col>
      <xdr:colOff>209550</xdr:colOff>
      <xdr:row>17</xdr:row>
      <xdr:rowOff>0</xdr:rowOff>
    </xdr:from>
    <xdr:to>
      <xdr:col>10</xdr:col>
      <xdr:colOff>695074</xdr:colOff>
      <xdr:row>37</xdr:row>
      <xdr:rowOff>104357</xdr:rowOff>
    </xdr:to>
    <xdr:pic>
      <xdr:nvPicPr>
        <xdr:cNvPr id="16" name="Image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2"/>
        <a:stretch>
          <a:fillRect/>
        </a:stretch>
      </xdr:blipFill>
      <xdr:spPr>
        <a:xfrm>
          <a:off x="6305550" y="9391650"/>
          <a:ext cx="2009524" cy="3342857"/>
        </a:xfrm>
        <a:prstGeom prst="rect">
          <a:avLst/>
        </a:prstGeom>
      </xdr:spPr>
    </xdr:pic>
    <xdr:clientData/>
  </xdr:twoCellAnchor>
  <xdr:twoCellAnchor>
    <xdr:from>
      <xdr:col>2</xdr:col>
      <xdr:colOff>304800</xdr:colOff>
      <xdr:row>22</xdr:row>
      <xdr:rowOff>19050</xdr:rowOff>
    </xdr:from>
    <xdr:to>
      <xdr:col>9</xdr:col>
      <xdr:colOff>190500</xdr:colOff>
      <xdr:row>23</xdr:row>
      <xdr:rowOff>57150</xdr:rowOff>
    </xdr:to>
    <xdr:cxnSp macro="">
      <xdr:nvCxnSpPr>
        <xdr:cNvPr id="18" name="Connecteur droit avec flèche 17">
          <a:extLst>
            <a:ext uri="{FF2B5EF4-FFF2-40B4-BE49-F238E27FC236}">
              <a16:creationId xmlns:a16="http://schemas.microsoft.com/office/drawing/2014/main" id="{00000000-0008-0000-0000-000012000000}"/>
            </a:ext>
          </a:extLst>
        </xdr:cNvPr>
        <xdr:cNvCxnSpPr/>
      </xdr:nvCxnSpPr>
      <xdr:spPr>
        <a:xfrm flipV="1">
          <a:off x="1828800" y="10058400"/>
          <a:ext cx="5219700" cy="200025"/>
        </a:xfrm>
        <a:prstGeom prst="straightConnector1">
          <a:avLst/>
        </a:prstGeom>
        <a:ln w="28575">
          <a:solidFill>
            <a:srgbClr val="FFC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438150</xdr:colOff>
      <xdr:row>24</xdr:row>
      <xdr:rowOff>104775</xdr:rowOff>
    </xdr:from>
    <xdr:to>
      <xdr:col>9</xdr:col>
      <xdr:colOff>228600</xdr:colOff>
      <xdr:row>27</xdr:row>
      <xdr:rowOff>85725</xdr:rowOff>
    </xdr:to>
    <xdr:cxnSp macro="">
      <xdr:nvCxnSpPr>
        <xdr:cNvPr id="19" name="Connecteur droit avec flèche 18">
          <a:extLst>
            <a:ext uri="{FF2B5EF4-FFF2-40B4-BE49-F238E27FC236}">
              <a16:creationId xmlns:a16="http://schemas.microsoft.com/office/drawing/2014/main" id="{00000000-0008-0000-0000-000013000000}"/>
            </a:ext>
          </a:extLst>
        </xdr:cNvPr>
        <xdr:cNvCxnSpPr/>
      </xdr:nvCxnSpPr>
      <xdr:spPr>
        <a:xfrm>
          <a:off x="3486150" y="10467975"/>
          <a:ext cx="3600450" cy="466725"/>
        </a:xfrm>
        <a:prstGeom prst="straightConnector1">
          <a:avLst/>
        </a:prstGeom>
        <a:ln w="28575">
          <a:solidFill>
            <a:srgbClr val="FFC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742950</xdr:colOff>
      <xdr:row>22</xdr:row>
      <xdr:rowOff>9525</xdr:rowOff>
    </xdr:from>
    <xdr:to>
      <xdr:col>10</xdr:col>
      <xdr:colOff>219075</xdr:colOff>
      <xdr:row>27</xdr:row>
      <xdr:rowOff>85727</xdr:rowOff>
    </xdr:to>
    <xdr:cxnSp macro="">
      <xdr:nvCxnSpPr>
        <xdr:cNvPr id="24" name="Connecteur droit avec flèche 23">
          <a:extLst>
            <a:ext uri="{FF2B5EF4-FFF2-40B4-BE49-F238E27FC236}">
              <a16:creationId xmlns:a16="http://schemas.microsoft.com/office/drawing/2014/main" id="{00000000-0008-0000-0000-000018000000}"/>
            </a:ext>
          </a:extLst>
        </xdr:cNvPr>
        <xdr:cNvCxnSpPr/>
      </xdr:nvCxnSpPr>
      <xdr:spPr>
        <a:xfrm flipV="1">
          <a:off x="6076950" y="10048875"/>
          <a:ext cx="1762125" cy="885827"/>
        </a:xfrm>
        <a:prstGeom prst="straightConnector1">
          <a:avLst/>
        </a:prstGeom>
        <a:ln w="28575">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628650</xdr:colOff>
      <xdr:row>27</xdr:row>
      <xdr:rowOff>123826</xdr:rowOff>
    </xdr:from>
    <xdr:to>
      <xdr:col>10</xdr:col>
      <xdr:colOff>161925</xdr:colOff>
      <xdr:row>31</xdr:row>
      <xdr:rowOff>85725</xdr:rowOff>
    </xdr:to>
    <xdr:cxnSp macro="">
      <xdr:nvCxnSpPr>
        <xdr:cNvPr id="27" name="Connecteur droit avec flèche 26">
          <a:extLst>
            <a:ext uri="{FF2B5EF4-FFF2-40B4-BE49-F238E27FC236}">
              <a16:creationId xmlns:a16="http://schemas.microsoft.com/office/drawing/2014/main" id="{00000000-0008-0000-0000-00001B000000}"/>
            </a:ext>
          </a:extLst>
        </xdr:cNvPr>
        <xdr:cNvCxnSpPr/>
      </xdr:nvCxnSpPr>
      <xdr:spPr>
        <a:xfrm flipV="1">
          <a:off x="5962650" y="10972801"/>
          <a:ext cx="1819275" cy="609599"/>
        </a:xfrm>
        <a:prstGeom prst="straightConnector1">
          <a:avLst/>
        </a:prstGeom>
        <a:ln w="952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647700</xdr:colOff>
      <xdr:row>25</xdr:row>
      <xdr:rowOff>152400</xdr:rowOff>
    </xdr:from>
    <xdr:to>
      <xdr:col>10</xdr:col>
      <xdr:colOff>180975</xdr:colOff>
      <xdr:row>31</xdr:row>
      <xdr:rowOff>85725</xdr:rowOff>
    </xdr:to>
    <xdr:cxnSp macro="">
      <xdr:nvCxnSpPr>
        <xdr:cNvPr id="30" name="Connecteur droit avec flèche 29">
          <a:extLst>
            <a:ext uri="{FF2B5EF4-FFF2-40B4-BE49-F238E27FC236}">
              <a16:creationId xmlns:a16="http://schemas.microsoft.com/office/drawing/2014/main" id="{00000000-0008-0000-0000-00001E000000}"/>
            </a:ext>
          </a:extLst>
        </xdr:cNvPr>
        <xdr:cNvCxnSpPr/>
      </xdr:nvCxnSpPr>
      <xdr:spPr>
        <a:xfrm flipV="1">
          <a:off x="5981700" y="10677525"/>
          <a:ext cx="1819275" cy="904875"/>
        </a:xfrm>
        <a:prstGeom prst="straightConnector1">
          <a:avLst/>
        </a:prstGeom>
        <a:ln w="952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647700</xdr:colOff>
      <xdr:row>31</xdr:row>
      <xdr:rowOff>95250</xdr:rowOff>
    </xdr:from>
    <xdr:to>
      <xdr:col>9</xdr:col>
      <xdr:colOff>95250</xdr:colOff>
      <xdr:row>34</xdr:row>
      <xdr:rowOff>57150</xdr:rowOff>
    </xdr:to>
    <xdr:cxnSp macro="">
      <xdr:nvCxnSpPr>
        <xdr:cNvPr id="33" name="Connecteur droit avec flèche 32">
          <a:extLst>
            <a:ext uri="{FF2B5EF4-FFF2-40B4-BE49-F238E27FC236}">
              <a16:creationId xmlns:a16="http://schemas.microsoft.com/office/drawing/2014/main" id="{00000000-0008-0000-0000-000021000000}"/>
            </a:ext>
          </a:extLst>
        </xdr:cNvPr>
        <xdr:cNvCxnSpPr/>
      </xdr:nvCxnSpPr>
      <xdr:spPr>
        <a:xfrm>
          <a:off x="5981700" y="11591925"/>
          <a:ext cx="971550" cy="447675"/>
        </a:xfrm>
        <a:prstGeom prst="straightConnector1">
          <a:avLst/>
        </a:prstGeom>
        <a:ln w="952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0</xdr:colOff>
      <xdr:row>46</xdr:row>
      <xdr:rowOff>0</xdr:rowOff>
    </xdr:from>
    <xdr:to>
      <xdr:col>2</xdr:col>
      <xdr:colOff>38100</xdr:colOff>
      <xdr:row>54</xdr:row>
      <xdr:rowOff>102268</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3"/>
        <a:stretch>
          <a:fillRect/>
        </a:stretch>
      </xdr:blipFill>
      <xdr:spPr>
        <a:xfrm>
          <a:off x="0" y="13925550"/>
          <a:ext cx="1562100" cy="1397668"/>
        </a:xfrm>
        <a:prstGeom prst="rect">
          <a:avLst/>
        </a:prstGeom>
      </xdr:spPr>
    </xdr:pic>
    <xdr:clientData/>
  </xdr:twoCellAnchor>
  <xdr:twoCellAnchor editAs="oneCell">
    <xdr:from>
      <xdr:col>0</xdr:col>
      <xdr:colOff>76199</xdr:colOff>
      <xdr:row>56</xdr:row>
      <xdr:rowOff>38100</xdr:rowOff>
    </xdr:from>
    <xdr:to>
      <xdr:col>4</xdr:col>
      <xdr:colOff>592860</xdr:colOff>
      <xdr:row>69</xdr:row>
      <xdr:rowOff>142875</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4"/>
        <a:stretch>
          <a:fillRect/>
        </a:stretch>
      </xdr:blipFill>
      <xdr:spPr>
        <a:xfrm>
          <a:off x="76199" y="15582900"/>
          <a:ext cx="3564661" cy="2209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38100</xdr:colOff>
          <xdr:row>45</xdr:row>
          <xdr:rowOff>19050</xdr:rowOff>
        </xdr:from>
        <xdr:to>
          <xdr:col>12</xdr:col>
          <xdr:colOff>0</xdr:colOff>
          <xdr:row>47</xdr:row>
          <xdr:rowOff>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Compte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maury/AppData/Local/Microsoft/Windows/Temporary%20Internet%20Files/Content.IE5/H0HWKXT6/Tableau%20%20heure%20travail%20v3%20-%20Orig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
      <sheetName val="Original"/>
      <sheetName val="Société"/>
    </sheetNames>
    <sheetDataSet>
      <sheetData sheetId="0">
        <row r="4">
          <cell r="F4">
            <v>42736</v>
          </cell>
        </row>
        <row r="5">
          <cell r="F5">
            <v>42841</v>
          </cell>
        </row>
        <row r="6">
          <cell r="F6">
            <v>42842</v>
          </cell>
        </row>
        <row r="7">
          <cell r="F7">
            <v>42856</v>
          </cell>
        </row>
        <row r="8">
          <cell r="F8">
            <v>42863</v>
          </cell>
        </row>
        <row r="9">
          <cell r="F9">
            <v>42880</v>
          </cell>
        </row>
        <row r="10">
          <cell r="F10">
            <v>42890</v>
          </cell>
        </row>
        <row r="11">
          <cell r="F11">
            <v>42891</v>
          </cell>
        </row>
        <row r="12">
          <cell r="F12">
            <v>42930</v>
          </cell>
        </row>
        <row r="13">
          <cell r="F13">
            <v>42962</v>
          </cell>
        </row>
        <row r="14">
          <cell r="F14">
            <v>43040</v>
          </cell>
        </row>
        <row r="15">
          <cell r="F15">
            <v>43050</v>
          </cell>
        </row>
        <row r="16">
          <cell r="F16">
            <v>43094</v>
          </cell>
        </row>
      </sheetData>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1:A72"/>
  <sheetViews>
    <sheetView topLeftCell="A49" zoomScaleNormal="100" workbookViewId="0">
      <selection activeCell="G62" sqref="G62"/>
    </sheetView>
  </sheetViews>
  <sheetFormatPr baseColWidth="10" defaultRowHeight="12.75" x14ac:dyDescent="0.2"/>
  <sheetData>
    <row r="1" spans="1:1" x14ac:dyDescent="0.2">
      <c r="A1" s="94" t="s">
        <v>50</v>
      </c>
    </row>
    <row r="3" spans="1:1" x14ac:dyDescent="0.2">
      <c r="A3" s="95" t="s">
        <v>44</v>
      </c>
    </row>
    <row r="4" spans="1:1" x14ac:dyDescent="0.2">
      <c r="A4" s="94"/>
    </row>
    <row r="5" spans="1:1" x14ac:dyDescent="0.2">
      <c r="A5" s="93" t="s">
        <v>46</v>
      </c>
    </row>
    <row r="6" spans="1:1" x14ac:dyDescent="0.2">
      <c r="A6" s="93" t="s">
        <v>47</v>
      </c>
    </row>
    <row r="7" spans="1:1" x14ac:dyDescent="0.2">
      <c r="A7" s="94"/>
    </row>
    <row r="8" spans="1:1" x14ac:dyDescent="0.2">
      <c r="A8" s="93" t="s">
        <v>56</v>
      </c>
    </row>
    <row r="9" spans="1:1" x14ac:dyDescent="0.2">
      <c r="A9" s="93" t="s">
        <v>45</v>
      </c>
    </row>
    <row r="10" spans="1:1" x14ac:dyDescent="0.2">
      <c r="A10" s="93"/>
    </row>
    <row r="11" spans="1:1" x14ac:dyDescent="0.2">
      <c r="A11" s="93"/>
    </row>
    <row r="12" spans="1:1" x14ac:dyDescent="0.2">
      <c r="A12" s="93"/>
    </row>
    <row r="13" spans="1:1" x14ac:dyDescent="0.2">
      <c r="A13" s="93"/>
    </row>
    <row r="14" spans="1:1" x14ac:dyDescent="0.2">
      <c r="A14" s="93"/>
    </row>
    <row r="15" spans="1:1" x14ac:dyDescent="0.2">
      <c r="A15" s="93"/>
    </row>
    <row r="16" spans="1:1" x14ac:dyDescent="0.2">
      <c r="A16" s="93" t="s">
        <v>57</v>
      </c>
    </row>
    <row r="17" spans="1:1" x14ac:dyDescent="0.2">
      <c r="A17" s="93" t="s">
        <v>58</v>
      </c>
    </row>
    <row r="18" spans="1:1" x14ac:dyDescent="0.2">
      <c r="A18" s="93"/>
    </row>
    <row r="19" spans="1:1" x14ac:dyDescent="0.2">
      <c r="A19" s="93"/>
    </row>
    <row r="20" spans="1:1" x14ac:dyDescent="0.2">
      <c r="A20" s="95" t="s">
        <v>48</v>
      </c>
    </row>
    <row r="22" spans="1:1" x14ac:dyDescent="0.2">
      <c r="A22" s="93" t="s">
        <v>39</v>
      </c>
    </row>
    <row r="23" spans="1:1" x14ac:dyDescent="0.2">
      <c r="A23" s="93" t="s">
        <v>40</v>
      </c>
    </row>
    <row r="24" spans="1:1" x14ac:dyDescent="0.2">
      <c r="A24" s="93" t="s">
        <v>41</v>
      </c>
    </row>
    <row r="25" spans="1:1" x14ac:dyDescent="0.2">
      <c r="A25" s="93" t="s">
        <v>42</v>
      </c>
    </row>
    <row r="26" spans="1:1" x14ac:dyDescent="0.2">
      <c r="A26" s="93"/>
    </row>
    <row r="28" spans="1:1" x14ac:dyDescent="0.2">
      <c r="A28" s="93" t="s">
        <v>43</v>
      </c>
    </row>
    <row r="30" spans="1:1" x14ac:dyDescent="0.2">
      <c r="A30" s="93" t="s">
        <v>59</v>
      </c>
    </row>
    <row r="32" spans="1:1" x14ac:dyDescent="0.2">
      <c r="A32" s="93" t="s">
        <v>60</v>
      </c>
    </row>
    <row r="33" spans="1:1" x14ac:dyDescent="0.2">
      <c r="A33" s="93" t="s">
        <v>61</v>
      </c>
    </row>
    <row r="38" spans="1:1" x14ac:dyDescent="0.2">
      <c r="A38" s="95" t="s">
        <v>49</v>
      </c>
    </row>
    <row r="40" spans="1:1" x14ac:dyDescent="0.2">
      <c r="A40" s="93" t="s">
        <v>51</v>
      </c>
    </row>
    <row r="41" spans="1:1" x14ac:dyDescent="0.2">
      <c r="A41" s="93" t="s">
        <v>52</v>
      </c>
    </row>
    <row r="43" spans="1:1" x14ac:dyDescent="0.2">
      <c r="A43" s="95" t="s">
        <v>53</v>
      </c>
    </row>
    <row r="45" spans="1:1" x14ac:dyDescent="0.2">
      <c r="A45" s="93" t="s">
        <v>62</v>
      </c>
    </row>
    <row r="46" spans="1:1" x14ac:dyDescent="0.2">
      <c r="A46" s="93" t="s">
        <v>63</v>
      </c>
    </row>
    <row r="47" spans="1:1" x14ac:dyDescent="0.2">
      <c r="A47" s="93"/>
    </row>
    <row r="48" spans="1:1" x14ac:dyDescent="0.2">
      <c r="A48" s="93"/>
    </row>
    <row r="49" spans="1:1" x14ac:dyDescent="0.2">
      <c r="A49" s="93"/>
    </row>
    <row r="50" spans="1:1" x14ac:dyDescent="0.2">
      <c r="A50" s="93"/>
    </row>
    <row r="51" spans="1:1" x14ac:dyDescent="0.2">
      <c r="A51" s="93"/>
    </row>
    <row r="52" spans="1:1" x14ac:dyDescent="0.2">
      <c r="A52" s="93"/>
    </row>
    <row r="53" spans="1:1" x14ac:dyDescent="0.2">
      <c r="A53" s="93"/>
    </row>
    <row r="54" spans="1:1" x14ac:dyDescent="0.2">
      <c r="A54" s="93"/>
    </row>
    <row r="55" spans="1:1" x14ac:dyDescent="0.2">
      <c r="A55" s="93"/>
    </row>
    <row r="56" spans="1:1" x14ac:dyDescent="0.2">
      <c r="A56" s="93" t="s">
        <v>64</v>
      </c>
    </row>
    <row r="57" spans="1:1" x14ac:dyDescent="0.2">
      <c r="A57" s="93"/>
    </row>
    <row r="58" spans="1:1" x14ac:dyDescent="0.2">
      <c r="A58" s="93"/>
    </row>
    <row r="59" spans="1:1" x14ac:dyDescent="0.2">
      <c r="A59" s="93"/>
    </row>
    <row r="60" spans="1:1" x14ac:dyDescent="0.2">
      <c r="A60" s="93"/>
    </row>
    <row r="61" spans="1:1" x14ac:dyDescent="0.2">
      <c r="A61" s="93"/>
    </row>
    <row r="62" spans="1:1" x14ac:dyDescent="0.2">
      <c r="A62" s="93"/>
    </row>
    <row r="63" spans="1:1" x14ac:dyDescent="0.2">
      <c r="A63" s="93"/>
    </row>
    <row r="64" spans="1:1" x14ac:dyDescent="0.2">
      <c r="A64" s="93"/>
    </row>
    <row r="65" spans="1:1" x14ac:dyDescent="0.2">
      <c r="A65" s="93"/>
    </row>
    <row r="66" spans="1:1" x14ac:dyDescent="0.2">
      <c r="A66" s="93"/>
    </row>
    <row r="67" spans="1:1" x14ac:dyDescent="0.2">
      <c r="A67" s="93"/>
    </row>
    <row r="68" spans="1:1" x14ac:dyDescent="0.2">
      <c r="A68" s="93"/>
    </row>
    <row r="69" spans="1:1" x14ac:dyDescent="0.2">
      <c r="A69" s="93"/>
    </row>
    <row r="70" spans="1:1" x14ac:dyDescent="0.2">
      <c r="A70" s="93"/>
    </row>
    <row r="71" spans="1:1" x14ac:dyDescent="0.2">
      <c r="A71" s="93" t="s">
        <v>54</v>
      </c>
    </row>
    <row r="72" spans="1:1" x14ac:dyDescent="0.2">
      <c r="A72" s="93" t="s">
        <v>55</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W53"/>
  <sheetViews>
    <sheetView tabSelected="1" topLeftCell="A19" workbookViewId="0">
      <selection activeCell="AE45" sqref="AE45"/>
    </sheetView>
  </sheetViews>
  <sheetFormatPr baseColWidth="10" defaultRowHeight="12" x14ac:dyDescent="0.2"/>
  <cols>
    <col min="1" max="1" width="6.42578125" style="32" customWidth="1"/>
    <col min="2" max="2" width="5.85546875" style="32" customWidth="1"/>
    <col min="3" max="3" width="6.42578125" style="32" hidden="1" customWidth="1"/>
    <col min="4" max="4" width="6.42578125" style="32" customWidth="1"/>
    <col min="5" max="5" width="5.85546875" style="32" customWidth="1"/>
    <col min="6" max="6" width="6.42578125" style="32" hidden="1" customWidth="1"/>
    <col min="7" max="7" width="6.42578125" style="32" customWidth="1"/>
    <col min="8" max="8" width="8.7109375" style="32" customWidth="1"/>
    <col min="9" max="9" width="6.42578125" style="32" hidden="1" customWidth="1"/>
    <col min="10" max="10" width="10" style="32" customWidth="1"/>
    <col min="11" max="11" width="9.85546875" style="32" customWidth="1"/>
    <col min="12" max="12" width="6.42578125" style="32" hidden="1" customWidth="1"/>
    <col min="13" max="13" width="6.42578125" style="32" customWidth="1"/>
    <col min="14" max="14" width="5.85546875" style="32" customWidth="1"/>
    <col min="15" max="15" width="6.42578125" style="32" hidden="1" customWidth="1"/>
    <col min="16" max="16" width="6.42578125" style="32" customWidth="1"/>
    <col min="17" max="17" width="5.85546875" style="32" customWidth="1"/>
    <col min="18" max="18" width="6.42578125" style="32" hidden="1" customWidth="1"/>
    <col min="19" max="19" width="9.85546875" style="32" customWidth="1"/>
    <col min="20" max="20" width="5.85546875" style="32" customWidth="1"/>
    <col min="21" max="21" width="3.140625" style="32" hidden="1" customWidth="1"/>
    <col min="22" max="22" width="6.42578125" style="32" customWidth="1"/>
    <col min="23" max="23" width="5.85546875" style="32" customWidth="1"/>
    <col min="24" max="24" width="6.42578125" style="32" hidden="1" customWidth="1"/>
    <col min="25" max="25" width="6.42578125" style="32" customWidth="1"/>
    <col min="26" max="26" width="5.85546875" style="32" customWidth="1"/>
    <col min="27" max="27" width="6.42578125" style="32" hidden="1" customWidth="1"/>
    <col min="28" max="28" width="6.42578125" style="32" customWidth="1"/>
    <col min="29" max="29" width="5.85546875" style="32" customWidth="1"/>
    <col min="30" max="30" width="1.140625" style="32" hidden="1" customWidth="1"/>
    <col min="31" max="31" width="6.42578125" style="32" customWidth="1"/>
    <col min="32" max="32" width="5.85546875" style="32" customWidth="1"/>
    <col min="33" max="33" width="6.42578125" style="32" hidden="1" customWidth="1"/>
    <col min="34" max="34" width="6.42578125" style="34" customWidth="1"/>
    <col min="35" max="35" width="5.85546875" style="34" customWidth="1"/>
    <col min="36" max="36" width="5.85546875" style="34" hidden="1" customWidth="1"/>
    <col min="37" max="37" width="11.42578125" style="34" hidden="1" customWidth="1"/>
    <col min="38" max="38" width="2.7109375" style="34" hidden="1" customWidth="1"/>
    <col min="39" max="39" width="11.42578125" style="34" hidden="1" customWidth="1"/>
    <col min="40" max="40" width="2.7109375" style="32" hidden="1" customWidth="1"/>
    <col min="41" max="41" width="0" style="32" hidden="1" customWidth="1"/>
    <col min="42" max="16384" width="11.42578125" style="32"/>
  </cols>
  <sheetData>
    <row r="1" spans="1:49" ht="24.75" customHeight="1" x14ac:dyDescent="0.2">
      <c r="A1" s="87" t="s">
        <v>67</v>
      </c>
      <c r="H1" s="38"/>
      <c r="I1" s="38"/>
      <c r="J1" s="38" t="s">
        <v>68</v>
      </c>
      <c r="K1" s="38"/>
      <c r="L1" s="38"/>
      <c r="M1" s="98">
        <v>24</v>
      </c>
      <c r="Q1" s="88" t="s">
        <v>37</v>
      </c>
      <c r="R1" s="89"/>
      <c r="S1" s="89"/>
      <c r="T1" s="89"/>
      <c r="U1" s="89"/>
      <c r="V1" s="89"/>
      <c r="W1" s="89"/>
      <c r="X1" s="89"/>
      <c r="Y1" s="89"/>
      <c r="Z1" s="89"/>
      <c r="AA1" s="89"/>
      <c r="AB1" s="88" t="s">
        <v>38</v>
      </c>
      <c r="AE1" s="92">
        <f>IF(AE2=1,12,AE2-1)</f>
        <v>12</v>
      </c>
    </row>
    <row r="2" spans="1:49" ht="19.5" customHeight="1" x14ac:dyDescent="0.2">
      <c r="D2" s="33" t="s">
        <v>34</v>
      </c>
      <c r="E2" s="38"/>
      <c r="F2" s="38"/>
      <c r="G2" s="110"/>
      <c r="H2" s="111"/>
      <c r="I2" s="111"/>
      <c r="J2" s="111"/>
      <c r="K2" s="111"/>
      <c r="L2" s="111"/>
      <c r="M2" s="112"/>
      <c r="P2" s="39">
        <f>IF(Q2="","",VLOOKUP(Q2,AM2:AN25,2,0))</f>
        <v>2</v>
      </c>
      <c r="Q2" s="113">
        <v>2020</v>
      </c>
      <c r="R2" s="114"/>
      <c r="S2" s="115"/>
      <c r="T2" s="41">
        <f>IF(V2="","",VLOOKUP(V2,AK2:AL13,2,0))</f>
        <v>1</v>
      </c>
      <c r="U2" s="40"/>
      <c r="V2" s="113" t="s">
        <v>20</v>
      </c>
      <c r="W2" s="116"/>
      <c r="X2" s="116"/>
      <c r="Y2" s="117"/>
      <c r="Z2" s="37"/>
      <c r="AA2" s="37"/>
      <c r="AB2" s="118">
        <f>IF(V2="Janvier",Q2,Q2+1)</f>
        <v>2020</v>
      </c>
      <c r="AC2" s="119"/>
      <c r="AD2" s="86"/>
      <c r="AE2" s="92">
        <f>MONTH(V2&amp;"1")</f>
        <v>1</v>
      </c>
      <c r="AF2" s="113" t="str">
        <f>CHOOSE((AE1),"Janvier","Février","Mars","Avril","Mai","Juin","Juillet","Août","Septembre","Octobre","Novembre","Décembre")</f>
        <v>Décembre</v>
      </c>
      <c r="AG2" s="114"/>
      <c r="AH2" s="120"/>
      <c r="AI2" s="121"/>
      <c r="AK2" s="34" t="s">
        <v>20</v>
      </c>
      <c r="AL2" s="34">
        <v>1</v>
      </c>
      <c r="AM2" s="34">
        <v>2019</v>
      </c>
      <c r="AN2" s="34">
        <v>1</v>
      </c>
      <c r="AO2" s="34"/>
      <c r="AP2" s="34"/>
      <c r="AQ2" s="34"/>
      <c r="AR2" s="34"/>
      <c r="AS2" s="34"/>
      <c r="AT2" s="34"/>
      <c r="AU2" s="34"/>
      <c r="AV2" s="34"/>
      <c r="AW2" s="34"/>
    </row>
    <row r="3" spans="1:49" ht="6" customHeight="1" thickBot="1" x14ac:dyDescent="0.25">
      <c r="AK3" s="34" t="s">
        <v>21</v>
      </c>
      <c r="AL3" s="34">
        <v>2</v>
      </c>
      <c r="AM3" s="34">
        <v>2020</v>
      </c>
      <c r="AN3" s="34">
        <v>2</v>
      </c>
      <c r="AO3" s="34"/>
      <c r="AP3" s="34"/>
      <c r="AQ3" s="34"/>
      <c r="AR3" s="34"/>
      <c r="AS3" s="34"/>
      <c r="AT3" s="34"/>
      <c r="AU3" s="34"/>
      <c r="AV3" s="34"/>
      <c r="AW3" s="34"/>
    </row>
    <row r="4" spans="1:49" s="84" customFormat="1" ht="18" customHeight="1" thickBot="1" x14ac:dyDescent="0.25">
      <c r="A4" s="122">
        <f>DATE(P2+2018,T2,1)</f>
        <v>43831</v>
      </c>
      <c r="B4" s="123"/>
      <c r="C4" s="79"/>
      <c r="D4" s="106">
        <f>DATE($P$2+2018,$T$2+1,1)</f>
        <v>43862</v>
      </c>
      <c r="E4" s="107"/>
      <c r="F4" s="80"/>
      <c r="G4" s="106">
        <f>DATE($P$2+2018,$T$2+2,1)</f>
        <v>43891</v>
      </c>
      <c r="H4" s="107"/>
      <c r="I4" s="80"/>
      <c r="J4" s="106">
        <f>DATE($P$2+2018,$T$2+3,1)</f>
        <v>43922</v>
      </c>
      <c r="K4" s="107"/>
      <c r="L4" s="80"/>
      <c r="M4" s="108">
        <f>DATE($P$2+2018,$T$2+4,1)</f>
        <v>43952</v>
      </c>
      <c r="N4" s="109"/>
      <c r="O4" s="81"/>
      <c r="P4" s="106">
        <f>DATE($P$2+2018,$T$2+5,1)</f>
        <v>43983</v>
      </c>
      <c r="Q4" s="107"/>
      <c r="R4" s="80"/>
      <c r="S4" s="108">
        <f>DATE($P$2+2018,$T$2+6,1)</f>
        <v>44013</v>
      </c>
      <c r="T4" s="109"/>
      <c r="U4" s="81"/>
      <c r="V4" s="106">
        <f>DATE($P$2+2018,$T$2+7,1)</f>
        <v>44044</v>
      </c>
      <c r="W4" s="107"/>
      <c r="X4" s="80"/>
      <c r="Y4" s="108">
        <f>DATE($P$2+2018,$T$2+8,1)</f>
        <v>44075</v>
      </c>
      <c r="Z4" s="109"/>
      <c r="AA4" s="81"/>
      <c r="AB4" s="106">
        <f>DATE($P$2+2018,$T$2+9,1)</f>
        <v>44105</v>
      </c>
      <c r="AC4" s="107"/>
      <c r="AD4" s="80"/>
      <c r="AE4" s="108">
        <f>DATE($P$2+2018,$T$2+10,1)</f>
        <v>44136</v>
      </c>
      <c r="AF4" s="109"/>
      <c r="AG4" s="81"/>
      <c r="AH4" s="106">
        <f>DATE($P$2+2018,$T$2+11,1)</f>
        <v>44166</v>
      </c>
      <c r="AI4" s="107"/>
      <c r="AJ4" s="82"/>
      <c r="AK4" s="83" t="s">
        <v>22</v>
      </c>
      <c r="AL4" s="83">
        <v>3</v>
      </c>
      <c r="AM4" s="83">
        <v>2021</v>
      </c>
      <c r="AN4" s="83">
        <v>3</v>
      </c>
      <c r="AO4" s="83"/>
      <c r="AP4" s="83"/>
      <c r="AQ4" s="83"/>
      <c r="AR4" s="83"/>
      <c r="AS4" s="83"/>
      <c r="AT4" s="83"/>
      <c r="AU4" s="83"/>
      <c r="AV4" s="83"/>
      <c r="AW4" s="83"/>
    </row>
    <row r="5" spans="1:49" ht="13.7" customHeight="1" x14ac:dyDescent="0.2">
      <c r="A5" s="59">
        <f>DATE(P2+2018,T2,1)</f>
        <v>43831</v>
      </c>
      <c r="B5" s="68"/>
      <c r="C5" s="63" t="str">
        <f>IF(B5="C",1,"")</f>
        <v/>
      </c>
      <c r="D5" s="59">
        <f>DATE($P$2+2018,$T$2+1,1)</f>
        <v>43862</v>
      </c>
      <c r="E5" s="68"/>
      <c r="F5" s="63" t="str">
        <f>IF(E5="C",1,"")</f>
        <v/>
      </c>
      <c r="G5" s="59">
        <f>DATE(P2+2018,T2+2,1)</f>
        <v>43891</v>
      </c>
      <c r="H5" s="68"/>
      <c r="I5" s="63" t="str">
        <f>IF(H5="C",1,"")</f>
        <v/>
      </c>
      <c r="J5" s="59">
        <f>DATE($P$2+2018,$T2+3,1)</f>
        <v>43922</v>
      </c>
      <c r="K5" s="68"/>
      <c r="L5" s="63" t="str">
        <f>IF(K5="C",1,"")</f>
        <v/>
      </c>
      <c r="M5" s="60">
        <f>DATE($P$2+2018,$T2+4,1)</f>
        <v>43952</v>
      </c>
      <c r="N5" s="68"/>
      <c r="O5" s="74" t="str">
        <f>IF(N5="C",1,"")</f>
        <v/>
      </c>
      <c r="P5" s="59">
        <f>DATE($P$2+2018,$T2+5,1)</f>
        <v>43983</v>
      </c>
      <c r="Q5" s="68"/>
      <c r="R5" s="63" t="str">
        <f>IF(Q5="C",1,"")</f>
        <v/>
      </c>
      <c r="S5" s="60">
        <f>DATE($P$2+2018,$T2+6,1)</f>
        <v>44013</v>
      </c>
      <c r="T5" s="68"/>
      <c r="U5" s="74" t="str">
        <f>IF(T5="C",1,"")</f>
        <v/>
      </c>
      <c r="V5" s="59">
        <f>DATE($P$2+2018,$T2+7,1)</f>
        <v>44044</v>
      </c>
      <c r="W5" s="68"/>
      <c r="X5" s="63" t="str">
        <f>IF(W5="C",1,"")</f>
        <v/>
      </c>
      <c r="Y5" s="60">
        <f>DATE($P$2+2018,$T2+8,1)</f>
        <v>44075</v>
      </c>
      <c r="Z5" s="68"/>
      <c r="AA5" s="74" t="str">
        <f>IF(Z5="C",1,"")</f>
        <v/>
      </c>
      <c r="AB5" s="59">
        <f>DATE($P$2+2018,$T2+9,1)</f>
        <v>44105</v>
      </c>
      <c r="AC5" s="68"/>
      <c r="AD5" s="63" t="str">
        <f>IF(AC5="C",1,"")</f>
        <v/>
      </c>
      <c r="AE5" s="60">
        <f>DATE($P$2+2018,$T2+10,1)</f>
        <v>44136</v>
      </c>
      <c r="AF5" s="68"/>
      <c r="AG5" s="74" t="str">
        <f>IF(AF5="C",1,"")</f>
        <v/>
      </c>
      <c r="AH5" s="59">
        <f>DATE($P$2+2018,$T2+11,1)</f>
        <v>44166</v>
      </c>
      <c r="AI5" s="68"/>
      <c r="AJ5" s="58" t="str">
        <f>IF(AI5="C",1,"")</f>
        <v/>
      </c>
      <c r="AK5" s="34" t="s">
        <v>23</v>
      </c>
      <c r="AL5" s="34">
        <v>4</v>
      </c>
      <c r="AM5" s="34">
        <v>2022</v>
      </c>
      <c r="AN5" s="34">
        <v>4</v>
      </c>
      <c r="AO5" s="34"/>
      <c r="AP5" s="34"/>
      <c r="AQ5" s="34"/>
      <c r="AR5" s="34"/>
      <c r="AS5" s="34"/>
      <c r="AT5" s="34"/>
      <c r="AU5" s="34"/>
      <c r="AV5" s="34"/>
      <c r="AW5" s="34"/>
    </row>
    <row r="6" spans="1:49" ht="13.7" customHeight="1" x14ac:dyDescent="0.2">
      <c r="A6" s="61">
        <f>DATE(P2+2018,T2,2)</f>
        <v>43832</v>
      </c>
      <c r="B6" s="69"/>
      <c r="C6" s="64" t="str">
        <f t="shared" ref="C6:C35" si="0">IF(B6="C",1,"")</f>
        <v/>
      </c>
      <c r="D6" s="61">
        <f>DATE($P$2+2018,$T$2+1,2)</f>
        <v>43863</v>
      </c>
      <c r="E6" s="69"/>
      <c r="F6" s="64" t="str">
        <f t="shared" ref="F6:F35" si="1">IF(E6="C",1,"")</f>
        <v/>
      </c>
      <c r="G6" s="61">
        <f>DATE($P$2+2018,$T$2+2,2)</f>
        <v>43892</v>
      </c>
      <c r="H6" s="69"/>
      <c r="I6" s="64" t="str">
        <f t="shared" ref="I6:I35" si="2">IF(H6="C",1,"")</f>
        <v/>
      </c>
      <c r="J6" s="61">
        <f>DATE($P$2+2018,$T2+3,2)</f>
        <v>43923</v>
      </c>
      <c r="K6" s="69"/>
      <c r="L6" s="64" t="str">
        <f t="shared" ref="L6:L35" si="3">IF(K6="C",1,"")</f>
        <v/>
      </c>
      <c r="M6" s="35">
        <f>DATE($P$2+2018,$T2+4,2)</f>
        <v>43953</v>
      </c>
      <c r="N6" s="69"/>
      <c r="O6" s="75" t="str">
        <f t="shared" ref="O6:O35" si="4">IF(N6="C",1,"")</f>
        <v/>
      </c>
      <c r="P6" s="61">
        <f>DATE($P$2+2018,$T2+5,2)</f>
        <v>43984</v>
      </c>
      <c r="Q6" s="69"/>
      <c r="R6" s="64" t="str">
        <f t="shared" ref="R6:R35" si="5">IF(Q6="C",1,"")</f>
        <v/>
      </c>
      <c r="S6" s="35">
        <f>DATE($P$2+2018,$T2+6,2)</f>
        <v>44014</v>
      </c>
      <c r="T6" s="69"/>
      <c r="U6" s="75" t="str">
        <f t="shared" ref="U6:U35" si="6">IF(T6="C",1,"")</f>
        <v/>
      </c>
      <c r="V6" s="61">
        <f>DATE($P$2+2018,$T2+7,2)</f>
        <v>44045</v>
      </c>
      <c r="W6" s="69"/>
      <c r="X6" s="64" t="str">
        <f t="shared" ref="X6:X35" si="7">IF(W6="C",1,"")</f>
        <v/>
      </c>
      <c r="Y6" s="35">
        <f>DATE($P$2+2018,$T2+8,2)</f>
        <v>44076</v>
      </c>
      <c r="Z6" s="69"/>
      <c r="AA6" s="75" t="str">
        <f t="shared" ref="AA6:AA35" si="8">IF(Z6="C",1,"")</f>
        <v/>
      </c>
      <c r="AB6" s="61">
        <f>DATE($P$2+2018,$T2+9,2)</f>
        <v>44106</v>
      </c>
      <c r="AC6" s="69"/>
      <c r="AD6" s="64" t="str">
        <f t="shared" ref="AD6:AD35" si="9">IF(AC6="C",1,"")</f>
        <v/>
      </c>
      <c r="AE6" s="35">
        <f>DATE($P$2+2018,$T2+10,2)</f>
        <v>44137</v>
      </c>
      <c r="AF6" s="69"/>
      <c r="AG6" s="75" t="str">
        <f t="shared" ref="AG6:AG35" si="10">IF(AF6="C",1,"")</f>
        <v/>
      </c>
      <c r="AH6" s="61">
        <f>DATE($P$2+2018,$T2+11,2)</f>
        <v>44167</v>
      </c>
      <c r="AI6" s="69"/>
      <c r="AJ6" s="58" t="str">
        <f t="shared" ref="AJ6:AJ35" si="11">IF(AI6="C",1,"")</f>
        <v/>
      </c>
      <c r="AK6" s="34" t="s">
        <v>24</v>
      </c>
      <c r="AL6" s="34">
        <v>5</v>
      </c>
      <c r="AM6" s="34">
        <v>2023</v>
      </c>
      <c r="AN6" s="34">
        <v>5</v>
      </c>
      <c r="AO6" s="34"/>
      <c r="AP6" s="34"/>
      <c r="AQ6" s="34"/>
      <c r="AR6" s="34"/>
      <c r="AS6" s="34"/>
      <c r="AT6" s="34"/>
      <c r="AU6" s="34"/>
      <c r="AV6" s="34"/>
      <c r="AW6" s="34"/>
    </row>
    <row r="7" spans="1:49" ht="13.7" customHeight="1" x14ac:dyDescent="0.2">
      <c r="A7" s="61">
        <f>DATE(P2+2018,T2,3)</f>
        <v>43833</v>
      </c>
      <c r="B7" s="69"/>
      <c r="C7" s="64" t="str">
        <f t="shared" si="0"/>
        <v/>
      </c>
      <c r="D7" s="61">
        <f>DATE($P$2+2018,$T$2+1,3)</f>
        <v>43864</v>
      </c>
      <c r="E7" s="69"/>
      <c r="F7" s="64" t="str">
        <f t="shared" si="1"/>
        <v/>
      </c>
      <c r="G7" s="61">
        <f>DATE($P$2+2018,$T$2+2,3)</f>
        <v>43893</v>
      </c>
      <c r="H7" s="69"/>
      <c r="I7" s="64" t="str">
        <f t="shared" si="2"/>
        <v/>
      </c>
      <c r="J7" s="61">
        <f>DATE($P$2+2018,$T2+3,3)</f>
        <v>43924</v>
      </c>
      <c r="K7" s="69"/>
      <c r="L7" s="64" t="str">
        <f t="shared" si="3"/>
        <v/>
      </c>
      <c r="M7" s="35">
        <f>DATE($P$2+2018,$T2+4,3)</f>
        <v>43954</v>
      </c>
      <c r="N7" s="69"/>
      <c r="O7" s="75" t="str">
        <f t="shared" si="4"/>
        <v/>
      </c>
      <c r="P7" s="61">
        <f>DATE($P$2+2018,$T2+5,3)</f>
        <v>43985</v>
      </c>
      <c r="Q7" s="69"/>
      <c r="R7" s="64" t="str">
        <f t="shared" si="5"/>
        <v/>
      </c>
      <c r="S7" s="35">
        <f>DATE($P$2+2018,$T2+6,3)</f>
        <v>44015</v>
      </c>
      <c r="T7" s="69"/>
      <c r="U7" s="75" t="str">
        <f t="shared" si="6"/>
        <v/>
      </c>
      <c r="V7" s="61">
        <f>DATE($P$2+2018,$T2+7,3)</f>
        <v>44046</v>
      </c>
      <c r="W7" s="69"/>
      <c r="X7" s="64" t="str">
        <f t="shared" si="7"/>
        <v/>
      </c>
      <c r="Y7" s="35">
        <f>DATE($P$2+2018,$T2+8,3)</f>
        <v>44077</v>
      </c>
      <c r="Z7" s="69"/>
      <c r="AA7" s="75" t="str">
        <f t="shared" si="8"/>
        <v/>
      </c>
      <c r="AB7" s="61">
        <f>DATE($P$2+2018,$T2+9,3)</f>
        <v>44107</v>
      </c>
      <c r="AC7" s="69"/>
      <c r="AD7" s="64" t="str">
        <f t="shared" si="9"/>
        <v/>
      </c>
      <c r="AE7" s="35">
        <f>DATE($P$2+2018,$T2+10,3)</f>
        <v>44138</v>
      </c>
      <c r="AF7" s="69"/>
      <c r="AG7" s="75" t="str">
        <f t="shared" si="10"/>
        <v/>
      </c>
      <c r="AH7" s="61">
        <f>DATE($P$2+2018,$T2+11,3)</f>
        <v>44168</v>
      </c>
      <c r="AI7" s="69"/>
      <c r="AJ7" s="58" t="str">
        <f t="shared" si="11"/>
        <v/>
      </c>
      <c r="AK7" s="34" t="s">
        <v>25</v>
      </c>
      <c r="AL7" s="34">
        <v>6</v>
      </c>
      <c r="AM7" s="34">
        <v>2024</v>
      </c>
      <c r="AN7" s="34">
        <v>6</v>
      </c>
      <c r="AO7" s="34"/>
      <c r="AP7" s="34"/>
      <c r="AQ7" s="34"/>
      <c r="AR7" s="34"/>
      <c r="AS7" s="34"/>
      <c r="AT7" s="34"/>
      <c r="AU7" s="34"/>
      <c r="AV7" s="34"/>
      <c r="AW7" s="34"/>
    </row>
    <row r="8" spans="1:49" ht="13.7" customHeight="1" x14ac:dyDescent="0.2">
      <c r="A8" s="61">
        <f>DATE($P$2+2018,$T$2,4)</f>
        <v>43834</v>
      </c>
      <c r="B8" s="69"/>
      <c r="C8" s="64" t="str">
        <f t="shared" si="0"/>
        <v/>
      </c>
      <c r="D8" s="61">
        <f>DATE($P$2+2018,$T$2+1,4)</f>
        <v>43865</v>
      </c>
      <c r="E8" s="69"/>
      <c r="F8" s="64" t="str">
        <f t="shared" si="1"/>
        <v/>
      </c>
      <c r="G8" s="61">
        <f>DATE($P$2+2018,$T$2+2,4)</f>
        <v>43894</v>
      </c>
      <c r="H8" s="69"/>
      <c r="I8" s="64" t="str">
        <f t="shared" si="2"/>
        <v/>
      </c>
      <c r="J8" s="61">
        <f>DATE($P$2+2018,$T2+3,4)</f>
        <v>43925</v>
      </c>
      <c r="K8" s="69"/>
      <c r="L8" s="64" t="str">
        <f t="shared" si="3"/>
        <v/>
      </c>
      <c r="M8" s="35">
        <f>DATE($P$2+2018,$T2+4,4)</f>
        <v>43955</v>
      </c>
      <c r="N8" s="69"/>
      <c r="O8" s="75" t="str">
        <f t="shared" si="4"/>
        <v/>
      </c>
      <c r="P8" s="61">
        <f>DATE($P$2+2018,$T2+5,4)</f>
        <v>43986</v>
      </c>
      <c r="Q8" s="69"/>
      <c r="R8" s="64" t="str">
        <f t="shared" si="5"/>
        <v/>
      </c>
      <c r="S8" s="35">
        <f>DATE($P$2+2018,$T2+6,4)</f>
        <v>44016</v>
      </c>
      <c r="T8" s="69"/>
      <c r="U8" s="75" t="str">
        <f t="shared" si="6"/>
        <v/>
      </c>
      <c r="V8" s="61">
        <f>DATE($P$2+2018,$T2+7,4)</f>
        <v>44047</v>
      </c>
      <c r="W8" s="69"/>
      <c r="X8" s="64" t="str">
        <f t="shared" si="7"/>
        <v/>
      </c>
      <c r="Y8" s="35">
        <f>DATE($P$2+2018,$T2+8,4)</f>
        <v>44078</v>
      </c>
      <c r="Z8" s="69"/>
      <c r="AA8" s="75" t="str">
        <f t="shared" si="8"/>
        <v/>
      </c>
      <c r="AB8" s="61">
        <f>DATE($P$2+2018,$T2+9,4)</f>
        <v>44108</v>
      </c>
      <c r="AC8" s="69"/>
      <c r="AD8" s="64" t="str">
        <f t="shared" si="9"/>
        <v/>
      </c>
      <c r="AE8" s="35">
        <f>DATE($P$2+2018,$T2+10,4)</f>
        <v>44139</v>
      </c>
      <c r="AF8" s="69"/>
      <c r="AG8" s="75" t="str">
        <f t="shared" si="10"/>
        <v/>
      </c>
      <c r="AH8" s="61">
        <f>DATE($P$2+2018,$T2+11,4)</f>
        <v>44169</v>
      </c>
      <c r="AI8" s="69"/>
      <c r="AJ8" s="58" t="str">
        <f t="shared" si="11"/>
        <v/>
      </c>
      <c r="AK8" s="34" t="s">
        <v>26</v>
      </c>
      <c r="AL8" s="34">
        <v>7</v>
      </c>
      <c r="AM8" s="34">
        <v>2025</v>
      </c>
      <c r="AN8" s="34">
        <v>7</v>
      </c>
      <c r="AO8" s="34"/>
      <c r="AP8" s="34"/>
      <c r="AQ8" s="34"/>
      <c r="AR8" s="34"/>
      <c r="AS8" s="34"/>
      <c r="AT8" s="34"/>
      <c r="AU8" s="34"/>
      <c r="AV8" s="34"/>
      <c r="AW8" s="34"/>
    </row>
    <row r="9" spans="1:49" ht="13.7" customHeight="1" x14ac:dyDescent="0.2">
      <c r="A9" s="61">
        <f>DATE($P$2+2018,$T$2,5)</f>
        <v>43835</v>
      </c>
      <c r="B9" s="69"/>
      <c r="C9" s="64" t="str">
        <f t="shared" si="0"/>
        <v/>
      </c>
      <c r="D9" s="61">
        <f>DATE($P$2+2018,$T$2+1,5)</f>
        <v>43866</v>
      </c>
      <c r="E9" s="69"/>
      <c r="F9" s="64" t="str">
        <f t="shared" si="1"/>
        <v/>
      </c>
      <c r="G9" s="61">
        <f>DATE($P$2+2018,$T$2+2,5)</f>
        <v>43895</v>
      </c>
      <c r="H9" s="69"/>
      <c r="I9" s="64" t="str">
        <f t="shared" si="2"/>
        <v/>
      </c>
      <c r="J9" s="61">
        <f>DATE($P$2+2018,$T2+3,5)</f>
        <v>43926</v>
      </c>
      <c r="K9" s="69"/>
      <c r="L9" s="64" t="str">
        <f t="shared" si="3"/>
        <v/>
      </c>
      <c r="M9" s="35">
        <f>DATE($P$2+2018,$T2+4,5)</f>
        <v>43956</v>
      </c>
      <c r="N9" s="69"/>
      <c r="O9" s="75" t="str">
        <f t="shared" si="4"/>
        <v/>
      </c>
      <c r="P9" s="61">
        <f>DATE($P$2+2018,$T2+5,5)</f>
        <v>43987</v>
      </c>
      <c r="Q9" s="69"/>
      <c r="R9" s="64" t="str">
        <f t="shared" si="5"/>
        <v/>
      </c>
      <c r="S9" s="35">
        <f>DATE($P$2+2018,$T2+6,5)</f>
        <v>44017</v>
      </c>
      <c r="T9" s="69"/>
      <c r="U9" s="75" t="str">
        <f t="shared" si="6"/>
        <v/>
      </c>
      <c r="V9" s="61">
        <f>DATE($P$2+2018,$T2+7,5)</f>
        <v>44048</v>
      </c>
      <c r="W9" s="69"/>
      <c r="X9" s="64" t="str">
        <f t="shared" si="7"/>
        <v/>
      </c>
      <c r="Y9" s="35">
        <f>DATE($P$2+2018,$T2+8,5)</f>
        <v>44079</v>
      </c>
      <c r="Z9" s="69"/>
      <c r="AA9" s="75" t="str">
        <f t="shared" si="8"/>
        <v/>
      </c>
      <c r="AB9" s="61">
        <f>DATE($P$2+2018,$T2+9,5)</f>
        <v>44109</v>
      </c>
      <c r="AC9" s="69"/>
      <c r="AD9" s="64" t="str">
        <f t="shared" si="9"/>
        <v/>
      </c>
      <c r="AE9" s="35">
        <f>DATE($P$2+2018,$T2+10,5)</f>
        <v>44140</v>
      </c>
      <c r="AF9" s="69"/>
      <c r="AG9" s="75" t="str">
        <f t="shared" si="10"/>
        <v/>
      </c>
      <c r="AH9" s="61">
        <f>DATE($P$2+2018,$T2+11,5)</f>
        <v>44170</v>
      </c>
      <c r="AI9" s="69"/>
      <c r="AJ9" s="58" t="str">
        <f t="shared" si="11"/>
        <v/>
      </c>
      <c r="AK9" s="34" t="s">
        <v>27</v>
      </c>
      <c r="AL9" s="34">
        <v>8</v>
      </c>
      <c r="AM9" s="34">
        <v>2026</v>
      </c>
      <c r="AN9" s="34">
        <v>8</v>
      </c>
      <c r="AO9" s="34"/>
      <c r="AP9" s="34"/>
      <c r="AQ9" s="34"/>
      <c r="AR9" s="34"/>
      <c r="AS9" s="34"/>
      <c r="AT9" s="34"/>
      <c r="AU9" s="34"/>
      <c r="AV9" s="34"/>
      <c r="AW9" s="34"/>
    </row>
    <row r="10" spans="1:49" ht="13.7" customHeight="1" x14ac:dyDescent="0.2">
      <c r="A10" s="61">
        <f>DATE($P$2+2018,$T$2,6)</f>
        <v>43836</v>
      </c>
      <c r="B10" s="69"/>
      <c r="C10" s="64" t="str">
        <f t="shared" si="0"/>
        <v/>
      </c>
      <c r="D10" s="61">
        <f>DATE($P$2+2018,$T$2+1,6)</f>
        <v>43867</v>
      </c>
      <c r="E10" s="69"/>
      <c r="F10" s="64" t="str">
        <f t="shared" si="1"/>
        <v/>
      </c>
      <c r="G10" s="61">
        <f>DATE($P$2+2018,$T$2+2,6)</f>
        <v>43896</v>
      </c>
      <c r="H10" s="69"/>
      <c r="I10" s="64" t="str">
        <f t="shared" si="2"/>
        <v/>
      </c>
      <c r="J10" s="61">
        <f>DATE($P$2+2018,$T2+3,6)</f>
        <v>43927</v>
      </c>
      <c r="K10" s="69"/>
      <c r="L10" s="64" t="str">
        <f t="shared" si="3"/>
        <v/>
      </c>
      <c r="M10" s="35">
        <f>DATE($P$2+2018,$T2+4,6)</f>
        <v>43957</v>
      </c>
      <c r="N10" s="69"/>
      <c r="O10" s="75" t="str">
        <f t="shared" si="4"/>
        <v/>
      </c>
      <c r="P10" s="61">
        <f>DATE($P$2+2018,$T2+5,6)</f>
        <v>43988</v>
      </c>
      <c r="Q10" s="69"/>
      <c r="R10" s="64" t="str">
        <f t="shared" si="5"/>
        <v/>
      </c>
      <c r="S10" s="35">
        <f>DATE($P$2+2018,$T2+6,6)</f>
        <v>44018</v>
      </c>
      <c r="T10" s="69"/>
      <c r="U10" s="75" t="str">
        <f t="shared" si="6"/>
        <v/>
      </c>
      <c r="V10" s="61">
        <f>DATE($P$2+2018,$T2+7,6)</f>
        <v>44049</v>
      </c>
      <c r="W10" s="69"/>
      <c r="X10" s="64" t="str">
        <f t="shared" si="7"/>
        <v/>
      </c>
      <c r="Y10" s="35">
        <f>DATE($P$2+2018,$T2+8,6)</f>
        <v>44080</v>
      </c>
      <c r="Z10" s="69"/>
      <c r="AA10" s="75" t="str">
        <f t="shared" si="8"/>
        <v/>
      </c>
      <c r="AB10" s="61">
        <f>DATE($P$2+2018,$T2+9,6)</f>
        <v>44110</v>
      </c>
      <c r="AC10" s="69"/>
      <c r="AD10" s="64" t="str">
        <f t="shared" si="9"/>
        <v/>
      </c>
      <c r="AE10" s="35">
        <f>DATE($P$2+2018,$T2+10,6)</f>
        <v>44141</v>
      </c>
      <c r="AF10" s="69"/>
      <c r="AG10" s="75" t="str">
        <f t="shared" si="10"/>
        <v/>
      </c>
      <c r="AH10" s="61">
        <f>DATE($P$2+2018,$T2+11,6)</f>
        <v>44171</v>
      </c>
      <c r="AI10" s="69"/>
      <c r="AJ10" s="58" t="str">
        <f t="shared" si="11"/>
        <v/>
      </c>
      <c r="AK10" s="34" t="s">
        <v>28</v>
      </c>
      <c r="AL10" s="34">
        <v>9</v>
      </c>
      <c r="AM10" s="34">
        <v>2027</v>
      </c>
      <c r="AN10" s="34">
        <v>9</v>
      </c>
      <c r="AO10" s="34"/>
      <c r="AP10" s="34"/>
      <c r="AQ10" s="34"/>
      <c r="AR10" s="34"/>
      <c r="AS10" s="34"/>
      <c r="AT10" s="34"/>
      <c r="AU10" s="34"/>
      <c r="AV10" s="34"/>
      <c r="AW10" s="34"/>
    </row>
    <row r="11" spans="1:49" ht="13.7" customHeight="1" x14ac:dyDescent="0.2">
      <c r="A11" s="61">
        <f>DATE($P$2+2018,$T$2,7)</f>
        <v>43837</v>
      </c>
      <c r="B11" s="69"/>
      <c r="C11" s="64" t="str">
        <f t="shared" si="0"/>
        <v/>
      </c>
      <c r="D11" s="61">
        <f>DATE($P$2+2018,$T$2+1,7)</f>
        <v>43868</v>
      </c>
      <c r="E11" s="69"/>
      <c r="F11" s="64" t="str">
        <f t="shared" si="1"/>
        <v/>
      </c>
      <c r="G11" s="61">
        <f>DATE($P$2+2018,$T$2+2,7)</f>
        <v>43897</v>
      </c>
      <c r="H11" s="69"/>
      <c r="I11" s="64" t="str">
        <f t="shared" si="2"/>
        <v/>
      </c>
      <c r="J11" s="61">
        <f>DATE($P$2+2018,$T2+3,7)</f>
        <v>43928</v>
      </c>
      <c r="K11" s="69"/>
      <c r="L11" s="64" t="str">
        <f t="shared" si="3"/>
        <v/>
      </c>
      <c r="M11" s="35">
        <f>DATE($P$2+2018,$T2+4,7)</f>
        <v>43958</v>
      </c>
      <c r="N11" s="69"/>
      <c r="O11" s="75" t="str">
        <f t="shared" si="4"/>
        <v/>
      </c>
      <c r="P11" s="61">
        <f>DATE($P$2+2018,$T2+5,7)</f>
        <v>43989</v>
      </c>
      <c r="Q11" s="69"/>
      <c r="R11" s="64" t="str">
        <f t="shared" si="5"/>
        <v/>
      </c>
      <c r="S11" s="35">
        <f>DATE($P$2+2018,$T2+6,7)</f>
        <v>44019</v>
      </c>
      <c r="T11" s="69"/>
      <c r="U11" s="75" t="str">
        <f t="shared" si="6"/>
        <v/>
      </c>
      <c r="V11" s="61">
        <f>DATE($P$2+2018,$T2+7,7)</f>
        <v>44050</v>
      </c>
      <c r="W11" s="69"/>
      <c r="X11" s="64" t="str">
        <f t="shared" si="7"/>
        <v/>
      </c>
      <c r="Y11" s="35">
        <f>DATE($P$2+2018,$T2+8,7)</f>
        <v>44081</v>
      </c>
      <c r="Z11" s="69"/>
      <c r="AA11" s="75" t="str">
        <f t="shared" si="8"/>
        <v/>
      </c>
      <c r="AB11" s="61">
        <f>DATE($P$2+2018,$T2+9,7)</f>
        <v>44111</v>
      </c>
      <c r="AC11" s="69"/>
      <c r="AD11" s="64" t="str">
        <f t="shared" si="9"/>
        <v/>
      </c>
      <c r="AE11" s="35">
        <f>DATE($P$2+2018,$T2+10,7)</f>
        <v>44142</v>
      </c>
      <c r="AF11" s="69"/>
      <c r="AG11" s="75" t="str">
        <f t="shared" si="10"/>
        <v/>
      </c>
      <c r="AH11" s="61">
        <f>DATE($P$2+2018,$T2+11,7)</f>
        <v>44172</v>
      </c>
      <c r="AI11" s="69"/>
      <c r="AJ11" s="58" t="str">
        <f t="shared" si="11"/>
        <v/>
      </c>
      <c r="AK11" s="34" t="s">
        <v>29</v>
      </c>
      <c r="AL11" s="34">
        <v>10</v>
      </c>
      <c r="AM11" s="34">
        <v>2028</v>
      </c>
      <c r="AN11" s="34">
        <v>10</v>
      </c>
      <c r="AO11" s="34"/>
      <c r="AP11" s="34"/>
      <c r="AQ11" s="34"/>
      <c r="AR11" s="34"/>
      <c r="AS11" s="34"/>
      <c r="AT11" s="34"/>
      <c r="AU11" s="34"/>
      <c r="AV11" s="34"/>
      <c r="AW11" s="34"/>
    </row>
    <row r="12" spans="1:49" ht="13.7" customHeight="1" x14ac:dyDescent="0.2">
      <c r="A12" s="61">
        <f>DATE($P$2+2018,$T$2,8)</f>
        <v>43838</v>
      </c>
      <c r="B12" s="69"/>
      <c r="C12" s="64" t="str">
        <f t="shared" si="0"/>
        <v/>
      </c>
      <c r="D12" s="61">
        <f>DATE($P$2+2018,$T$2+1,8)</f>
        <v>43869</v>
      </c>
      <c r="E12" s="69"/>
      <c r="F12" s="64" t="str">
        <f t="shared" si="1"/>
        <v/>
      </c>
      <c r="G12" s="61">
        <f>DATE($P$2+2018,$T$2+2,8)</f>
        <v>43898</v>
      </c>
      <c r="H12" s="69"/>
      <c r="I12" s="64" t="str">
        <f t="shared" si="2"/>
        <v/>
      </c>
      <c r="J12" s="61">
        <f>DATE($P$2+2018,$T2+3,8)</f>
        <v>43929</v>
      </c>
      <c r="K12" s="69"/>
      <c r="L12" s="64" t="str">
        <f t="shared" si="3"/>
        <v/>
      </c>
      <c r="M12" s="35">
        <f>DATE($P$2+2018,$T2+4,8)</f>
        <v>43959</v>
      </c>
      <c r="N12" s="69"/>
      <c r="O12" s="75" t="str">
        <f t="shared" si="4"/>
        <v/>
      </c>
      <c r="P12" s="61">
        <f>DATE($P$2+2018,$T2+5,8)</f>
        <v>43990</v>
      </c>
      <c r="Q12" s="69"/>
      <c r="R12" s="64" t="str">
        <f t="shared" si="5"/>
        <v/>
      </c>
      <c r="S12" s="35">
        <f>DATE($P$2+2018,$T2+6,8)</f>
        <v>44020</v>
      </c>
      <c r="T12" s="69"/>
      <c r="U12" s="75" t="str">
        <f t="shared" si="6"/>
        <v/>
      </c>
      <c r="V12" s="61">
        <f>DATE($P$2+2018,$T2+7,8)</f>
        <v>44051</v>
      </c>
      <c r="W12" s="69"/>
      <c r="X12" s="64" t="str">
        <f t="shared" si="7"/>
        <v/>
      </c>
      <c r="Y12" s="35">
        <f>DATE($P$2+2018,$T2+8,8)</f>
        <v>44082</v>
      </c>
      <c r="Z12" s="69"/>
      <c r="AA12" s="75" t="str">
        <f t="shared" si="8"/>
        <v/>
      </c>
      <c r="AB12" s="61">
        <f>DATE($P$2+2018,$T2+9,8)</f>
        <v>44112</v>
      </c>
      <c r="AC12" s="69"/>
      <c r="AD12" s="64" t="str">
        <f t="shared" si="9"/>
        <v/>
      </c>
      <c r="AE12" s="35">
        <f>DATE($P$2+2018,$T2+10,8)</f>
        <v>44143</v>
      </c>
      <c r="AF12" s="69"/>
      <c r="AG12" s="75" t="str">
        <f t="shared" si="10"/>
        <v/>
      </c>
      <c r="AH12" s="61">
        <f>DATE($P$2+2018,$T2+11,8)</f>
        <v>44173</v>
      </c>
      <c r="AI12" s="69"/>
      <c r="AJ12" s="58" t="str">
        <f t="shared" si="11"/>
        <v/>
      </c>
      <c r="AK12" s="34" t="s">
        <v>30</v>
      </c>
      <c r="AL12" s="34">
        <v>11</v>
      </c>
      <c r="AM12" s="34">
        <v>2029</v>
      </c>
      <c r="AN12" s="34">
        <v>11</v>
      </c>
      <c r="AO12" s="34"/>
      <c r="AP12" s="34"/>
      <c r="AQ12" s="34"/>
      <c r="AR12" s="34"/>
      <c r="AS12" s="34"/>
      <c r="AT12" s="34"/>
      <c r="AU12" s="34"/>
      <c r="AV12" s="34"/>
      <c r="AW12" s="34"/>
    </row>
    <row r="13" spans="1:49" ht="13.7" customHeight="1" x14ac:dyDescent="0.2">
      <c r="A13" s="61">
        <f>DATE($P$2+2018,$T$2,9)</f>
        <v>43839</v>
      </c>
      <c r="B13" s="69"/>
      <c r="C13" s="64" t="str">
        <f t="shared" si="0"/>
        <v/>
      </c>
      <c r="D13" s="61">
        <f>DATE($P$2+2018,$T$2+1,9)</f>
        <v>43870</v>
      </c>
      <c r="E13" s="69"/>
      <c r="F13" s="64" t="str">
        <f t="shared" si="1"/>
        <v/>
      </c>
      <c r="G13" s="61">
        <f>DATE($P$2+2018,$T$2+2,9)</f>
        <v>43899</v>
      </c>
      <c r="H13" s="69"/>
      <c r="I13" s="64" t="str">
        <f t="shared" si="2"/>
        <v/>
      </c>
      <c r="J13" s="61">
        <f>DATE($P$2+2018,$T2+3,9)</f>
        <v>43930</v>
      </c>
      <c r="K13" s="69"/>
      <c r="L13" s="64" t="str">
        <f t="shared" si="3"/>
        <v/>
      </c>
      <c r="M13" s="35">
        <f>DATE($P$2+2018,$T2+4,9)</f>
        <v>43960</v>
      </c>
      <c r="N13" s="69"/>
      <c r="O13" s="75" t="str">
        <f t="shared" si="4"/>
        <v/>
      </c>
      <c r="P13" s="61">
        <f>DATE($P$2+2018,$T2+5,9)</f>
        <v>43991</v>
      </c>
      <c r="Q13" s="69"/>
      <c r="R13" s="64" t="str">
        <f t="shared" si="5"/>
        <v/>
      </c>
      <c r="S13" s="35">
        <f>DATE($P$2+2018,$T2+6,9)</f>
        <v>44021</v>
      </c>
      <c r="T13" s="69"/>
      <c r="U13" s="75" t="str">
        <f t="shared" si="6"/>
        <v/>
      </c>
      <c r="V13" s="61">
        <f>DATE($P$2+2018,$T2+7,9)</f>
        <v>44052</v>
      </c>
      <c r="W13" s="69"/>
      <c r="X13" s="64" t="str">
        <f t="shared" si="7"/>
        <v/>
      </c>
      <c r="Y13" s="35">
        <f>DATE($P$2+2018,$T2+8,9)</f>
        <v>44083</v>
      </c>
      <c r="Z13" s="69"/>
      <c r="AA13" s="75" t="str">
        <f t="shared" si="8"/>
        <v/>
      </c>
      <c r="AB13" s="61">
        <f>DATE($P$2+2018,$T2+9,9)</f>
        <v>44113</v>
      </c>
      <c r="AC13" s="69"/>
      <c r="AD13" s="64" t="str">
        <f t="shared" si="9"/>
        <v/>
      </c>
      <c r="AE13" s="35">
        <f>DATE($P$2+2018,$T2+10,9)</f>
        <v>44144</v>
      </c>
      <c r="AF13" s="69"/>
      <c r="AG13" s="75" t="str">
        <f t="shared" si="10"/>
        <v/>
      </c>
      <c r="AH13" s="61">
        <f>DATE($P$2+2018,$T2+11,9)</f>
        <v>44174</v>
      </c>
      <c r="AI13" s="69"/>
      <c r="AJ13" s="58" t="str">
        <f t="shared" si="11"/>
        <v/>
      </c>
      <c r="AK13" s="34" t="s">
        <v>31</v>
      </c>
      <c r="AL13" s="34">
        <v>12</v>
      </c>
      <c r="AM13" s="34">
        <v>2030</v>
      </c>
      <c r="AN13" s="34">
        <v>12</v>
      </c>
      <c r="AO13" s="34"/>
      <c r="AP13" s="34"/>
      <c r="AQ13" s="34"/>
      <c r="AR13" s="34"/>
      <c r="AS13" s="34"/>
      <c r="AT13" s="34"/>
      <c r="AU13" s="34"/>
      <c r="AV13" s="34"/>
      <c r="AW13" s="34"/>
    </row>
    <row r="14" spans="1:49" ht="13.7" customHeight="1" x14ac:dyDescent="0.2">
      <c r="A14" s="61">
        <f>DATE($P$2+2018,$T$2,10)</f>
        <v>43840</v>
      </c>
      <c r="B14" s="69"/>
      <c r="C14" s="64" t="str">
        <f t="shared" si="0"/>
        <v/>
      </c>
      <c r="D14" s="61">
        <f>DATE($P$2+2018,$T$2+1,10)</f>
        <v>43871</v>
      </c>
      <c r="E14" s="69"/>
      <c r="F14" s="64" t="str">
        <f t="shared" si="1"/>
        <v/>
      </c>
      <c r="G14" s="61">
        <f>DATE($P$2+2018,$T$2+2,10)</f>
        <v>43900</v>
      </c>
      <c r="H14" s="69"/>
      <c r="I14" s="64" t="str">
        <f t="shared" si="2"/>
        <v/>
      </c>
      <c r="J14" s="61">
        <f>DATE($P$2+2018,$T2+3,10)</f>
        <v>43931</v>
      </c>
      <c r="K14" s="69"/>
      <c r="L14" s="64" t="str">
        <f t="shared" si="3"/>
        <v/>
      </c>
      <c r="M14" s="35">
        <f>DATE($P$2+2018,$T2+4,10)</f>
        <v>43961</v>
      </c>
      <c r="N14" s="69"/>
      <c r="O14" s="75" t="str">
        <f t="shared" si="4"/>
        <v/>
      </c>
      <c r="P14" s="61">
        <f>DATE($P$2+2018,$T2+5,10)</f>
        <v>43992</v>
      </c>
      <c r="Q14" s="69"/>
      <c r="R14" s="64" t="str">
        <f t="shared" si="5"/>
        <v/>
      </c>
      <c r="S14" s="35">
        <f>DATE($P$2+2018,$T2+6,10)</f>
        <v>44022</v>
      </c>
      <c r="T14" s="69"/>
      <c r="U14" s="75" t="str">
        <f t="shared" si="6"/>
        <v/>
      </c>
      <c r="V14" s="61">
        <f>DATE($P$2+2018,$T2+7,10)</f>
        <v>44053</v>
      </c>
      <c r="W14" s="69"/>
      <c r="X14" s="64" t="str">
        <f t="shared" si="7"/>
        <v/>
      </c>
      <c r="Y14" s="35">
        <f>DATE($P$2+2018,$T2+8,10)</f>
        <v>44084</v>
      </c>
      <c r="Z14" s="69"/>
      <c r="AA14" s="75" t="str">
        <f t="shared" si="8"/>
        <v/>
      </c>
      <c r="AB14" s="61">
        <f>DATE($P$2+2018,$T2+9,10)</f>
        <v>44114</v>
      </c>
      <c r="AC14" s="69"/>
      <c r="AD14" s="64" t="str">
        <f t="shared" si="9"/>
        <v/>
      </c>
      <c r="AE14" s="35">
        <f>DATE($P$2+2018,$T2+10,10)</f>
        <v>44145</v>
      </c>
      <c r="AF14" s="69"/>
      <c r="AG14" s="75" t="str">
        <f t="shared" si="10"/>
        <v/>
      </c>
      <c r="AH14" s="61">
        <f>DATE($P$2+2018,$T2+11,10)</f>
        <v>44175</v>
      </c>
      <c r="AI14" s="69"/>
      <c r="AJ14" s="58" t="str">
        <f t="shared" si="11"/>
        <v/>
      </c>
      <c r="AM14" s="34">
        <v>2031</v>
      </c>
      <c r="AN14" s="34">
        <v>13</v>
      </c>
      <c r="AO14" s="34"/>
      <c r="AP14" s="34"/>
      <c r="AQ14" s="34"/>
      <c r="AR14" s="34"/>
      <c r="AS14" s="34"/>
      <c r="AT14" s="34"/>
      <c r="AU14" s="34"/>
      <c r="AV14" s="34"/>
      <c r="AW14" s="34"/>
    </row>
    <row r="15" spans="1:49" ht="13.7" customHeight="1" x14ac:dyDescent="0.2">
      <c r="A15" s="61">
        <f>DATE($P$2+2018,$T$2,11)</f>
        <v>43841</v>
      </c>
      <c r="B15" s="69"/>
      <c r="C15" s="64" t="str">
        <f t="shared" si="0"/>
        <v/>
      </c>
      <c r="D15" s="61">
        <f>DATE($P$2+2018,$T$2+1,11)</f>
        <v>43872</v>
      </c>
      <c r="E15" s="69"/>
      <c r="F15" s="64" t="str">
        <f t="shared" si="1"/>
        <v/>
      </c>
      <c r="G15" s="61">
        <f>DATE($P$2+2018,$T$2+2,11)</f>
        <v>43901</v>
      </c>
      <c r="H15" s="69"/>
      <c r="I15" s="64" t="str">
        <f t="shared" si="2"/>
        <v/>
      </c>
      <c r="J15" s="61">
        <f>DATE($P$2+2018,$T2+3,11)</f>
        <v>43932</v>
      </c>
      <c r="K15" s="69"/>
      <c r="L15" s="64" t="str">
        <f t="shared" si="3"/>
        <v/>
      </c>
      <c r="M15" s="35">
        <f>DATE($P$2+2018,$T2+4,11)</f>
        <v>43962</v>
      </c>
      <c r="N15" s="69"/>
      <c r="O15" s="75" t="str">
        <f t="shared" si="4"/>
        <v/>
      </c>
      <c r="P15" s="61">
        <f>DATE($P$2+2018,$T2+5,11)</f>
        <v>43993</v>
      </c>
      <c r="Q15" s="69"/>
      <c r="R15" s="64" t="str">
        <f t="shared" si="5"/>
        <v/>
      </c>
      <c r="S15" s="35">
        <f>DATE($P$2+2018,$T2+6,11)</f>
        <v>44023</v>
      </c>
      <c r="T15" s="69"/>
      <c r="U15" s="75" t="str">
        <f t="shared" si="6"/>
        <v/>
      </c>
      <c r="V15" s="61">
        <f>DATE($P$2+2018,$T2+7,11)</f>
        <v>44054</v>
      </c>
      <c r="W15" s="69"/>
      <c r="X15" s="64" t="str">
        <f t="shared" si="7"/>
        <v/>
      </c>
      <c r="Y15" s="35">
        <f>DATE($P$2+2018,$T2+8,11)</f>
        <v>44085</v>
      </c>
      <c r="Z15" s="69"/>
      <c r="AA15" s="75" t="str">
        <f t="shared" si="8"/>
        <v/>
      </c>
      <c r="AB15" s="61">
        <f>DATE($P$2+2018,$T2+9,11)</f>
        <v>44115</v>
      </c>
      <c r="AC15" s="69"/>
      <c r="AD15" s="64" t="str">
        <f t="shared" si="9"/>
        <v/>
      </c>
      <c r="AE15" s="35">
        <f>DATE($P$2+2018,$T2+10,11)</f>
        <v>44146</v>
      </c>
      <c r="AF15" s="69"/>
      <c r="AG15" s="75" t="str">
        <f t="shared" si="10"/>
        <v/>
      </c>
      <c r="AH15" s="61">
        <f>DATE($P$2+2018,$T2+11,11)</f>
        <v>44176</v>
      </c>
      <c r="AI15" s="69"/>
      <c r="AJ15" s="58" t="str">
        <f t="shared" si="11"/>
        <v/>
      </c>
      <c r="AM15" s="34">
        <v>2032</v>
      </c>
      <c r="AN15" s="34">
        <v>14</v>
      </c>
      <c r="AO15" s="34"/>
      <c r="AP15" s="34"/>
      <c r="AQ15" s="34"/>
      <c r="AR15" s="34"/>
      <c r="AS15" s="34"/>
      <c r="AT15" s="34"/>
      <c r="AU15" s="34"/>
      <c r="AV15" s="34"/>
      <c r="AW15" s="34"/>
    </row>
    <row r="16" spans="1:49" ht="13.7" customHeight="1" x14ac:dyDescent="0.2">
      <c r="A16" s="61">
        <f>DATE($P$2+2018,$T$2,12)</f>
        <v>43842</v>
      </c>
      <c r="B16" s="69"/>
      <c r="C16" s="64" t="str">
        <f t="shared" si="0"/>
        <v/>
      </c>
      <c r="D16" s="61">
        <f>DATE($P$2+2018,$T$2+1,12)</f>
        <v>43873</v>
      </c>
      <c r="E16" s="69"/>
      <c r="F16" s="64" t="str">
        <f t="shared" si="1"/>
        <v/>
      </c>
      <c r="G16" s="61">
        <f>DATE($P$2+2018,$T$2+2,12)</f>
        <v>43902</v>
      </c>
      <c r="H16" s="69"/>
      <c r="I16" s="64" t="str">
        <f t="shared" si="2"/>
        <v/>
      </c>
      <c r="J16" s="61">
        <f>DATE($P$2+2018,$T2+3,12)</f>
        <v>43933</v>
      </c>
      <c r="K16" s="69"/>
      <c r="L16" s="64" t="str">
        <f t="shared" si="3"/>
        <v/>
      </c>
      <c r="M16" s="35">
        <f>DATE($P$2+2018,$T2+4,12)</f>
        <v>43963</v>
      </c>
      <c r="N16" s="69"/>
      <c r="O16" s="75" t="str">
        <f t="shared" si="4"/>
        <v/>
      </c>
      <c r="P16" s="61">
        <f>DATE($P$2+2018,$T2+5,12)</f>
        <v>43994</v>
      </c>
      <c r="Q16" s="69"/>
      <c r="R16" s="64" t="str">
        <f t="shared" si="5"/>
        <v/>
      </c>
      <c r="S16" s="35">
        <f>DATE($P$2+2018,$T2+6,12)</f>
        <v>44024</v>
      </c>
      <c r="T16" s="69"/>
      <c r="U16" s="75" t="str">
        <f t="shared" si="6"/>
        <v/>
      </c>
      <c r="V16" s="61">
        <f>DATE($P$2+2018,$T2+7,12)</f>
        <v>44055</v>
      </c>
      <c r="W16" s="69"/>
      <c r="X16" s="64" t="str">
        <f t="shared" si="7"/>
        <v/>
      </c>
      <c r="Y16" s="35">
        <f>DATE($P$2+2018,$T2+8,12)</f>
        <v>44086</v>
      </c>
      <c r="Z16" s="69"/>
      <c r="AA16" s="75" t="str">
        <f t="shared" si="8"/>
        <v/>
      </c>
      <c r="AB16" s="61">
        <f>DATE($P$2+2018,$T2+9,12)</f>
        <v>44116</v>
      </c>
      <c r="AC16" s="69"/>
      <c r="AD16" s="64" t="str">
        <f t="shared" si="9"/>
        <v/>
      </c>
      <c r="AE16" s="35">
        <f>DATE($P$2+2018,$T2+10,12)</f>
        <v>44147</v>
      </c>
      <c r="AF16" s="69"/>
      <c r="AG16" s="75" t="str">
        <f t="shared" si="10"/>
        <v/>
      </c>
      <c r="AH16" s="61">
        <f>DATE($P$2+2018,$T2+11,12)</f>
        <v>44177</v>
      </c>
      <c r="AI16" s="69"/>
      <c r="AJ16" s="58" t="str">
        <f t="shared" si="11"/>
        <v/>
      </c>
      <c r="AM16" s="34">
        <v>2033</v>
      </c>
      <c r="AN16" s="34">
        <v>15</v>
      </c>
      <c r="AO16" s="34"/>
      <c r="AP16" s="34"/>
      <c r="AQ16" s="34"/>
      <c r="AR16" s="34"/>
      <c r="AS16" s="34"/>
      <c r="AT16" s="34"/>
      <c r="AU16" s="34"/>
      <c r="AV16" s="34"/>
      <c r="AW16" s="34"/>
    </row>
    <row r="17" spans="1:49" ht="13.7" customHeight="1" x14ac:dyDescent="0.2">
      <c r="A17" s="61">
        <f>DATE($P$2+2018,$T$2,13)</f>
        <v>43843</v>
      </c>
      <c r="B17" s="69"/>
      <c r="C17" s="64" t="str">
        <f t="shared" si="0"/>
        <v/>
      </c>
      <c r="D17" s="61">
        <f>DATE($P$2+2018,$T$2+1,13)</f>
        <v>43874</v>
      </c>
      <c r="E17" s="69"/>
      <c r="F17" s="64" t="str">
        <f t="shared" si="1"/>
        <v/>
      </c>
      <c r="G17" s="61">
        <f>DATE($P$2+2018,$T$2+2,13)</f>
        <v>43903</v>
      </c>
      <c r="H17" s="69"/>
      <c r="I17" s="64" t="str">
        <f t="shared" si="2"/>
        <v/>
      </c>
      <c r="J17" s="61">
        <f>DATE($P$2+2018,$T2+3,13)</f>
        <v>43934</v>
      </c>
      <c r="K17" s="69"/>
      <c r="L17" s="64" t="str">
        <f t="shared" si="3"/>
        <v/>
      </c>
      <c r="M17" s="35">
        <f>DATE($P$2+2018,$T2+4,13)</f>
        <v>43964</v>
      </c>
      <c r="N17" s="69"/>
      <c r="O17" s="75" t="str">
        <f t="shared" si="4"/>
        <v/>
      </c>
      <c r="P17" s="61">
        <f>DATE($P$2+2018,$T2+5,13)</f>
        <v>43995</v>
      </c>
      <c r="Q17" s="69"/>
      <c r="R17" s="64" t="str">
        <f t="shared" si="5"/>
        <v/>
      </c>
      <c r="S17" s="35">
        <f>DATE($P$2+2018,$T2+6,13)</f>
        <v>44025</v>
      </c>
      <c r="T17" s="69"/>
      <c r="U17" s="75" t="str">
        <f t="shared" si="6"/>
        <v/>
      </c>
      <c r="V17" s="61">
        <f>DATE($P$2+2018,$T2+7,13)</f>
        <v>44056</v>
      </c>
      <c r="W17" s="69"/>
      <c r="X17" s="64" t="str">
        <f t="shared" si="7"/>
        <v/>
      </c>
      <c r="Y17" s="35">
        <f>DATE($P$2+2018,$T2+8,13)</f>
        <v>44087</v>
      </c>
      <c r="Z17" s="69"/>
      <c r="AA17" s="75" t="str">
        <f t="shared" si="8"/>
        <v/>
      </c>
      <c r="AB17" s="61">
        <f>DATE($P$2+2018,$T2+9,13)</f>
        <v>44117</v>
      </c>
      <c r="AC17" s="69"/>
      <c r="AD17" s="64" t="str">
        <f t="shared" si="9"/>
        <v/>
      </c>
      <c r="AE17" s="35">
        <f>DATE($P$2+2018,$T2+10,13)</f>
        <v>44148</v>
      </c>
      <c r="AF17" s="69"/>
      <c r="AG17" s="75" t="str">
        <f t="shared" si="10"/>
        <v/>
      </c>
      <c r="AH17" s="61">
        <f>DATE($P$2+2018,$T2+11,13)</f>
        <v>44178</v>
      </c>
      <c r="AI17" s="69"/>
      <c r="AJ17" s="58" t="str">
        <f t="shared" si="11"/>
        <v/>
      </c>
      <c r="AM17" s="34">
        <v>2034</v>
      </c>
      <c r="AN17" s="34">
        <v>16</v>
      </c>
      <c r="AO17" s="34"/>
      <c r="AP17" s="34"/>
      <c r="AQ17" s="34"/>
      <c r="AR17" s="34"/>
      <c r="AS17" s="34"/>
      <c r="AT17" s="34"/>
      <c r="AU17" s="34"/>
      <c r="AV17" s="34"/>
      <c r="AW17" s="34"/>
    </row>
    <row r="18" spans="1:49" ht="13.7" customHeight="1" x14ac:dyDescent="0.2">
      <c r="A18" s="61">
        <f>DATE($P$2+2018,$T$2,14)</f>
        <v>43844</v>
      </c>
      <c r="B18" s="69"/>
      <c r="C18" s="64" t="str">
        <f t="shared" si="0"/>
        <v/>
      </c>
      <c r="D18" s="61">
        <f>DATE($P$2+2018,$T$2+1,14)</f>
        <v>43875</v>
      </c>
      <c r="E18" s="69"/>
      <c r="F18" s="64" t="str">
        <f t="shared" si="1"/>
        <v/>
      </c>
      <c r="G18" s="61">
        <f>DATE($P$2+2018,$T$2+2,14)</f>
        <v>43904</v>
      </c>
      <c r="H18" s="69"/>
      <c r="I18" s="64" t="str">
        <f t="shared" si="2"/>
        <v/>
      </c>
      <c r="J18" s="61">
        <f>DATE($P$2+2018,$T2+3,14)</f>
        <v>43935</v>
      </c>
      <c r="K18" s="69"/>
      <c r="L18" s="64" t="str">
        <f t="shared" si="3"/>
        <v/>
      </c>
      <c r="M18" s="35">
        <f>DATE($P$2+2018,$T2+4,14)</f>
        <v>43965</v>
      </c>
      <c r="N18" s="69"/>
      <c r="O18" s="75" t="str">
        <f t="shared" si="4"/>
        <v/>
      </c>
      <c r="P18" s="61">
        <f>DATE($P$2+2018,$T2+5,14)</f>
        <v>43996</v>
      </c>
      <c r="Q18" s="69"/>
      <c r="R18" s="64" t="str">
        <f t="shared" si="5"/>
        <v/>
      </c>
      <c r="S18" s="35">
        <f>DATE($P$2+2018,$T2+6,14)</f>
        <v>44026</v>
      </c>
      <c r="T18" s="69"/>
      <c r="U18" s="75" t="str">
        <f t="shared" si="6"/>
        <v/>
      </c>
      <c r="V18" s="61">
        <f>DATE($P$2+2018,$T2+7,14)</f>
        <v>44057</v>
      </c>
      <c r="W18" s="69"/>
      <c r="X18" s="64" t="str">
        <f t="shared" si="7"/>
        <v/>
      </c>
      <c r="Y18" s="35">
        <f>DATE($P$2+2018,$T2+8,14)</f>
        <v>44088</v>
      </c>
      <c r="Z18" s="69"/>
      <c r="AA18" s="75" t="str">
        <f t="shared" si="8"/>
        <v/>
      </c>
      <c r="AB18" s="61">
        <f>DATE($P$2+2018,$T2+9,14)</f>
        <v>44118</v>
      </c>
      <c r="AC18" s="69"/>
      <c r="AD18" s="64" t="str">
        <f t="shared" si="9"/>
        <v/>
      </c>
      <c r="AE18" s="35">
        <f>DATE($P$2+2018,$T2+10,14)</f>
        <v>44149</v>
      </c>
      <c r="AF18" s="69"/>
      <c r="AG18" s="75" t="str">
        <f t="shared" si="10"/>
        <v/>
      </c>
      <c r="AH18" s="61">
        <f>DATE($P$2+2018,$T2+11,14)</f>
        <v>44179</v>
      </c>
      <c r="AI18" s="69"/>
      <c r="AJ18" s="58" t="str">
        <f t="shared" si="11"/>
        <v/>
      </c>
      <c r="AM18" s="34">
        <v>2035</v>
      </c>
      <c r="AN18" s="34">
        <v>17</v>
      </c>
      <c r="AO18" s="34"/>
      <c r="AP18" s="34"/>
      <c r="AQ18" s="34"/>
      <c r="AR18" s="34"/>
      <c r="AS18" s="34"/>
      <c r="AT18" s="34"/>
      <c r="AU18" s="34"/>
      <c r="AV18" s="34"/>
      <c r="AW18" s="34"/>
    </row>
    <row r="19" spans="1:49" ht="13.7" customHeight="1" x14ac:dyDescent="0.2">
      <c r="A19" s="61">
        <f>DATE($P$2+2018,$T$2,15)</f>
        <v>43845</v>
      </c>
      <c r="B19" s="69"/>
      <c r="C19" s="64" t="str">
        <f t="shared" si="0"/>
        <v/>
      </c>
      <c r="D19" s="61">
        <f>DATE($P$2+2018,$T$2+1,15)</f>
        <v>43876</v>
      </c>
      <c r="E19" s="69"/>
      <c r="F19" s="64" t="str">
        <f t="shared" si="1"/>
        <v/>
      </c>
      <c r="G19" s="61">
        <f>DATE($P$2+2018,$T$2+2,15)</f>
        <v>43905</v>
      </c>
      <c r="H19" s="69"/>
      <c r="I19" s="64" t="str">
        <f t="shared" si="2"/>
        <v/>
      </c>
      <c r="J19" s="61">
        <f>DATE($P$2+2018,$T2+3,15)</f>
        <v>43936</v>
      </c>
      <c r="K19" s="69"/>
      <c r="L19" s="64" t="str">
        <f t="shared" si="3"/>
        <v/>
      </c>
      <c r="M19" s="35">
        <f>DATE($P$2+2018,$T2+4,15)</f>
        <v>43966</v>
      </c>
      <c r="N19" s="69"/>
      <c r="O19" s="75" t="str">
        <f t="shared" si="4"/>
        <v/>
      </c>
      <c r="P19" s="61">
        <f>DATE($P$2+2018,$T2+5,15)</f>
        <v>43997</v>
      </c>
      <c r="Q19" s="69"/>
      <c r="R19" s="64" t="str">
        <f t="shared" si="5"/>
        <v/>
      </c>
      <c r="S19" s="35">
        <f>DATE($P$2+2018,$T2+6,15)</f>
        <v>44027</v>
      </c>
      <c r="T19" s="69"/>
      <c r="U19" s="75" t="str">
        <f t="shared" si="6"/>
        <v/>
      </c>
      <c r="V19" s="61">
        <f>DATE($P$2+2018,$T2+7,15)</f>
        <v>44058</v>
      </c>
      <c r="W19" s="69"/>
      <c r="X19" s="64" t="str">
        <f t="shared" si="7"/>
        <v/>
      </c>
      <c r="Y19" s="35">
        <f>DATE($P$2+2018,$T2+8,15)</f>
        <v>44089</v>
      </c>
      <c r="Z19" s="69"/>
      <c r="AA19" s="75" t="str">
        <f t="shared" si="8"/>
        <v/>
      </c>
      <c r="AB19" s="61">
        <f>DATE($P$2+2018,$T2+9,15)</f>
        <v>44119</v>
      </c>
      <c r="AC19" s="69"/>
      <c r="AD19" s="64" t="str">
        <f>IF(AC20="C",1,"")</f>
        <v/>
      </c>
      <c r="AE19" s="35">
        <f>DATE($P$2+2018,$T2+10,15)</f>
        <v>44150</v>
      </c>
      <c r="AF19" s="69"/>
      <c r="AG19" s="75" t="str">
        <f t="shared" si="10"/>
        <v/>
      </c>
      <c r="AH19" s="61">
        <f>DATE($P$2+2018,$T2+11,15)</f>
        <v>44180</v>
      </c>
      <c r="AI19" s="69"/>
      <c r="AJ19" s="58" t="str">
        <f t="shared" si="11"/>
        <v/>
      </c>
      <c r="AM19" s="34">
        <v>2036</v>
      </c>
      <c r="AN19" s="34">
        <v>18</v>
      </c>
      <c r="AO19" s="34"/>
      <c r="AP19" s="34"/>
      <c r="AQ19" s="34"/>
      <c r="AR19" s="34"/>
      <c r="AS19" s="34"/>
      <c r="AT19" s="34"/>
      <c r="AU19" s="34"/>
      <c r="AV19" s="34"/>
      <c r="AW19" s="34"/>
    </row>
    <row r="20" spans="1:49" ht="13.7" customHeight="1" x14ac:dyDescent="0.2">
      <c r="A20" s="61">
        <f>DATE($P$2+2018,$T$2,16)</f>
        <v>43846</v>
      </c>
      <c r="B20" s="69"/>
      <c r="C20" s="64" t="str">
        <f t="shared" si="0"/>
        <v/>
      </c>
      <c r="D20" s="61">
        <f>DATE($P$2+2018,$T$2+1,16)</f>
        <v>43877</v>
      </c>
      <c r="E20" s="69"/>
      <c r="F20" s="64" t="str">
        <f t="shared" si="1"/>
        <v/>
      </c>
      <c r="G20" s="61">
        <f>DATE($P$2+2018,$T$2+2,16)</f>
        <v>43906</v>
      </c>
      <c r="H20" s="69"/>
      <c r="I20" s="64" t="str">
        <f t="shared" si="2"/>
        <v/>
      </c>
      <c r="J20" s="61">
        <f>DATE($P$2+2018,$T2+3,16)</f>
        <v>43937</v>
      </c>
      <c r="K20" s="69"/>
      <c r="L20" s="64" t="str">
        <f t="shared" si="3"/>
        <v/>
      </c>
      <c r="M20" s="35">
        <f>DATE($P$2+2018,$T2+4,16)</f>
        <v>43967</v>
      </c>
      <c r="N20" s="69"/>
      <c r="O20" s="75" t="str">
        <f t="shared" si="4"/>
        <v/>
      </c>
      <c r="P20" s="61">
        <f>DATE($P$2+2018,$T2+5,16)</f>
        <v>43998</v>
      </c>
      <c r="Q20" s="69"/>
      <c r="R20" s="64" t="str">
        <f t="shared" si="5"/>
        <v/>
      </c>
      <c r="S20" s="35">
        <f>DATE($P$2+2018,$T2+6,16)</f>
        <v>44028</v>
      </c>
      <c r="T20" s="69"/>
      <c r="U20" s="75" t="str">
        <f t="shared" si="6"/>
        <v/>
      </c>
      <c r="V20" s="61">
        <f>DATE($P$2+2018,$T2+7,16)</f>
        <v>44059</v>
      </c>
      <c r="W20" s="69"/>
      <c r="X20" s="64" t="str">
        <f t="shared" si="7"/>
        <v/>
      </c>
      <c r="Y20" s="35">
        <f>DATE($P$2+2018,$T2+8,16)</f>
        <v>44090</v>
      </c>
      <c r="Z20" s="69"/>
      <c r="AA20" s="75" t="str">
        <f t="shared" si="8"/>
        <v/>
      </c>
      <c r="AB20" s="61">
        <f>DATE($P$2+2018,$T2+9,16)</f>
        <v>44120</v>
      </c>
      <c r="AC20" s="69"/>
      <c r="AD20" s="64" t="str">
        <f>IF(AC21="C",1,"")</f>
        <v/>
      </c>
      <c r="AE20" s="35">
        <f>DATE($P$2+2018,$T2+10,16)</f>
        <v>44151</v>
      </c>
      <c r="AF20" s="69"/>
      <c r="AG20" s="75" t="str">
        <f t="shared" si="10"/>
        <v/>
      </c>
      <c r="AH20" s="61">
        <f>DATE($P$2+2018,$T2+11,16)</f>
        <v>44181</v>
      </c>
      <c r="AI20" s="69"/>
      <c r="AJ20" s="58" t="str">
        <f t="shared" si="11"/>
        <v/>
      </c>
      <c r="AM20" s="34">
        <v>2037</v>
      </c>
      <c r="AN20" s="34">
        <v>19</v>
      </c>
      <c r="AO20" s="34"/>
      <c r="AP20" s="34"/>
      <c r="AQ20" s="34"/>
      <c r="AR20" s="34"/>
      <c r="AS20" s="34"/>
      <c r="AT20" s="34"/>
      <c r="AU20" s="34"/>
      <c r="AV20" s="34"/>
      <c r="AW20" s="34"/>
    </row>
    <row r="21" spans="1:49" ht="13.7" customHeight="1" x14ac:dyDescent="0.2">
      <c r="A21" s="61">
        <f>DATE($P$2+2018,$T$2,17)</f>
        <v>43847</v>
      </c>
      <c r="B21" s="69"/>
      <c r="C21" s="64" t="str">
        <f t="shared" si="0"/>
        <v/>
      </c>
      <c r="D21" s="61">
        <f>DATE($P$2+2018,$T$2+1,17)</f>
        <v>43878</v>
      </c>
      <c r="E21" s="69"/>
      <c r="F21" s="64" t="str">
        <f t="shared" si="1"/>
        <v/>
      </c>
      <c r="G21" s="61">
        <f>DATE($P$2+2018,$T2+2,17)</f>
        <v>43907</v>
      </c>
      <c r="H21" s="69"/>
      <c r="I21" s="64" t="str">
        <f t="shared" si="2"/>
        <v/>
      </c>
      <c r="J21" s="61">
        <f>DATE($P$2+2018,$T2+3,17)</f>
        <v>43938</v>
      </c>
      <c r="K21" s="69"/>
      <c r="L21" s="64" t="str">
        <f t="shared" si="3"/>
        <v/>
      </c>
      <c r="M21" s="35">
        <f>DATE($P$2+2018,$T2+4,17)</f>
        <v>43968</v>
      </c>
      <c r="N21" s="69"/>
      <c r="O21" s="75" t="str">
        <f t="shared" si="4"/>
        <v/>
      </c>
      <c r="P21" s="61">
        <f>DATE($P$2+2018,$T2+5,17)</f>
        <v>43999</v>
      </c>
      <c r="Q21" s="69"/>
      <c r="R21" s="64" t="str">
        <f t="shared" si="5"/>
        <v/>
      </c>
      <c r="S21" s="35">
        <f>DATE($P$2+2018,$T2+6,17)</f>
        <v>44029</v>
      </c>
      <c r="T21" s="69"/>
      <c r="U21" s="75" t="str">
        <f t="shared" si="6"/>
        <v/>
      </c>
      <c r="V21" s="61">
        <f>DATE($P$2+2018,$T2+7,17)</f>
        <v>44060</v>
      </c>
      <c r="W21" s="69"/>
      <c r="X21" s="64" t="str">
        <f t="shared" si="7"/>
        <v/>
      </c>
      <c r="Y21" s="35">
        <f>DATE($P$2+2018,$T2+8,17)</f>
        <v>44091</v>
      </c>
      <c r="Z21" s="69"/>
      <c r="AA21" s="75" t="str">
        <f t="shared" si="8"/>
        <v/>
      </c>
      <c r="AB21" s="61">
        <f>DATE($P$2+2018,$T2+9,17)</f>
        <v>44121</v>
      </c>
      <c r="AC21" s="69"/>
      <c r="AD21" s="64" t="str">
        <f t="shared" ref="AD21:AD25" si="12">IF(AC22="C",1,"")</f>
        <v/>
      </c>
      <c r="AE21" s="35">
        <f>DATE($P$2+2018,$T2+10,17)</f>
        <v>44152</v>
      </c>
      <c r="AF21" s="69"/>
      <c r="AG21" s="75" t="str">
        <f t="shared" si="10"/>
        <v/>
      </c>
      <c r="AH21" s="61">
        <f>DATE($P$2+2018,$T2+11,17)</f>
        <v>44182</v>
      </c>
      <c r="AI21" s="69"/>
      <c r="AJ21" s="58" t="str">
        <f t="shared" si="11"/>
        <v/>
      </c>
      <c r="AM21" s="34">
        <v>2038</v>
      </c>
      <c r="AN21" s="34">
        <v>20</v>
      </c>
      <c r="AO21" s="34"/>
      <c r="AP21" s="34"/>
      <c r="AQ21" s="34"/>
      <c r="AR21" s="34"/>
      <c r="AS21" s="34"/>
      <c r="AT21" s="34"/>
      <c r="AU21" s="34"/>
      <c r="AV21" s="34"/>
      <c r="AW21" s="34"/>
    </row>
    <row r="22" spans="1:49" ht="13.7" customHeight="1" x14ac:dyDescent="0.2">
      <c r="A22" s="61">
        <f>DATE($P$2+2018,$T$2,18)</f>
        <v>43848</v>
      </c>
      <c r="B22" s="69"/>
      <c r="C22" s="64" t="str">
        <f t="shared" si="0"/>
        <v/>
      </c>
      <c r="D22" s="61">
        <f>DATE($P$2+2018,$T$2+1,18)</f>
        <v>43879</v>
      </c>
      <c r="E22" s="69"/>
      <c r="F22" s="64" t="str">
        <f t="shared" si="1"/>
        <v/>
      </c>
      <c r="G22" s="61">
        <f>DATE($P$2+2018,$T2+2,18)</f>
        <v>43908</v>
      </c>
      <c r="H22" s="69"/>
      <c r="I22" s="64" t="str">
        <f t="shared" si="2"/>
        <v/>
      </c>
      <c r="J22" s="61">
        <f>DATE($P$2+2018,$T2+3,18)</f>
        <v>43939</v>
      </c>
      <c r="K22" s="69"/>
      <c r="L22" s="64" t="str">
        <f t="shared" si="3"/>
        <v/>
      </c>
      <c r="M22" s="35">
        <f>DATE($P$2+2018,$T2+4,18)</f>
        <v>43969</v>
      </c>
      <c r="N22" s="69"/>
      <c r="O22" s="75" t="str">
        <f t="shared" si="4"/>
        <v/>
      </c>
      <c r="P22" s="61">
        <f>DATE($P$2+2018,$T2+5,18)</f>
        <v>44000</v>
      </c>
      <c r="Q22" s="69"/>
      <c r="R22" s="64" t="str">
        <f t="shared" si="5"/>
        <v/>
      </c>
      <c r="S22" s="35">
        <f>DATE($P$2+2018,$T2+6,18)</f>
        <v>44030</v>
      </c>
      <c r="T22" s="69"/>
      <c r="U22" s="75" t="str">
        <f t="shared" si="6"/>
        <v/>
      </c>
      <c r="V22" s="61">
        <f>DATE($P$2+2018,$T2+7,18)</f>
        <v>44061</v>
      </c>
      <c r="W22" s="69"/>
      <c r="X22" s="64" t="str">
        <f t="shared" si="7"/>
        <v/>
      </c>
      <c r="Y22" s="35">
        <f>DATE($P$2+2018,$T2+8,18)</f>
        <v>44092</v>
      </c>
      <c r="Z22" s="69"/>
      <c r="AA22" s="75" t="str">
        <f t="shared" si="8"/>
        <v/>
      </c>
      <c r="AB22" s="61">
        <f>DATE($P$2+2018,$T2+9,18)</f>
        <v>44122</v>
      </c>
      <c r="AC22" s="69"/>
      <c r="AD22" s="64" t="str">
        <f t="shared" si="12"/>
        <v/>
      </c>
      <c r="AE22" s="35">
        <f>DATE($P$2+2018,$T2+10,18)</f>
        <v>44153</v>
      </c>
      <c r="AF22" s="69"/>
      <c r="AG22" s="75" t="str">
        <f t="shared" si="10"/>
        <v/>
      </c>
      <c r="AH22" s="61">
        <f>DATE($P$2+2018,$T2+11,18)</f>
        <v>44183</v>
      </c>
      <c r="AI22" s="69"/>
      <c r="AJ22" s="58" t="str">
        <f t="shared" si="11"/>
        <v/>
      </c>
      <c r="AM22" s="34">
        <v>2039</v>
      </c>
      <c r="AN22" s="34">
        <v>21</v>
      </c>
      <c r="AO22" s="34"/>
      <c r="AP22" s="34"/>
      <c r="AQ22" s="34"/>
      <c r="AR22" s="34"/>
      <c r="AS22" s="34"/>
      <c r="AT22" s="34"/>
      <c r="AU22" s="34"/>
      <c r="AV22" s="34"/>
      <c r="AW22" s="34"/>
    </row>
    <row r="23" spans="1:49" ht="13.7" customHeight="1" x14ac:dyDescent="0.2">
      <c r="A23" s="61">
        <f>DATE($P$2+2018,$T$2,19)</f>
        <v>43849</v>
      </c>
      <c r="B23" s="69"/>
      <c r="C23" s="64" t="str">
        <f t="shared" si="0"/>
        <v/>
      </c>
      <c r="D23" s="61">
        <f>DATE($P$2+2018,$T$2+1,19)</f>
        <v>43880</v>
      </c>
      <c r="E23" s="69"/>
      <c r="F23" s="64" t="str">
        <f t="shared" si="1"/>
        <v/>
      </c>
      <c r="G23" s="61">
        <f>DATE($P$2+2018,$T2+2,19)</f>
        <v>43909</v>
      </c>
      <c r="H23" s="69"/>
      <c r="I23" s="64" t="str">
        <f t="shared" si="2"/>
        <v/>
      </c>
      <c r="J23" s="61">
        <f>DATE($P$2+2018,$T2+3,19)</f>
        <v>43940</v>
      </c>
      <c r="K23" s="69"/>
      <c r="L23" s="64" t="str">
        <f t="shared" si="3"/>
        <v/>
      </c>
      <c r="M23" s="35">
        <f>DATE($P$2+2018,$T2+4,19)</f>
        <v>43970</v>
      </c>
      <c r="N23" s="69"/>
      <c r="O23" s="75" t="str">
        <f t="shared" si="4"/>
        <v/>
      </c>
      <c r="P23" s="61">
        <f>DATE($P$2+2018,$T2+5,19)</f>
        <v>44001</v>
      </c>
      <c r="Q23" s="69"/>
      <c r="R23" s="64" t="str">
        <f t="shared" si="5"/>
        <v/>
      </c>
      <c r="S23" s="35">
        <f>DATE($P$2+2018,$T2+6,19)</f>
        <v>44031</v>
      </c>
      <c r="T23" s="69"/>
      <c r="U23" s="75" t="str">
        <f t="shared" si="6"/>
        <v/>
      </c>
      <c r="V23" s="61">
        <f>DATE($P$2+2018,$T2+7,19)</f>
        <v>44062</v>
      </c>
      <c r="W23" s="69"/>
      <c r="X23" s="64" t="str">
        <f t="shared" si="7"/>
        <v/>
      </c>
      <c r="Y23" s="35">
        <f>DATE($P$2+2018,$T2+8,19)</f>
        <v>44093</v>
      </c>
      <c r="Z23" s="69"/>
      <c r="AA23" s="75" t="str">
        <f t="shared" si="8"/>
        <v/>
      </c>
      <c r="AB23" s="61">
        <f>DATE($P$2+2018,$T2+9,19)</f>
        <v>44123</v>
      </c>
      <c r="AC23" s="69"/>
      <c r="AD23" s="64" t="str">
        <f t="shared" si="12"/>
        <v/>
      </c>
      <c r="AE23" s="35">
        <f>DATE($P$2+2018,$T2+10,19)</f>
        <v>44154</v>
      </c>
      <c r="AF23" s="69"/>
      <c r="AG23" s="75" t="str">
        <f t="shared" si="10"/>
        <v/>
      </c>
      <c r="AH23" s="61">
        <f>DATE($P$2+2018,$T2+11,19)</f>
        <v>44184</v>
      </c>
      <c r="AI23" s="69"/>
      <c r="AJ23" s="58" t="str">
        <f t="shared" si="11"/>
        <v/>
      </c>
      <c r="AM23" s="34">
        <v>2040</v>
      </c>
      <c r="AN23" s="34">
        <v>22</v>
      </c>
      <c r="AO23" s="34"/>
      <c r="AP23" s="34"/>
      <c r="AQ23" s="34"/>
      <c r="AR23" s="34"/>
      <c r="AS23" s="34"/>
      <c r="AT23" s="34"/>
      <c r="AU23" s="34"/>
      <c r="AV23" s="34"/>
      <c r="AW23" s="34"/>
    </row>
    <row r="24" spans="1:49" ht="13.7" customHeight="1" x14ac:dyDescent="0.2">
      <c r="A24" s="61">
        <f>DATE($P$2+2018,$T$2,20)</f>
        <v>43850</v>
      </c>
      <c r="B24" s="69"/>
      <c r="C24" s="64" t="str">
        <f t="shared" si="0"/>
        <v/>
      </c>
      <c r="D24" s="61">
        <f>DATE($P$2+2018,$T$2+1,20)</f>
        <v>43881</v>
      </c>
      <c r="E24" s="69"/>
      <c r="F24" s="64" t="str">
        <f t="shared" si="1"/>
        <v/>
      </c>
      <c r="G24" s="61">
        <f>DATE($P$2+2018,$T2+2,20)</f>
        <v>43910</v>
      </c>
      <c r="H24" s="69"/>
      <c r="I24" s="64" t="str">
        <f t="shared" si="2"/>
        <v/>
      </c>
      <c r="J24" s="61">
        <f>DATE($P$2+2018,$T2+3,20)</f>
        <v>43941</v>
      </c>
      <c r="K24" s="69"/>
      <c r="L24" s="64" t="str">
        <f t="shared" si="3"/>
        <v/>
      </c>
      <c r="M24" s="35">
        <f>DATE($P$2+2018,$T2+4,20)</f>
        <v>43971</v>
      </c>
      <c r="N24" s="69"/>
      <c r="O24" s="75" t="str">
        <f t="shared" si="4"/>
        <v/>
      </c>
      <c r="P24" s="61">
        <f>DATE($P$2+2018,$T2+5,20)</f>
        <v>44002</v>
      </c>
      <c r="Q24" s="69"/>
      <c r="R24" s="64" t="str">
        <f t="shared" si="5"/>
        <v/>
      </c>
      <c r="S24" s="35">
        <f>DATE($P$2+2018,$T2+6,20)</f>
        <v>44032</v>
      </c>
      <c r="T24" s="69"/>
      <c r="U24" s="75" t="str">
        <f t="shared" si="6"/>
        <v/>
      </c>
      <c r="V24" s="61">
        <f>DATE($P$2+2018,$T2+7,20)</f>
        <v>44063</v>
      </c>
      <c r="W24" s="69"/>
      <c r="X24" s="64" t="str">
        <f t="shared" si="7"/>
        <v/>
      </c>
      <c r="Y24" s="35">
        <f>DATE($P$2+2018,$T2+8,20)</f>
        <v>44094</v>
      </c>
      <c r="Z24" s="69"/>
      <c r="AA24" s="75" t="str">
        <f t="shared" si="8"/>
        <v/>
      </c>
      <c r="AB24" s="61">
        <f>DATE($P$2+2018,$T2+9,20)</f>
        <v>44124</v>
      </c>
      <c r="AC24" s="69"/>
      <c r="AD24" s="64" t="str">
        <f t="shared" si="12"/>
        <v/>
      </c>
      <c r="AE24" s="35">
        <f>DATE($P$2+2018,$T2+10,20)</f>
        <v>44155</v>
      </c>
      <c r="AF24" s="69"/>
      <c r="AG24" s="75" t="str">
        <f t="shared" si="10"/>
        <v/>
      </c>
      <c r="AH24" s="61">
        <f>DATE($P$2+2018,$T2+11,20)</f>
        <v>44185</v>
      </c>
      <c r="AI24" s="69"/>
      <c r="AJ24" s="58" t="str">
        <f t="shared" si="11"/>
        <v/>
      </c>
      <c r="AM24" s="34">
        <v>2041</v>
      </c>
      <c r="AN24" s="34">
        <v>23</v>
      </c>
      <c r="AO24" s="34"/>
      <c r="AP24" s="34"/>
      <c r="AQ24" s="34"/>
      <c r="AR24" s="34"/>
      <c r="AS24" s="34"/>
      <c r="AT24" s="34"/>
      <c r="AU24" s="34"/>
      <c r="AV24" s="34"/>
      <c r="AW24" s="34"/>
    </row>
    <row r="25" spans="1:49" ht="13.7" customHeight="1" x14ac:dyDescent="0.2">
      <c r="A25" s="61">
        <f>DATE($P$2+2018,$T$2,21)</f>
        <v>43851</v>
      </c>
      <c r="B25" s="69"/>
      <c r="C25" s="64" t="str">
        <f t="shared" si="0"/>
        <v/>
      </c>
      <c r="D25" s="61">
        <f>DATE($P$2+2018,$T$2+1,21)</f>
        <v>43882</v>
      </c>
      <c r="E25" s="69"/>
      <c r="F25" s="64" t="str">
        <f t="shared" si="1"/>
        <v/>
      </c>
      <c r="G25" s="61">
        <f>DATE($P$2+2018,$T2+2,21)</f>
        <v>43911</v>
      </c>
      <c r="H25" s="69"/>
      <c r="I25" s="64" t="str">
        <f t="shared" si="2"/>
        <v/>
      </c>
      <c r="J25" s="61">
        <f>DATE($P$2+2018,$T2+3,21)</f>
        <v>43942</v>
      </c>
      <c r="K25" s="69"/>
      <c r="L25" s="64" t="str">
        <f t="shared" si="3"/>
        <v/>
      </c>
      <c r="M25" s="35">
        <f>DATE($P$2+2018,$T2+4,21)</f>
        <v>43972</v>
      </c>
      <c r="N25" s="69"/>
      <c r="O25" s="75" t="str">
        <f t="shared" si="4"/>
        <v/>
      </c>
      <c r="P25" s="61">
        <f>DATE($P$2+2018,$T2+5,21)</f>
        <v>44003</v>
      </c>
      <c r="Q25" s="69"/>
      <c r="R25" s="64" t="str">
        <f t="shared" si="5"/>
        <v/>
      </c>
      <c r="S25" s="35">
        <f>DATE($P$2+2018,$T2+6,21)</f>
        <v>44033</v>
      </c>
      <c r="T25" s="69"/>
      <c r="U25" s="75" t="str">
        <f t="shared" si="6"/>
        <v/>
      </c>
      <c r="V25" s="61">
        <f>DATE($P$2+2018,$T2+7,21)</f>
        <v>44064</v>
      </c>
      <c r="W25" s="69"/>
      <c r="X25" s="64" t="str">
        <f t="shared" si="7"/>
        <v/>
      </c>
      <c r="Y25" s="35">
        <f>DATE($P$2+2018,$T2+8,21)</f>
        <v>44095</v>
      </c>
      <c r="Z25" s="69"/>
      <c r="AA25" s="75" t="str">
        <f t="shared" si="8"/>
        <v/>
      </c>
      <c r="AB25" s="61">
        <f>DATE($P$2+2018,$T2+9,21)</f>
        <v>44125</v>
      </c>
      <c r="AC25" s="69"/>
      <c r="AD25" s="64" t="str">
        <f t="shared" si="12"/>
        <v/>
      </c>
      <c r="AE25" s="35">
        <f>DATE($P$2+2018,$T2+10,21)</f>
        <v>44156</v>
      </c>
      <c r="AF25" s="69"/>
      <c r="AG25" s="75" t="str">
        <f t="shared" si="10"/>
        <v/>
      </c>
      <c r="AH25" s="61">
        <f>DATE($P$2+2018,$T2+11,21)</f>
        <v>44186</v>
      </c>
      <c r="AI25" s="69"/>
      <c r="AJ25" s="58" t="str">
        <f t="shared" si="11"/>
        <v/>
      </c>
      <c r="AM25" s="34">
        <v>2042</v>
      </c>
      <c r="AN25" s="34">
        <v>24</v>
      </c>
      <c r="AO25" s="34"/>
      <c r="AP25" s="34"/>
      <c r="AQ25" s="34"/>
      <c r="AR25" s="34"/>
      <c r="AS25" s="34"/>
      <c r="AT25" s="34"/>
      <c r="AU25" s="34"/>
      <c r="AV25" s="34"/>
      <c r="AW25" s="34"/>
    </row>
    <row r="26" spans="1:49" ht="13.7" customHeight="1" x14ac:dyDescent="0.2">
      <c r="A26" s="61">
        <f>DATE($P$2+2018,$T$2,22)</f>
        <v>43852</v>
      </c>
      <c r="B26" s="69"/>
      <c r="C26" s="64" t="str">
        <f t="shared" si="0"/>
        <v/>
      </c>
      <c r="D26" s="61">
        <f>DATE($P$2+2018,$T$2+1,22)</f>
        <v>43883</v>
      </c>
      <c r="E26" s="69"/>
      <c r="F26" s="64" t="str">
        <f t="shared" si="1"/>
        <v/>
      </c>
      <c r="G26" s="61">
        <f>DATE($P$2+2018,$T2+2,22)</f>
        <v>43912</v>
      </c>
      <c r="H26" s="69"/>
      <c r="I26" s="64" t="str">
        <f t="shared" si="2"/>
        <v/>
      </c>
      <c r="J26" s="61">
        <f>DATE($P$2+2018,$T2+3,22)</f>
        <v>43943</v>
      </c>
      <c r="K26" s="69"/>
      <c r="L26" s="64" t="str">
        <f t="shared" si="3"/>
        <v/>
      </c>
      <c r="M26" s="35">
        <f>DATE($P$2+2018,$T2+4,22)</f>
        <v>43973</v>
      </c>
      <c r="N26" s="69"/>
      <c r="O26" s="75" t="str">
        <f t="shared" si="4"/>
        <v/>
      </c>
      <c r="P26" s="61">
        <f>DATE($P$2+2018,$T2+5,22)</f>
        <v>44004</v>
      </c>
      <c r="Q26" s="69"/>
      <c r="R26" s="64" t="str">
        <f t="shared" si="5"/>
        <v/>
      </c>
      <c r="S26" s="35">
        <f>DATE($P$2+2018,$T2+6,22)</f>
        <v>44034</v>
      </c>
      <c r="T26" s="69"/>
      <c r="U26" s="75" t="str">
        <f t="shared" si="6"/>
        <v/>
      </c>
      <c r="V26" s="61">
        <f>DATE($P$2+2018,$T2+7,22)</f>
        <v>44065</v>
      </c>
      <c r="W26" s="69"/>
      <c r="X26" s="64" t="str">
        <f t="shared" si="7"/>
        <v/>
      </c>
      <c r="Y26" s="35">
        <f>DATE($P$2+2018,$T2+8,22)</f>
        <v>44096</v>
      </c>
      <c r="Z26" s="69"/>
      <c r="AA26" s="75" t="str">
        <f t="shared" si="8"/>
        <v/>
      </c>
      <c r="AB26" s="61">
        <f>DATE($P$2+2018,$T2+9,22)</f>
        <v>44126</v>
      </c>
      <c r="AC26" s="69"/>
      <c r="AD26" s="64" t="str">
        <f t="shared" si="9"/>
        <v/>
      </c>
      <c r="AE26" s="35">
        <f>DATE($P$2+2018,$T2+10,22)</f>
        <v>44157</v>
      </c>
      <c r="AF26" s="69"/>
      <c r="AG26" s="75" t="str">
        <f t="shared" si="10"/>
        <v/>
      </c>
      <c r="AH26" s="61">
        <f>DATE($P$2+2018,$T2+11,22)</f>
        <v>44187</v>
      </c>
      <c r="AI26" s="69"/>
      <c r="AJ26" s="58" t="str">
        <f t="shared" si="11"/>
        <v/>
      </c>
      <c r="AN26" s="34"/>
      <c r="AO26" s="34"/>
      <c r="AP26" s="34"/>
      <c r="AQ26" s="34"/>
      <c r="AR26" s="34"/>
      <c r="AS26" s="34"/>
      <c r="AT26" s="34"/>
      <c r="AU26" s="34"/>
      <c r="AV26" s="34"/>
      <c r="AW26" s="34"/>
    </row>
    <row r="27" spans="1:49" ht="13.7" customHeight="1" x14ac:dyDescent="0.2">
      <c r="A27" s="61">
        <f>DATE($P$2+2018,$T$2,23)</f>
        <v>43853</v>
      </c>
      <c r="B27" s="69"/>
      <c r="C27" s="64" t="str">
        <f t="shared" si="0"/>
        <v/>
      </c>
      <c r="D27" s="61">
        <f>DATE($P$2+2018,$T$2+1,23)</f>
        <v>43884</v>
      </c>
      <c r="E27" s="69"/>
      <c r="F27" s="64" t="str">
        <f t="shared" si="1"/>
        <v/>
      </c>
      <c r="G27" s="61">
        <f>DATE($P$2+2018,$T2+2,23)</f>
        <v>43913</v>
      </c>
      <c r="H27" s="69"/>
      <c r="I27" s="64" t="str">
        <f t="shared" si="2"/>
        <v/>
      </c>
      <c r="J27" s="61">
        <f>DATE($P$2+2018,$T2+3,23)</f>
        <v>43944</v>
      </c>
      <c r="K27" s="69"/>
      <c r="L27" s="64" t="str">
        <f t="shared" si="3"/>
        <v/>
      </c>
      <c r="M27" s="35">
        <f>DATE($P$2+2018,$T2+4,23)</f>
        <v>43974</v>
      </c>
      <c r="N27" s="69"/>
      <c r="O27" s="75" t="str">
        <f t="shared" si="4"/>
        <v/>
      </c>
      <c r="P27" s="61">
        <f>DATE($P$2+2018,$T2+5,23)</f>
        <v>44005</v>
      </c>
      <c r="Q27" s="69"/>
      <c r="R27" s="64" t="str">
        <f t="shared" si="5"/>
        <v/>
      </c>
      <c r="S27" s="35">
        <f>DATE($P$2+2018,$T2+6,23)</f>
        <v>44035</v>
      </c>
      <c r="T27" s="69"/>
      <c r="U27" s="75" t="str">
        <f t="shared" si="6"/>
        <v/>
      </c>
      <c r="V27" s="61">
        <f>DATE($P$2+2018,$T2+7,23)</f>
        <v>44066</v>
      </c>
      <c r="W27" s="69"/>
      <c r="X27" s="64" t="str">
        <f t="shared" si="7"/>
        <v/>
      </c>
      <c r="Y27" s="35">
        <f>DATE($P$2+2018,$T2+8,23)</f>
        <v>44097</v>
      </c>
      <c r="Z27" s="69"/>
      <c r="AA27" s="75" t="str">
        <f t="shared" si="8"/>
        <v/>
      </c>
      <c r="AB27" s="61">
        <f>DATE($P$2+2018,$T2+9,23)</f>
        <v>44127</v>
      </c>
      <c r="AC27" s="69"/>
      <c r="AD27" s="64" t="str">
        <f t="shared" si="9"/>
        <v/>
      </c>
      <c r="AE27" s="35">
        <f>DATE($P$2+2018,$T2+10,23)</f>
        <v>44158</v>
      </c>
      <c r="AF27" s="69"/>
      <c r="AG27" s="75" t="str">
        <f t="shared" si="10"/>
        <v/>
      </c>
      <c r="AH27" s="61">
        <f>DATE($P$2+2018,$T2+11,23)</f>
        <v>44188</v>
      </c>
      <c r="AI27" s="69"/>
      <c r="AJ27" s="58" t="str">
        <f t="shared" si="11"/>
        <v/>
      </c>
    </row>
    <row r="28" spans="1:49" ht="13.7" customHeight="1" x14ac:dyDescent="0.2">
      <c r="A28" s="61">
        <f>DATE($P$2+2018,$T$2,24)</f>
        <v>43854</v>
      </c>
      <c r="B28" s="69"/>
      <c r="C28" s="64" t="str">
        <f t="shared" si="0"/>
        <v/>
      </c>
      <c r="D28" s="61">
        <f>DATE($P$2+2018,$T$2+1,24)</f>
        <v>43885</v>
      </c>
      <c r="E28" s="69"/>
      <c r="F28" s="64" t="str">
        <f t="shared" si="1"/>
        <v/>
      </c>
      <c r="G28" s="61">
        <f>DATE($P$2+2018,$T2+2,24)</f>
        <v>43914</v>
      </c>
      <c r="H28" s="69"/>
      <c r="I28" s="64" t="str">
        <f t="shared" si="2"/>
        <v/>
      </c>
      <c r="J28" s="61">
        <f>DATE($P$2+2018,$T2+3,24)</f>
        <v>43945</v>
      </c>
      <c r="K28" s="69"/>
      <c r="L28" s="64" t="str">
        <f t="shared" si="3"/>
        <v/>
      </c>
      <c r="M28" s="35">
        <f>DATE($P$2+2018,$T2+4,24)</f>
        <v>43975</v>
      </c>
      <c r="N28" s="69"/>
      <c r="O28" s="75" t="str">
        <f t="shared" si="4"/>
        <v/>
      </c>
      <c r="P28" s="61">
        <f>DATE($P$2+2018,$T2+5,24)</f>
        <v>44006</v>
      </c>
      <c r="Q28" s="69"/>
      <c r="R28" s="64" t="str">
        <f t="shared" si="5"/>
        <v/>
      </c>
      <c r="S28" s="35">
        <f>DATE($P$2+2018,$T2+6,24)</f>
        <v>44036</v>
      </c>
      <c r="T28" s="69"/>
      <c r="U28" s="75" t="str">
        <f t="shared" si="6"/>
        <v/>
      </c>
      <c r="V28" s="61">
        <f>DATE($P$2+2018,$T2+7,24)</f>
        <v>44067</v>
      </c>
      <c r="W28" s="69"/>
      <c r="X28" s="64" t="str">
        <f t="shared" si="7"/>
        <v/>
      </c>
      <c r="Y28" s="35">
        <f>DATE($P$2+2018,$T2+8,24)</f>
        <v>44098</v>
      </c>
      <c r="Z28" s="69"/>
      <c r="AA28" s="75" t="str">
        <f t="shared" si="8"/>
        <v/>
      </c>
      <c r="AB28" s="61">
        <f>DATE($P$2+2018,$T2+9,24)</f>
        <v>44128</v>
      </c>
      <c r="AC28" s="69"/>
      <c r="AD28" s="64" t="str">
        <f t="shared" si="9"/>
        <v/>
      </c>
      <c r="AE28" s="35">
        <f>DATE($P$2+2018,$T2+10,24)</f>
        <v>44159</v>
      </c>
      <c r="AF28" s="69"/>
      <c r="AG28" s="75" t="str">
        <f t="shared" si="10"/>
        <v/>
      </c>
      <c r="AH28" s="61">
        <f>DATE($P$2+2018,$T2+11,24)</f>
        <v>44189</v>
      </c>
      <c r="AI28" s="69"/>
      <c r="AJ28" s="58" t="str">
        <f t="shared" si="11"/>
        <v/>
      </c>
    </row>
    <row r="29" spans="1:49" ht="13.7" customHeight="1" x14ac:dyDescent="0.2">
      <c r="A29" s="61">
        <f>DATE($P$2+2018,$T$2,25)</f>
        <v>43855</v>
      </c>
      <c r="B29" s="69"/>
      <c r="C29" s="64" t="str">
        <f t="shared" si="0"/>
        <v/>
      </c>
      <c r="D29" s="61">
        <f>DATE($P$2+2018,$T$2+1,25)</f>
        <v>43886</v>
      </c>
      <c r="E29" s="69"/>
      <c r="F29" s="64" t="str">
        <f t="shared" si="1"/>
        <v/>
      </c>
      <c r="G29" s="61">
        <f>DATE($P$2+2018,$T2+2,25)</f>
        <v>43915</v>
      </c>
      <c r="H29" s="69"/>
      <c r="I29" s="64" t="str">
        <f t="shared" si="2"/>
        <v/>
      </c>
      <c r="J29" s="61">
        <f>DATE($P$2+2018,$T2+3,25)</f>
        <v>43946</v>
      </c>
      <c r="K29" s="69"/>
      <c r="L29" s="64" t="str">
        <f t="shared" si="3"/>
        <v/>
      </c>
      <c r="M29" s="35">
        <f>DATE($P$2+2018,$T2+4,25)</f>
        <v>43976</v>
      </c>
      <c r="N29" s="69"/>
      <c r="O29" s="75" t="str">
        <f t="shared" si="4"/>
        <v/>
      </c>
      <c r="P29" s="61">
        <f>DATE($P$2+2018,$T2+5,25)</f>
        <v>44007</v>
      </c>
      <c r="Q29" s="69"/>
      <c r="R29" s="64" t="str">
        <f t="shared" si="5"/>
        <v/>
      </c>
      <c r="S29" s="35">
        <f>DATE($P$2+2018,$T2+6,25)</f>
        <v>44037</v>
      </c>
      <c r="T29" s="69"/>
      <c r="U29" s="75" t="str">
        <f t="shared" si="6"/>
        <v/>
      </c>
      <c r="V29" s="61">
        <f>DATE($P$2+2018,$T2+7,25)</f>
        <v>44068</v>
      </c>
      <c r="W29" s="69"/>
      <c r="X29" s="64" t="str">
        <f t="shared" si="7"/>
        <v/>
      </c>
      <c r="Y29" s="35">
        <f>DATE($P$2+2018,$T2+8,25)</f>
        <v>44099</v>
      </c>
      <c r="Z29" s="69"/>
      <c r="AA29" s="75" t="str">
        <f t="shared" si="8"/>
        <v/>
      </c>
      <c r="AB29" s="61">
        <f>DATE($P$2+2018,$T2+9,25)</f>
        <v>44129</v>
      </c>
      <c r="AC29" s="69"/>
      <c r="AD29" s="64" t="str">
        <f t="shared" si="9"/>
        <v/>
      </c>
      <c r="AE29" s="35">
        <f>DATE($P$2+2018,$T2+10,25)</f>
        <v>44160</v>
      </c>
      <c r="AF29" s="69"/>
      <c r="AG29" s="75" t="str">
        <f t="shared" si="10"/>
        <v/>
      </c>
      <c r="AH29" s="61">
        <f>DATE($P$2+2018,$T2+11,25)</f>
        <v>44190</v>
      </c>
      <c r="AI29" s="69"/>
      <c r="AJ29" s="58" t="str">
        <f t="shared" si="11"/>
        <v/>
      </c>
    </row>
    <row r="30" spans="1:49" ht="13.7" customHeight="1" x14ac:dyDescent="0.2">
      <c r="A30" s="61">
        <f>DATE($P$2+2018,$T$2,26)</f>
        <v>43856</v>
      </c>
      <c r="B30" s="69"/>
      <c r="C30" s="64" t="str">
        <f t="shared" si="0"/>
        <v/>
      </c>
      <c r="D30" s="61">
        <f>DATE($P$2+2018,$T$2+1,26)</f>
        <v>43887</v>
      </c>
      <c r="E30" s="69"/>
      <c r="F30" s="64" t="str">
        <f t="shared" si="1"/>
        <v/>
      </c>
      <c r="G30" s="61">
        <f>DATE($P$2+2018,$T2+2,26)</f>
        <v>43916</v>
      </c>
      <c r="H30" s="69"/>
      <c r="I30" s="64" t="str">
        <f t="shared" si="2"/>
        <v/>
      </c>
      <c r="J30" s="61">
        <f>DATE($P$2+2018,$T2+3,26)</f>
        <v>43947</v>
      </c>
      <c r="K30" s="69"/>
      <c r="L30" s="64" t="str">
        <f t="shared" si="3"/>
        <v/>
      </c>
      <c r="M30" s="35">
        <f>DATE($P$2+2018,$T2+4,26)</f>
        <v>43977</v>
      </c>
      <c r="N30" s="69"/>
      <c r="O30" s="75" t="str">
        <f t="shared" si="4"/>
        <v/>
      </c>
      <c r="P30" s="61">
        <f>DATE($P$2+2018,$T2+5,26)</f>
        <v>44008</v>
      </c>
      <c r="Q30" s="69"/>
      <c r="R30" s="64" t="str">
        <f t="shared" si="5"/>
        <v/>
      </c>
      <c r="S30" s="35">
        <f>DATE($P$2+2018,$T2+6,26)</f>
        <v>44038</v>
      </c>
      <c r="T30" s="69"/>
      <c r="U30" s="75" t="str">
        <f t="shared" si="6"/>
        <v/>
      </c>
      <c r="V30" s="61">
        <f>DATE($P$2+2018,$T2+7,26)</f>
        <v>44069</v>
      </c>
      <c r="W30" s="69"/>
      <c r="X30" s="64" t="str">
        <f t="shared" si="7"/>
        <v/>
      </c>
      <c r="Y30" s="35">
        <f>DATE($P$2+2018,$T2+8,26)</f>
        <v>44100</v>
      </c>
      <c r="Z30" s="69"/>
      <c r="AA30" s="75" t="str">
        <f t="shared" si="8"/>
        <v/>
      </c>
      <c r="AB30" s="61">
        <f>DATE($P$2+2018,$T2+9,26)</f>
        <v>44130</v>
      </c>
      <c r="AC30" s="69"/>
      <c r="AD30" s="64" t="str">
        <f t="shared" si="9"/>
        <v/>
      </c>
      <c r="AE30" s="35">
        <f>DATE($P$2+2018,$T2+10,26)</f>
        <v>44161</v>
      </c>
      <c r="AF30" s="69"/>
      <c r="AG30" s="75" t="str">
        <f t="shared" si="10"/>
        <v/>
      </c>
      <c r="AH30" s="61">
        <f>DATE($P$2+2018,$T2+11,26)</f>
        <v>44191</v>
      </c>
      <c r="AI30" s="69"/>
      <c r="AJ30" s="58" t="str">
        <f t="shared" si="11"/>
        <v/>
      </c>
    </row>
    <row r="31" spans="1:49" ht="13.7" customHeight="1" x14ac:dyDescent="0.2">
      <c r="A31" s="61">
        <f>DATE($P$2+2018,$T$2,27)</f>
        <v>43857</v>
      </c>
      <c r="B31" s="69"/>
      <c r="C31" s="64" t="str">
        <f t="shared" si="0"/>
        <v/>
      </c>
      <c r="D31" s="61">
        <f>DATE($P$2+2018,$T$2+1,27)</f>
        <v>43888</v>
      </c>
      <c r="E31" s="69"/>
      <c r="F31" s="64" t="str">
        <f t="shared" si="1"/>
        <v/>
      </c>
      <c r="G31" s="61">
        <f>DATE($P$2+2018,$T2+2,27)</f>
        <v>43917</v>
      </c>
      <c r="H31" s="69"/>
      <c r="I31" s="64" t="str">
        <f t="shared" si="2"/>
        <v/>
      </c>
      <c r="J31" s="61">
        <f>DATE($P$2+2018,$T2+3,27)</f>
        <v>43948</v>
      </c>
      <c r="K31" s="69"/>
      <c r="L31" s="64" t="str">
        <f t="shared" si="3"/>
        <v/>
      </c>
      <c r="M31" s="35">
        <f>DATE($P$2+2018,$T2+4,27)</f>
        <v>43978</v>
      </c>
      <c r="N31" s="69"/>
      <c r="O31" s="75" t="str">
        <f t="shared" si="4"/>
        <v/>
      </c>
      <c r="P31" s="61">
        <f>DATE($P$2+2018,$T2+5,27)</f>
        <v>44009</v>
      </c>
      <c r="Q31" s="69"/>
      <c r="R31" s="64" t="str">
        <f t="shared" si="5"/>
        <v/>
      </c>
      <c r="S31" s="35">
        <f>DATE($P$2+2018,$T2+6,27)</f>
        <v>44039</v>
      </c>
      <c r="T31" s="69"/>
      <c r="U31" s="75" t="str">
        <f t="shared" si="6"/>
        <v/>
      </c>
      <c r="V31" s="61">
        <f>DATE($P$2+2018,$T2+7,27)</f>
        <v>44070</v>
      </c>
      <c r="W31" s="69"/>
      <c r="X31" s="64" t="str">
        <f t="shared" si="7"/>
        <v/>
      </c>
      <c r="Y31" s="35">
        <f>DATE($P$2+2018,$T2+8,27)</f>
        <v>44101</v>
      </c>
      <c r="Z31" s="69"/>
      <c r="AA31" s="75" t="str">
        <f t="shared" si="8"/>
        <v/>
      </c>
      <c r="AB31" s="61">
        <f>DATE($P$2+2018,$T2+9,27)</f>
        <v>44131</v>
      </c>
      <c r="AC31" s="69"/>
      <c r="AD31" s="64" t="str">
        <f t="shared" si="9"/>
        <v/>
      </c>
      <c r="AE31" s="35">
        <f>DATE($P$2+2018,$T2+10,27)</f>
        <v>44162</v>
      </c>
      <c r="AF31" s="69"/>
      <c r="AG31" s="75" t="str">
        <f t="shared" si="10"/>
        <v/>
      </c>
      <c r="AH31" s="61">
        <f>DATE($P$2+2018,$T2+11,27)</f>
        <v>44192</v>
      </c>
      <c r="AI31" s="69"/>
      <c r="AJ31" s="58" t="str">
        <f t="shared" si="11"/>
        <v/>
      </c>
    </row>
    <row r="32" spans="1:49" ht="13.7" customHeight="1" x14ac:dyDescent="0.2">
      <c r="A32" s="61">
        <f>DATE($P$2+2018,$T$2,28)</f>
        <v>43858</v>
      </c>
      <c r="B32" s="69"/>
      <c r="C32" s="64" t="str">
        <f t="shared" si="0"/>
        <v/>
      </c>
      <c r="D32" s="61">
        <f>DATE($P$2+2018,$T2+1,28)</f>
        <v>43889</v>
      </c>
      <c r="E32" s="69"/>
      <c r="F32" s="64" t="str">
        <f t="shared" si="1"/>
        <v/>
      </c>
      <c r="G32" s="61">
        <f>DATE($P$2+2018,$T2+2,28)</f>
        <v>43918</v>
      </c>
      <c r="H32" s="69"/>
      <c r="I32" s="64" t="str">
        <f t="shared" si="2"/>
        <v/>
      </c>
      <c r="J32" s="61">
        <f>DATE($P$2+2018,$T2+3,28)</f>
        <v>43949</v>
      </c>
      <c r="K32" s="69"/>
      <c r="L32" s="64" t="str">
        <f t="shared" si="3"/>
        <v/>
      </c>
      <c r="M32" s="35">
        <f>DATE($P$2+2018,$T2+4,28)</f>
        <v>43979</v>
      </c>
      <c r="N32" s="69"/>
      <c r="O32" s="75" t="str">
        <f t="shared" si="4"/>
        <v/>
      </c>
      <c r="P32" s="61">
        <f>DATE($P$2+2018,$T2+5,28)</f>
        <v>44010</v>
      </c>
      <c r="Q32" s="69"/>
      <c r="R32" s="64" t="str">
        <f t="shared" si="5"/>
        <v/>
      </c>
      <c r="S32" s="35">
        <f>DATE($P$2+2018,$T2+6,28)</f>
        <v>44040</v>
      </c>
      <c r="T32" s="69"/>
      <c r="U32" s="75" t="str">
        <f t="shared" si="6"/>
        <v/>
      </c>
      <c r="V32" s="61">
        <f>DATE($P$2+2018,$T2+7,28)</f>
        <v>44071</v>
      </c>
      <c r="W32" s="69"/>
      <c r="X32" s="64" t="str">
        <f t="shared" si="7"/>
        <v/>
      </c>
      <c r="Y32" s="35">
        <f>DATE($P$2+2018,$T2+8,28)</f>
        <v>44102</v>
      </c>
      <c r="Z32" s="69"/>
      <c r="AA32" s="75" t="str">
        <f t="shared" si="8"/>
        <v/>
      </c>
      <c r="AB32" s="61">
        <f>DATE($P$2+2018,$T2+9,28)</f>
        <v>44132</v>
      </c>
      <c r="AC32" s="69"/>
      <c r="AD32" s="64" t="str">
        <f t="shared" si="9"/>
        <v/>
      </c>
      <c r="AE32" s="35">
        <f>DATE($P$2+2018,$T2+10,28)</f>
        <v>44163</v>
      </c>
      <c r="AF32" s="69"/>
      <c r="AG32" s="75" t="str">
        <f t="shared" si="10"/>
        <v/>
      </c>
      <c r="AH32" s="61">
        <f>DATE($P$2+2018,$T2+11,28)</f>
        <v>44193</v>
      </c>
      <c r="AI32" s="69"/>
      <c r="AJ32" s="58" t="str">
        <f t="shared" si="11"/>
        <v/>
      </c>
    </row>
    <row r="33" spans="1:42" ht="13.7" customHeight="1" x14ac:dyDescent="0.2">
      <c r="A33" s="61">
        <f>IF(A32="","",IF(MONTH(A32+1)&lt;&gt;MONTH(A32),"",A32+1))</f>
        <v>43859</v>
      </c>
      <c r="B33" s="69"/>
      <c r="C33" s="64" t="str">
        <f t="shared" si="0"/>
        <v/>
      </c>
      <c r="D33" s="61">
        <f>IF(D32="","",IF(MONTH(D32+1)&lt;&gt;MONTH(D32),"",D32+1))</f>
        <v>43890</v>
      </c>
      <c r="E33" s="69"/>
      <c r="F33" s="64" t="str">
        <f t="shared" si="1"/>
        <v/>
      </c>
      <c r="G33" s="61">
        <f>IF(G32="","",IF(MONTH(G32+1)&lt;&gt;MONTH(G32),"",G32+1))</f>
        <v>43919</v>
      </c>
      <c r="H33" s="69"/>
      <c r="I33" s="64" t="str">
        <f t="shared" si="2"/>
        <v/>
      </c>
      <c r="J33" s="61">
        <f>IF(J32="","",IF(MONTH(J32+1)&lt;&gt;MONTH(J32),"",J32+1))</f>
        <v>43950</v>
      </c>
      <c r="K33" s="69"/>
      <c r="L33" s="64" t="str">
        <f t="shared" si="3"/>
        <v/>
      </c>
      <c r="M33" s="35">
        <f t="shared" ref="M33:AH35" si="13">IF(M32="","",IF(MONTH(M32+1)&lt;&gt;MONTH(M32),"",M32+1))</f>
        <v>43980</v>
      </c>
      <c r="N33" s="69"/>
      <c r="O33" s="75" t="str">
        <f t="shared" si="4"/>
        <v/>
      </c>
      <c r="P33" s="61">
        <f t="shared" si="13"/>
        <v>44011</v>
      </c>
      <c r="Q33" s="69"/>
      <c r="R33" s="64" t="str">
        <f t="shared" si="5"/>
        <v/>
      </c>
      <c r="S33" s="35">
        <f t="shared" si="13"/>
        <v>44041</v>
      </c>
      <c r="T33" s="69"/>
      <c r="U33" s="75" t="str">
        <f t="shared" si="6"/>
        <v/>
      </c>
      <c r="V33" s="61">
        <f t="shared" si="13"/>
        <v>44072</v>
      </c>
      <c r="W33" s="69"/>
      <c r="X33" s="64" t="str">
        <f t="shared" si="7"/>
        <v/>
      </c>
      <c r="Y33" s="35">
        <f t="shared" si="13"/>
        <v>44103</v>
      </c>
      <c r="Z33" s="69"/>
      <c r="AA33" s="75" t="str">
        <f t="shared" si="8"/>
        <v/>
      </c>
      <c r="AB33" s="61">
        <f t="shared" si="13"/>
        <v>44133</v>
      </c>
      <c r="AC33" s="69"/>
      <c r="AD33" s="64" t="str">
        <f t="shared" si="9"/>
        <v/>
      </c>
      <c r="AE33" s="35">
        <f t="shared" si="13"/>
        <v>44164</v>
      </c>
      <c r="AF33" s="69"/>
      <c r="AG33" s="75" t="str">
        <f t="shared" si="10"/>
        <v/>
      </c>
      <c r="AH33" s="61">
        <f t="shared" si="13"/>
        <v>44194</v>
      </c>
      <c r="AI33" s="69"/>
      <c r="AJ33" s="58" t="str">
        <f t="shared" si="11"/>
        <v/>
      </c>
    </row>
    <row r="34" spans="1:42" ht="13.7" customHeight="1" x14ac:dyDescent="0.2">
      <c r="A34" s="61">
        <f t="shared" ref="A34:J35" si="14">IF(A33="","",IF(MONTH(A33+1)&lt;&gt;MONTH(A33),"",A33+1))</f>
        <v>43860</v>
      </c>
      <c r="B34" s="69"/>
      <c r="C34" s="64" t="str">
        <f t="shared" si="0"/>
        <v/>
      </c>
      <c r="D34" s="61" t="str">
        <f t="shared" si="14"/>
        <v/>
      </c>
      <c r="E34" s="69"/>
      <c r="F34" s="64" t="str">
        <f t="shared" si="1"/>
        <v/>
      </c>
      <c r="G34" s="61">
        <f t="shared" si="14"/>
        <v>43920</v>
      </c>
      <c r="H34" s="69"/>
      <c r="I34" s="64" t="str">
        <f t="shared" si="2"/>
        <v/>
      </c>
      <c r="J34" s="61">
        <f t="shared" si="14"/>
        <v>43951</v>
      </c>
      <c r="K34" s="69"/>
      <c r="L34" s="64" t="str">
        <f t="shared" si="3"/>
        <v/>
      </c>
      <c r="M34" s="35">
        <f t="shared" si="13"/>
        <v>43981</v>
      </c>
      <c r="N34" s="69"/>
      <c r="O34" s="75" t="str">
        <f t="shared" si="4"/>
        <v/>
      </c>
      <c r="P34" s="61">
        <f t="shared" si="13"/>
        <v>44012</v>
      </c>
      <c r="Q34" s="69"/>
      <c r="R34" s="64" t="str">
        <f t="shared" si="5"/>
        <v/>
      </c>
      <c r="S34" s="35">
        <f t="shared" si="13"/>
        <v>44042</v>
      </c>
      <c r="T34" s="69"/>
      <c r="U34" s="75" t="str">
        <f t="shared" si="6"/>
        <v/>
      </c>
      <c r="V34" s="61">
        <f t="shared" si="13"/>
        <v>44073</v>
      </c>
      <c r="W34" s="69"/>
      <c r="X34" s="64" t="str">
        <f t="shared" si="7"/>
        <v/>
      </c>
      <c r="Y34" s="35">
        <f t="shared" si="13"/>
        <v>44104</v>
      </c>
      <c r="Z34" s="69"/>
      <c r="AA34" s="75" t="str">
        <f t="shared" si="8"/>
        <v/>
      </c>
      <c r="AB34" s="61">
        <f t="shared" si="13"/>
        <v>44134</v>
      </c>
      <c r="AC34" s="69"/>
      <c r="AD34" s="64" t="str">
        <f t="shared" si="9"/>
        <v/>
      </c>
      <c r="AE34" s="35">
        <f t="shared" si="13"/>
        <v>44165</v>
      </c>
      <c r="AF34" s="69"/>
      <c r="AG34" s="75" t="str">
        <f t="shared" si="10"/>
        <v/>
      </c>
      <c r="AH34" s="61">
        <f t="shared" si="13"/>
        <v>44195</v>
      </c>
      <c r="AI34" s="69"/>
      <c r="AJ34" s="58" t="str">
        <f t="shared" si="11"/>
        <v/>
      </c>
    </row>
    <row r="35" spans="1:42" ht="13.7" customHeight="1" thickBot="1" x14ac:dyDescent="0.25">
      <c r="A35" s="62">
        <f t="shared" si="14"/>
        <v>43861</v>
      </c>
      <c r="B35" s="70"/>
      <c r="C35" s="65" t="str">
        <f t="shared" si="0"/>
        <v/>
      </c>
      <c r="D35" s="62" t="str">
        <f t="shared" si="14"/>
        <v/>
      </c>
      <c r="E35" s="70"/>
      <c r="F35" s="65" t="str">
        <f t="shared" si="1"/>
        <v/>
      </c>
      <c r="G35" s="62">
        <f t="shared" si="14"/>
        <v>43921</v>
      </c>
      <c r="H35" s="70"/>
      <c r="I35" s="65" t="str">
        <f t="shared" si="2"/>
        <v/>
      </c>
      <c r="J35" s="62" t="str">
        <f t="shared" si="14"/>
        <v/>
      </c>
      <c r="K35" s="70"/>
      <c r="L35" s="65" t="str">
        <f t="shared" si="3"/>
        <v/>
      </c>
      <c r="M35" s="53">
        <f t="shared" si="13"/>
        <v>43982</v>
      </c>
      <c r="N35" s="70"/>
      <c r="O35" s="76" t="str">
        <f t="shared" si="4"/>
        <v/>
      </c>
      <c r="P35" s="62" t="str">
        <f t="shared" si="13"/>
        <v/>
      </c>
      <c r="Q35" s="70"/>
      <c r="R35" s="65" t="str">
        <f t="shared" si="5"/>
        <v/>
      </c>
      <c r="S35" s="53">
        <f t="shared" si="13"/>
        <v>44043</v>
      </c>
      <c r="T35" s="70"/>
      <c r="U35" s="76" t="str">
        <f t="shared" si="6"/>
        <v/>
      </c>
      <c r="V35" s="62">
        <f t="shared" si="13"/>
        <v>44074</v>
      </c>
      <c r="W35" s="70"/>
      <c r="X35" s="65" t="str">
        <f t="shared" si="7"/>
        <v/>
      </c>
      <c r="Y35" s="53" t="str">
        <f t="shared" si="13"/>
        <v/>
      </c>
      <c r="Z35" s="70"/>
      <c r="AA35" s="76" t="str">
        <f t="shared" si="8"/>
        <v/>
      </c>
      <c r="AB35" s="62">
        <f t="shared" si="13"/>
        <v>44135</v>
      </c>
      <c r="AC35" s="70"/>
      <c r="AD35" s="65" t="str">
        <f t="shared" si="9"/>
        <v/>
      </c>
      <c r="AE35" s="53" t="str">
        <f t="shared" si="13"/>
        <v/>
      </c>
      <c r="AF35" s="70"/>
      <c r="AG35" s="76" t="str">
        <f t="shared" si="10"/>
        <v/>
      </c>
      <c r="AH35" s="62">
        <f t="shared" si="13"/>
        <v>44196</v>
      </c>
      <c r="AI35" s="70"/>
      <c r="AJ35" s="58" t="str">
        <f t="shared" si="11"/>
        <v/>
      </c>
    </row>
    <row r="36" spans="1:42" ht="13.7" customHeight="1" x14ac:dyDescent="0.2">
      <c r="A36" s="91" t="s">
        <v>0</v>
      </c>
      <c r="B36" s="90">
        <f>SUM(B5:B35)</f>
        <v>0</v>
      </c>
      <c r="C36" s="66"/>
      <c r="D36" s="130"/>
      <c r="E36" s="71">
        <f t="shared" ref="E36:AI36" si="15">SUM(E5:E35)</f>
        <v>0</v>
      </c>
      <c r="F36" s="66"/>
      <c r="G36" s="130"/>
      <c r="H36" s="71">
        <f t="shared" si="15"/>
        <v>0</v>
      </c>
      <c r="I36" s="66"/>
      <c r="J36" s="130"/>
      <c r="K36" s="71">
        <f t="shared" si="15"/>
        <v>0</v>
      </c>
      <c r="L36" s="66"/>
      <c r="M36" s="131"/>
      <c r="N36" s="54">
        <f t="shared" si="15"/>
        <v>0</v>
      </c>
      <c r="O36" s="77"/>
      <c r="P36" s="130"/>
      <c r="Q36" s="71">
        <f t="shared" si="15"/>
        <v>0</v>
      </c>
      <c r="R36" s="66"/>
      <c r="S36" s="131"/>
      <c r="T36" s="54">
        <f t="shared" si="15"/>
        <v>0</v>
      </c>
      <c r="U36" s="77"/>
      <c r="V36" s="130"/>
      <c r="W36" s="71">
        <f t="shared" si="15"/>
        <v>0</v>
      </c>
      <c r="X36" s="66"/>
      <c r="Y36" s="131"/>
      <c r="Z36" s="54">
        <f t="shared" si="15"/>
        <v>0</v>
      </c>
      <c r="AA36" s="77"/>
      <c r="AB36" s="130"/>
      <c r="AC36" s="71">
        <f t="shared" si="15"/>
        <v>0</v>
      </c>
      <c r="AD36" s="66"/>
      <c r="AE36" s="131"/>
      <c r="AF36" s="54">
        <f t="shared" si="15"/>
        <v>0</v>
      </c>
      <c r="AG36" s="77"/>
      <c r="AH36" s="124"/>
      <c r="AI36" s="55">
        <f t="shared" si="15"/>
        <v>0</v>
      </c>
      <c r="AJ36" s="36"/>
    </row>
    <row r="37" spans="1:42" ht="13.7" customHeight="1" thickBot="1" x14ac:dyDescent="0.25">
      <c r="A37" s="85" t="s">
        <v>1</v>
      </c>
      <c r="B37" s="73">
        <f>SUM(C5:C35)</f>
        <v>0</v>
      </c>
      <c r="C37" s="67"/>
      <c r="D37" s="125"/>
      <c r="E37" s="72">
        <f t="shared" ref="E37:AI37" si="16">SUM(F5:F35)</f>
        <v>0</v>
      </c>
      <c r="F37" s="67"/>
      <c r="G37" s="125"/>
      <c r="H37" s="72">
        <f t="shared" si="16"/>
        <v>0</v>
      </c>
      <c r="I37" s="67"/>
      <c r="J37" s="125"/>
      <c r="K37" s="72">
        <f t="shared" si="16"/>
        <v>0</v>
      </c>
      <c r="L37" s="67"/>
      <c r="M37" s="132"/>
      <c r="N37" s="56">
        <f t="shared" si="16"/>
        <v>0</v>
      </c>
      <c r="O37" s="78"/>
      <c r="P37" s="125"/>
      <c r="Q37" s="72">
        <f t="shared" si="16"/>
        <v>0</v>
      </c>
      <c r="R37" s="67"/>
      <c r="S37" s="132"/>
      <c r="T37" s="56">
        <f t="shared" si="16"/>
        <v>0</v>
      </c>
      <c r="U37" s="78"/>
      <c r="V37" s="125"/>
      <c r="W37" s="72">
        <f t="shared" si="16"/>
        <v>0</v>
      </c>
      <c r="X37" s="67"/>
      <c r="Y37" s="132"/>
      <c r="Z37" s="56">
        <f t="shared" si="16"/>
        <v>0</v>
      </c>
      <c r="AA37" s="78"/>
      <c r="AB37" s="125"/>
      <c r="AC37" s="72">
        <f t="shared" si="16"/>
        <v>0</v>
      </c>
      <c r="AD37" s="67"/>
      <c r="AE37" s="132"/>
      <c r="AF37" s="56">
        <f t="shared" si="16"/>
        <v>0</v>
      </c>
      <c r="AG37" s="78"/>
      <c r="AH37" s="125"/>
      <c r="AI37" s="57">
        <f t="shared" si="16"/>
        <v>0</v>
      </c>
      <c r="AJ37" s="36"/>
    </row>
    <row r="38" spans="1:42" ht="3.75" customHeight="1" x14ac:dyDescent="0.2">
      <c r="A38" s="31"/>
      <c r="B38" s="31"/>
      <c r="C38" s="31"/>
      <c r="D38" s="31"/>
      <c r="E38" s="31"/>
      <c r="F38" s="31"/>
    </row>
    <row r="39" spans="1:42" s="49" customFormat="1" ht="12.75" x14ac:dyDescent="0.2">
      <c r="A39" s="50" t="s">
        <v>69</v>
      </c>
      <c r="B39" s="51"/>
      <c r="C39" s="51"/>
      <c r="D39" s="51"/>
      <c r="E39" s="51"/>
      <c r="F39" s="51"/>
      <c r="G39" s="44">
        <f>SUM(B36:AI36)</f>
        <v>0</v>
      </c>
      <c r="Y39" s="52" t="s">
        <v>66</v>
      </c>
      <c r="AC39" s="126">
        <f>ROUND(M1-(M1/3),2)</f>
        <v>16</v>
      </c>
      <c r="AD39" s="127"/>
      <c r="AE39" s="127"/>
      <c r="AH39" s="102">
        <f>COUNT(AH5:AH35)</f>
        <v>31</v>
      </c>
      <c r="AI39" s="48"/>
      <c r="AJ39" s="48"/>
      <c r="AK39" s="48"/>
      <c r="AL39" s="48"/>
      <c r="AM39" s="48"/>
    </row>
    <row r="40" spans="1:42" s="49" customFormat="1" ht="12.75" x14ac:dyDescent="0.2">
      <c r="A40" s="42" t="s">
        <v>36</v>
      </c>
      <c r="B40" s="43"/>
      <c r="C40" s="43"/>
      <c r="D40" s="45"/>
      <c r="E40" s="45"/>
      <c r="F40" s="45"/>
      <c r="G40" s="44">
        <f>SUM(B37:AI37)</f>
        <v>0</v>
      </c>
      <c r="H40" s="46" t="s">
        <v>35</v>
      </c>
      <c r="I40" s="45"/>
      <c r="J40" s="45"/>
      <c r="K40" s="45"/>
      <c r="L40" s="45"/>
      <c r="M40" s="45"/>
      <c r="N40" s="99" t="s">
        <v>70</v>
      </c>
      <c r="O40" s="96"/>
      <c r="P40" s="96"/>
      <c r="Q40" s="96"/>
      <c r="R40" s="96"/>
      <c r="S40" s="100">
        <f>((V45-(J46+J47))*(M1/5))</f>
        <v>1752</v>
      </c>
      <c r="T40" s="128"/>
      <c r="U40" s="129"/>
      <c r="V40" s="129"/>
      <c r="W40" s="45"/>
      <c r="X40" s="45"/>
      <c r="Y40" s="52" t="s">
        <v>65</v>
      </c>
      <c r="Z40" s="45"/>
      <c r="AA40" s="45"/>
      <c r="AB40" s="97">
        <f>ROUND(M1+(M1/3),2)</f>
        <v>32</v>
      </c>
      <c r="AC40" s="126">
        <f>IF(AB40&gt;34.75,34.75,AB40)</f>
        <v>32</v>
      </c>
      <c r="AD40" s="127"/>
      <c r="AE40" s="127"/>
      <c r="AF40" s="45"/>
      <c r="AG40" s="45"/>
      <c r="AH40" s="47"/>
      <c r="AI40" s="47"/>
      <c r="AJ40" s="47"/>
      <c r="AK40" s="47"/>
      <c r="AL40" s="47"/>
      <c r="AM40" s="47"/>
      <c r="AN40" s="45"/>
      <c r="AO40" s="45"/>
      <c r="AP40" s="45"/>
    </row>
    <row r="42" spans="1:42" ht="19.5" x14ac:dyDescent="0.3">
      <c r="A42" s="104"/>
    </row>
    <row r="45" spans="1:42" ht="12.75" x14ac:dyDescent="0.2">
      <c r="D45" s="32" t="s">
        <v>71</v>
      </c>
      <c r="G45" s="32">
        <v>1</v>
      </c>
      <c r="H45" s="101">
        <f>MONTH("1-" &amp; V2)</f>
        <v>1</v>
      </c>
      <c r="J45" s="32">
        <f>Q2</f>
        <v>2020</v>
      </c>
      <c r="K45" s="31">
        <f>(G45&amp;"/"&amp;H45&amp;"/"&amp;J45)*1</f>
        <v>43831</v>
      </c>
      <c r="M45" s="93"/>
      <c r="N45" s="32">
        <f>AH39</f>
        <v>31</v>
      </c>
      <c r="P45" s="32">
        <f>MONTH("1-" &amp; AF2)</f>
        <v>12</v>
      </c>
      <c r="Q45" s="32">
        <f>AB2</f>
        <v>2020</v>
      </c>
      <c r="S45" s="31">
        <f>(N45&amp;"/"&amp;P45&amp;"/"&amp;Q45)*1</f>
        <v>44196</v>
      </c>
      <c r="V45" s="32">
        <f>DATEDIF(K45,S45,"yd")</f>
        <v>365</v>
      </c>
    </row>
    <row r="46" spans="1:42" ht="12.75" x14ac:dyDescent="0.2">
      <c r="D46" s="32" t="s">
        <v>72</v>
      </c>
      <c r="H46" s="103"/>
      <c r="J46" s="133"/>
    </row>
    <row r="47" spans="1:42" ht="12.75" x14ac:dyDescent="0.2">
      <c r="D47" s="32" t="s">
        <v>72</v>
      </c>
      <c r="H47" s="105"/>
      <c r="J47" s="133"/>
    </row>
    <row r="49" spans="7:11" x14ac:dyDescent="0.2">
      <c r="G49" s="137"/>
      <c r="H49" s="137"/>
      <c r="I49" s="137"/>
      <c r="J49" s="137"/>
      <c r="K49" s="137"/>
    </row>
    <row r="53" spans="7:11" ht="12.75" x14ac:dyDescent="0.2">
      <c r="J53" s="93"/>
    </row>
  </sheetData>
  <sheetProtection selectLockedCells="1"/>
  <dataConsolidate/>
  <mergeCells count="31">
    <mergeCell ref="AH36:AH37"/>
    <mergeCell ref="AC39:AE39"/>
    <mergeCell ref="AC40:AE40"/>
    <mergeCell ref="T40:V40"/>
    <mergeCell ref="D36:D37"/>
    <mergeCell ref="G36:G37"/>
    <mergeCell ref="J36:J37"/>
    <mergeCell ref="M36:M37"/>
    <mergeCell ref="P36:P37"/>
    <mergeCell ref="S36:S37"/>
    <mergeCell ref="V36:V37"/>
    <mergeCell ref="Y36:Y37"/>
    <mergeCell ref="AB36:AB37"/>
    <mergeCell ref="AE36:AE37"/>
    <mergeCell ref="A4:B4"/>
    <mergeCell ref="D4:E4"/>
    <mergeCell ref="G4:H4"/>
    <mergeCell ref="J4:K4"/>
    <mergeCell ref="M4:N4"/>
    <mergeCell ref="AB4:AC4"/>
    <mergeCell ref="AE4:AF4"/>
    <mergeCell ref="AH4:AI4"/>
    <mergeCell ref="G2:M2"/>
    <mergeCell ref="Q2:S2"/>
    <mergeCell ref="V2:Y2"/>
    <mergeCell ref="P4:Q4"/>
    <mergeCell ref="S4:T4"/>
    <mergeCell ref="V4:W4"/>
    <mergeCell ref="Y4:Z4"/>
    <mergeCell ref="AB2:AC2"/>
    <mergeCell ref="AF2:AI2"/>
  </mergeCells>
  <conditionalFormatting sqref="A5">
    <cfRule type="expression" dxfId="65" priority="122">
      <formula>OR(WEEKDAY(A5)=1,WEEKDAY(A5)=7)</formula>
    </cfRule>
  </conditionalFormatting>
  <conditionalFormatting sqref="AH5:AH35">
    <cfRule type="expression" dxfId="64" priority="77">
      <formula>OR(WEEKDAY(AH5)=1,WEEKDAY(AH5)=7)</formula>
    </cfRule>
  </conditionalFormatting>
  <conditionalFormatting sqref="A6:A35">
    <cfRule type="expression" dxfId="63" priority="99">
      <formula>OR(WEEKDAY(A6)=1,WEEKDAY(A6)=7)</formula>
    </cfRule>
  </conditionalFormatting>
  <conditionalFormatting sqref="D5:D35">
    <cfRule type="expression" dxfId="62" priority="97">
      <formula>OR(WEEKDAY(D5)=1,WEEKDAY(D5)=7)</formula>
    </cfRule>
  </conditionalFormatting>
  <conditionalFormatting sqref="G5:G35">
    <cfRule type="expression" dxfId="61" priority="95">
      <formula>OR(WEEKDAY(G5)=1,WEEKDAY(G5)=7)</formula>
    </cfRule>
  </conditionalFormatting>
  <conditionalFormatting sqref="J5:J35">
    <cfRule type="expression" dxfId="60" priority="93">
      <formula>OR(WEEKDAY(J5)=1,WEEKDAY(J5)=7)</formula>
    </cfRule>
  </conditionalFormatting>
  <conditionalFormatting sqref="M5:M35">
    <cfRule type="expression" dxfId="59" priority="91">
      <formula>OR(WEEKDAY(M5)=1,WEEKDAY(M5)=7)</formula>
    </cfRule>
  </conditionalFormatting>
  <conditionalFormatting sqref="P5:P35">
    <cfRule type="expression" dxfId="58" priority="89">
      <formula>OR(WEEKDAY(P5)=1,WEEKDAY(P5)=7)</formula>
    </cfRule>
  </conditionalFormatting>
  <conditionalFormatting sqref="S5:S35">
    <cfRule type="expression" dxfId="57" priority="87">
      <formula>OR(WEEKDAY(S5)=1,WEEKDAY(S5)=7)</formula>
    </cfRule>
  </conditionalFormatting>
  <conditionalFormatting sqref="V5:V35">
    <cfRule type="expression" dxfId="56" priority="85">
      <formula>OR(WEEKDAY(V5)=1,WEEKDAY(V5)=7)</formula>
    </cfRule>
  </conditionalFormatting>
  <conditionalFormatting sqref="Y5:Y35">
    <cfRule type="expression" dxfId="55" priority="83">
      <formula>OR(WEEKDAY(Y5)=1,WEEKDAY(Y5)=7)</formula>
    </cfRule>
  </conditionalFormatting>
  <conditionalFormatting sqref="AB5:AB35">
    <cfRule type="expression" dxfId="54" priority="81">
      <formula>OR(WEEKDAY(AB5)=1,WEEKDAY(AB5)=7)</formula>
    </cfRule>
  </conditionalFormatting>
  <conditionalFormatting sqref="AE5:AE35">
    <cfRule type="expression" dxfId="53" priority="79">
      <formula>OR(WEEKDAY(AE5)=1,WEEKDAY(AE5)=7)</formula>
    </cfRule>
  </conditionalFormatting>
  <conditionalFormatting sqref="B5:B35">
    <cfRule type="cellIs" dxfId="52" priority="65" operator="lessThan">
      <formula>0</formula>
    </cfRule>
  </conditionalFormatting>
  <conditionalFormatting sqref="B5:B35">
    <cfRule type="cellIs" dxfId="51" priority="63" operator="equal">
      <formula>"C"</formula>
    </cfRule>
    <cfRule type="cellIs" dxfId="50" priority="64" operator="greaterThan">
      <formula>48</formula>
    </cfRule>
  </conditionalFormatting>
  <conditionalFormatting sqref="E5:E35">
    <cfRule type="cellIs" dxfId="49" priority="62" operator="lessThan">
      <formula>0</formula>
    </cfRule>
  </conditionalFormatting>
  <conditionalFormatting sqref="E5:E35">
    <cfRule type="cellIs" dxfId="48" priority="60" operator="equal">
      <formula>"C"</formula>
    </cfRule>
    <cfRule type="cellIs" dxfId="47" priority="61" operator="greaterThan">
      <formula>48</formula>
    </cfRule>
  </conditionalFormatting>
  <conditionalFormatting sqref="H5:H35">
    <cfRule type="cellIs" dxfId="46" priority="32" operator="lessThan">
      <formula>0</formula>
    </cfRule>
  </conditionalFormatting>
  <conditionalFormatting sqref="H5:H35">
    <cfRule type="cellIs" dxfId="45" priority="30" operator="equal">
      <formula>"C"</formula>
    </cfRule>
    <cfRule type="cellIs" dxfId="44" priority="31" operator="greaterThan">
      <formula>48</formula>
    </cfRule>
  </conditionalFormatting>
  <conditionalFormatting sqref="K5:K35">
    <cfRule type="cellIs" dxfId="43" priority="29" operator="lessThan">
      <formula>0</formula>
    </cfRule>
  </conditionalFormatting>
  <conditionalFormatting sqref="K5:K35">
    <cfRule type="cellIs" dxfId="42" priority="27" operator="equal">
      <formula>"C"</formula>
    </cfRule>
    <cfRule type="cellIs" dxfId="41" priority="28" operator="greaterThan">
      <formula>48</formula>
    </cfRule>
  </conditionalFormatting>
  <conditionalFormatting sqref="N5:N35">
    <cfRule type="cellIs" dxfId="40" priority="26" operator="lessThan">
      <formula>0</formula>
    </cfRule>
  </conditionalFormatting>
  <conditionalFormatting sqref="N5:N35">
    <cfRule type="cellIs" dxfId="39" priority="24" operator="equal">
      <formula>"C"</formula>
    </cfRule>
    <cfRule type="cellIs" dxfId="38" priority="25" operator="greaterThan">
      <formula>48</formula>
    </cfRule>
  </conditionalFormatting>
  <conditionalFormatting sqref="Q5:Q35">
    <cfRule type="cellIs" dxfId="37" priority="23" operator="lessThan">
      <formula>0</formula>
    </cfRule>
  </conditionalFormatting>
  <conditionalFormatting sqref="Q5:Q35">
    <cfRule type="cellIs" dxfId="36" priority="21" operator="equal">
      <formula>"C"</formula>
    </cfRule>
    <cfRule type="cellIs" dxfId="35" priority="22" operator="greaterThan">
      <formula>48</formula>
    </cfRule>
  </conditionalFormatting>
  <conditionalFormatting sqref="T5:T35">
    <cfRule type="cellIs" dxfId="34" priority="20" operator="lessThan">
      <formula>0</formula>
    </cfRule>
  </conditionalFormatting>
  <conditionalFormatting sqref="T5:T35">
    <cfRule type="cellIs" dxfId="33" priority="18" operator="equal">
      <formula>"C"</formula>
    </cfRule>
    <cfRule type="cellIs" dxfId="32" priority="19" operator="greaterThan">
      <formula>48</formula>
    </cfRule>
  </conditionalFormatting>
  <conditionalFormatting sqref="W5:W35">
    <cfRule type="cellIs" dxfId="31" priority="17" operator="lessThan">
      <formula>0</formula>
    </cfRule>
  </conditionalFormatting>
  <conditionalFormatting sqref="W5:W35">
    <cfRule type="cellIs" dxfId="30" priority="15" operator="equal">
      <formula>"C"</formula>
    </cfRule>
    <cfRule type="cellIs" dxfId="29" priority="16" operator="greaterThan">
      <formula>48</formula>
    </cfRule>
  </conditionalFormatting>
  <conditionalFormatting sqref="Z5:Z35">
    <cfRule type="cellIs" dxfId="28" priority="14" operator="lessThan">
      <formula>0</formula>
    </cfRule>
  </conditionalFormatting>
  <conditionalFormatting sqref="Z5:Z35">
    <cfRule type="cellIs" dxfId="27" priority="12" operator="equal">
      <formula>"C"</formula>
    </cfRule>
    <cfRule type="cellIs" dxfId="26" priority="13" operator="greaterThan">
      <formula>48</formula>
    </cfRule>
  </conditionalFormatting>
  <conditionalFormatting sqref="AC5:AC35">
    <cfRule type="cellIs" dxfId="25" priority="11" operator="lessThan">
      <formula>0</formula>
    </cfRule>
  </conditionalFormatting>
  <conditionalFormatting sqref="AC5:AC35">
    <cfRule type="cellIs" dxfId="24" priority="9" operator="equal">
      <formula>"C"</formula>
    </cfRule>
    <cfRule type="cellIs" dxfId="23" priority="10" operator="greaterThan">
      <formula>48</formula>
    </cfRule>
  </conditionalFormatting>
  <conditionalFormatting sqref="AF5:AF35">
    <cfRule type="cellIs" dxfId="22" priority="8" operator="lessThan">
      <formula>0</formula>
    </cfRule>
  </conditionalFormatting>
  <conditionalFormatting sqref="AF5:AF35">
    <cfRule type="cellIs" dxfId="21" priority="6" operator="equal">
      <formula>"C"</formula>
    </cfRule>
    <cfRule type="cellIs" dxfId="20" priority="7" operator="greaterThan">
      <formula>48</formula>
    </cfRule>
  </conditionalFormatting>
  <conditionalFormatting sqref="AI5:AI35">
    <cfRule type="cellIs" dxfId="19" priority="5" operator="lessThan">
      <formula>0</formula>
    </cfRule>
  </conditionalFormatting>
  <conditionalFormatting sqref="AI5:AI35">
    <cfRule type="cellIs" dxfId="18" priority="3" operator="equal">
      <formula>"C"</formula>
    </cfRule>
    <cfRule type="cellIs" dxfId="17" priority="4" operator="greaterThan">
      <formula>48</formula>
    </cfRule>
  </conditionalFormatting>
  <conditionalFormatting sqref="H46">
    <cfRule type="expression" dxfId="16" priority="2">
      <formula>OR(WEEKDAY(H46)=1,WEEKDAY(H46)=7)</formula>
    </cfRule>
  </conditionalFormatting>
  <dataValidations count="2">
    <dataValidation type="list" allowBlank="1" showInputMessage="1" showErrorMessage="1" sqref="AM2:AM25 Q2" xr:uid="{00000000-0002-0000-0100-000000000000}">
      <formula1>Année</formula1>
    </dataValidation>
    <dataValidation type="list" allowBlank="1" showInputMessage="1" showErrorMessage="1" sqref="V2" xr:uid="{00000000-0002-0000-0100-000001000000}">
      <formula1>$AK$2:$AK$13</formula1>
    </dataValidation>
  </dataValidations>
  <pageMargins left="3.937007874015748E-2" right="3.937007874015748E-2" top="0" bottom="0" header="0.31496062992125984" footer="0.31496062992125984"/>
  <pageSetup paperSize="9" orientation="landscape" r:id="rId1"/>
  <ignoredErrors>
    <ignoredError sqref="A9 D6" formula="1"/>
    <ignoredError sqref="AF2"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ompte">
                <anchor moveWithCells="1" sizeWithCells="1">
                  <from>
                    <xdr:col>10</xdr:col>
                    <xdr:colOff>38100</xdr:colOff>
                    <xdr:row>45</xdr:row>
                    <xdr:rowOff>19050</xdr:rowOff>
                  </from>
                  <to>
                    <xdr:col>12</xdr:col>
                    <xdr:colOff>0</xdr:colOff>
                    <xdr:row>47</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14" id="{99FBCDD6-F79E-49F3-AADB-18C3BBF8028E}">
            <xm:f>COUNTIF('Jours Fériés'!$E$5:$E$30,A5)</xm:f>
            <x14:dxf>
              <fill>
                <patternFill>
                  <bgColor theme="9" tint="0.39994506668294322"/>
                </patternFill>
              </fill>
            </x14:dxf>
          </x14:cfRule>
          <xm:sqref>A5</xm:sqref>
        </x14:conditionalFormatting>
        <x14:conditionalFormatting xmlns:xm="http://schemas.microsoft.com/office/excel/2006/main">
          <x14:cfRule type="expression" priority="98" id="{BB26D3C7-C216-4B5E-A145-0BE74AA5E5C0}">
            <xm:f>COUNTIF('Jours Fériés'!$E$5:$E$30,A6)</xm:f>
            <x14:dxf>
              <fill>
                <patternFill>
                  <bgColor theme="9" tint="0.39994506668294322"/>
                </patternFill>
              </fill>
            </x14:dxf>
          </x14:cfRule>
          <xm:sqref>A6:A35</xm:sqref>
        </x14:conditionalFormatting>
        <x14:conditionalFormatting xmlns:xm="http://schemas.microsoft.com/office/excel/2006/main">
          <x14:cfRule type="expression" priority="96" id="{12D4DA6D-7E00-41FB-BBF6-081A7EAD9F5D}">
            <xm:f>COUNTIF('Jours Fériés'!$E$5:$E$30,D5)</xm:f>
            <x14:dxf>
              <fill>
                <patternFill>
                  <bgColor theme="9" tint="0.39994506668294322"/>
                </patternFill>
              </fill>
            </x14:dxf>
          </x14:cfRule>
          <xm:sqref>D5:D35</xm:sqref>
        </x14:conditionalFormatting>
        <x14:conditionalFormatting xmlns:xm="http://schemas.microsoft.com/office/excel/2006/main">
          <x14:cfRule type="expression" priority="94" id="{CFF70B73-7425-4343-A34E-4BD9863DCAE2}">
            <xm:f>COUNTIF('Jours Fériés'!$E$5:$E$30,G5)</xm:f>
            <x14:dxf>
              <fill>
                <patternFill>
                  <bgColor theme="9" tint="0.39994506668294322"/>
                </patternFill>
              </fill>
            </x14:dxf>
          </x14:cfRule>
          <xm:sqref>G5:G35</xm:sqref>
        </x14:conditionalFormatting>
        <x14:conditionalFormatting xmlns:xm="http://schemas.microsoft.com/office/excel/2006/main">
          <x14:cfRule type="expression" priority="92" id="{8750E082-3841-45D8-940C-66222B0192E3}">
            <xm:f>COUNTIF('Jours Fériés'!$E$5:$E$30,J5)</xm:f>
            <x14:dxf>
              <fill>
                <patternFill>
                  <bgColor theme="9" tint="0.39994506668294322"/>
                </patternFill>
              </fill>
            </x14:dxf>
          </x14:cfRule>
          <xm:sqref>J5:J35</xm:sqref>
        </x14:conditionalFormatting>
        <x14:conditionalFormatting xmlns:xm="http://schemas.microsoft.com/office/excel/2006/main">
          <x14:cfRule type="expression" priority="90" id="{4F105A9A-218F-4882-8B6E-7FDB50E31193}">
            <xm:f>COUNTIF('Jours Fériés'!$E$5:$E$30,M5)</xm:f>
            <x14:dxf>
              <fill>
                <patternFill>
                  <bgColor theme="9" tint="0.39994506668294322"/>
                </patternFill>
              </fill>
            </x14:dxf>
          </x14:cfRule>
          <xm:sqref>M5:M35</xm:sqref>
        </x14:conditionalFormatting>
        <x14:conditionalFormatting xmlns:xm="http://schemas.microsoft.com/office/excel/2006/main">
          <x14:cfRule type="expression" priority="88" id="{8ABEC729-341B-4555-A485-60FF8E8BD37C}">
            <xm:f>COUNTIF('Jours Fériés'!$E$5:$E$30,P5)</xm:f>
            <x14:dxf>
              <fill>
                <patternFill>
                  <bgColor theme="9" tint="0.39994506668294322"/>
                </patternFill>
              </fill>
            </x14:dxf>
          </x14:cfRule>
          <xm:sqref>P5:P35</xm:sqref>
        </x14:conditionalFormatting>
        <x14:conditionalFormatting xmlns:xm="http://schemas.microsoft.com/office/excel/2006/main">
          <x14:cfRule type="expression" priority="86" id="{09F5F801-D7D2-41B8-93DC-526261E3727A}">
            <xm:f>COUNTIF('Jours Fériés'!$E$5:$E$30,S5)</xm:f>
            <x14:dxf>
              <fill>
                <patternFill>
                  <bgColor theme="9" tint="0.39994506668294322"/>
                </patternFill>
              </fill>
            </x14:dxf>
          </x14:cfRule>
          <xm:sqref>S5:S35</xm:sqref>
        </x14:conditionalFormatting>
        <x14:conditionalFormatting xmlns:xm="http://schemas.microsoft.com/office/excel/2006/main">
          <x14:cfRule type="expression" priority="84" id="{B2901833-55B6-4528-BF0A-B1F635964B56}">
            <xm:f>COUNTIF('Jours Fériés'!$E$5:$E$30,V5)</xm:f>
            <x14:dxf>
              <fill>
                <patternFill>
                  <bgColor theme="9" tint="0.39994506668294322"/>
                </patternFill>
              </fill>
            </x14:dxf>
          </x14:cfRule>
          <xm:sqref>V5:V35</xm:sqref>
        </x14:conditionalFormatting>
        <x14:conditionalFormatting xmlns:xm="http://schemas.microsoft.com/office/excel/2006/main">
          <x14:cfRule type="expression" priority="82" id="{7BB16737-AE91-4B9E-B382-E6381CC1E84A}">
            <xm:f>COUNTIF('Jours Fériés'!$E$5:$E$30,Y5)</xm:f>
            <x14:dxf>
              <fill>
                <patternFill>
                  <bgColor theme="9" tint="0.39994506668294322"/>
                </patternFill>
              </fill>
            </x14:dxf>
          </x14:cfRule>
          <xm:sqref>Y5:Y35</xm:sqref>
        </x14:conditionalFormatting>
        <x14:conditionalFormatting xmlns:xm="http://schemas.microsoft.com/office/excel/2006/main">
          <x14:cfRule type="expression" priority="80" id="{9AD2271D-0091-49A1-BCB0-649760E51E17}">
            <xm:f>COUNTIF('Jours Fériés'!$E$5:$E$30,AB5)</xm:f>
            <x14:dxf>
              <fill>
                <patternFill>
                  <bgColor theme="9" tint="0.39994506668294322"/>
                </patternFill>
              </fill>
            </x14:dxf>
          </x14:cfRule>
          <xm:sqref>AB5:AB35</xm:sqref>
        </x14:conditionalFormatting>
        <x14:conditionalFormatting xmlns:xm="http://schemas.microsoft.com/office/excel/2006/main">
          <x14:cfRule type="expression" priority="78" id="{E026457C-B141-454B-AB8F-62DD9C061F39}">
            <xm:f>COUNTIF('Jours Fériés'!$E$5:$E$30,AE5)</xm:f>
            <x14:dxf>
              <fill>
                <patternFill>
                  <bgColor theme="9" tint="0.39994506668294322"/>
                </patternFill>
              </fill>
            </x14:dxf>
          </x14:cfRule>
          <xm:sqref>AE5:AE35</xm:sqref>
        </x14:conditionalFormatting>
        <x14:conditionalFormatting xmlns:xm="http://schemas.microsoft.com/office/excel/2006/main">
          <x14:cfRule type="expression" priority="76" id="{E8949C50-D438-46A9-A0E2-C5C1F6AF86EC}">
            <xm:f>COUNTIF('Jours Fériés'!$E$5:$E$30,AH5)</xm:f>
            <x14:dxf>
              <fill>
                <patternFill>
                  <bgColor theme="9" tint="0.39994506668294322"/>
                </patternFill>
              </fill>
            </x14:dxf>
          </x14:cfRule>
          <xm:sqref>AH5:AH35</xm:sqref>
        </x14:conditionalFormatting>
        <x14:conditionalFormatting xmlns:xm="http://schemas.microsoft.com/office/excel/2006/main">
          <x14:cfRule type="expression" priority="1" id="{AA022E90-E256-4EFF-927D-50BDC94B616D}">
            <xm:f>COUNTIF('Jours Fériés'!$E$5:$E$30,H46)</xm:f>
            <x14:dxf>
              <fill>
                <patternFill>
                  <bgColor theme="9" tint="0.39994506668294322"/>
                </patternFill>
              </fill>
            </x14:dxf>
          </x14:cfRule>
          <xm:sqref>H46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2:O38"/>
  <sheetViews>
    <sheetView topLeftCell="C19" zoomScale="130" zoomScaleNormal="130" workbookViewId="0">
      <selection activeCell="D33" sqref="D33"/>
    </sheetView>
  </sheetViews>
  <sheetFormatPr baseColWidth="10" defaultRowHeight="12.75" x14ac:dyDescent="0.2"/>
  <cols>
    <col min="1" max="2" width="2" style="1" hidden="1" customWidth="1"/>
    <col min="3" max="3" width="10.5703125" style="1" bestFit="1" customWidth="1"/>
    <col min="4" max="4" width="14.28515625" style="1" customWidth="1"/>
    <col min="5" max="5" width="13.28515625" style="1" bestFit="1" customWidth="1"/>
    <col min="6" max="6" width="7.140625" style="1" bestFit="1" customWidth="1"/>
    <col min="7" max="7" width="7" style="1" bestFit="1" customWidth="1"/>
    <col min="8" max="8" width="4.85546875" style="1" hidden="1" customWidth="1"/>
    <col min="9" max="10" width="11.42578125" style="1" customWidth="1"/>
    <col min="11" max="11" width="11.42578125" style="1"/>
    <col min="12" max="12" width="15" style="1" customWidth="1"/>
    <col min="13" max="16384" width="11.42578125" style="1"/>
  </cols>
  <sheetData>
    <row r="2" spans="1:15" x14ac:dyDescent="0.2">
      <c r="C2" s="2">
        <f>2018+'TP Variable'!P2</f>
        <v>2020</v>
      </c>
      <c r="K2" s="29">
        <f>C2+1</f>
        <v>2021</v>
      </c>
    </row>
    <row r="3" spans="1:15" x14ac:dyDescent="0.2">
      <c r="K3" s="20"/>
      <c r="L3" s="20"/>
      <c r="M3" s="20"/>
      <c r="N3" s="20"/>
      <c r="O3" s="20"/>
    </row>
    <row r="4" spans="1:15" x14ac:dyDescent="0.2">
      <c r="C4" s="3" t="s">
        <v>2</v>
      </c>
      <c r="D4" s="3" t="s">
        <v>3</v>
      </c>
      <c r="E4" s="134" t="s">
        <v>4</v>
      </c>
      <c r="F4" s="3" t="s">
        <v>5</v>
      </c>
      <c r="G4" s="3" t="s">
        <v>6</v>
      </c>
      <c r="K4" s="21"/>
      <c r="L4" s="21"/>
      <c r="M4" s="21"/>
      <c r="N4" s="21"/>
      <c r="O4" s="21"/>
    </row>
    <row r="5" spans="1:15" x14ac:dyDescent="0.2">
      <c r="A5" s="4">
        <f t="shared" ref="A5:A17" si="0">IF(C5="Samedi",0,1)</f>
        <v>1</v>
      </c>
      <c r="B5" s="4">
        <f t="shared" ref="B5:B30" si="1">IF(C5="Dimanche",0,1)</f>
        <v>1</v>
      </c>
      <c r="C5" s="5" t="str">
        <f>CHOOSE(WEEKDAY(E5),"Dimanche","Lundi","Mardi","Mercredi","Jeudi","Vendredi","Samedi")</f>
        <v>Mercredi</v>
      </c>
      <c r="D5" s="6" t="s">
        <v>7</v>
      </c>
      <c r="E5" s="135">
        <f>DATE($C$2,1,1)</f>
        <v>43831</v>
      </c>
      <c r="F5" s="7">
        <f>WEEKNUM(E5,21)</f>
        <v>1</v>
      </c>
      <c r="G5" s="7">
        <f>IF(A5+B5=2,1,0)</f>
        <v>1</v>
      </c>
      <c r="I5" s="4"/>
      <c r="J5" s="4"/>
      <c r="K5" s="12"/>
      <c r="L5" s="13"/>
      <c r="M5" s="14"/>
      <c r="N5" s="15"/>
      <c r="O5" s="15"/>
    </row>
    <row r="6" spans="1:15" x14ac:dyDescent="0.2">
      <c r="A6" s="4">
        <f t="shared" si="0"/>
        <v>1</v>
      </c>
      <c r="B6" s="4">
        <f t="shared" si="1"/>
        <v>0</v>
      </c>
      <c r="C6" s="5" t="str">
        <f>CHOOSE(WEEKDAY(E6),"Dimanche","Lundi","Mardi","Mercredi","Jeudi","Vendredi","Samedi")</f>
        <v>Dimanche</v>
      </c>
      <c r="D6" s="6" t="s">
        <v>8</v>
      </c>
      <c r="E6" s="135">
        <f>FLOOR(DAY(MINUTE($C$2/38)/2+56)&amp;"/5/"&amp;$C$2,7)-34</f>
        <v>43933</v>
      </c>
      <c r="F6" s="7">
        <f t="shared" ref="F6:F17" si="2">WEEKNUM(E6,21)</f>
        <v>15</v>
      </c>
      <c r="G6" s="7">
        <f t="shared" ref="G6:G17" si="3">IF(A6+B6=2,1,0)</f>
        <v>0</v>
      </c>
      <c r="I6" s="4"/>
      <c r="J6" s="4"/>
      <c r="K6" s="12"/>
      <c r="L6" s="13"/>
      <c r="M6" s="14"/>
      <c r="N6" s="15"/>
      <c r="O6" s="15"/>
    </row>
    <row r="7" spans="1:15" x14ac:dyDescent="0.2">
      <c r="A7" s="4">
        <f t="shared" si="0"/>
        <v>1</v>
      </c>
      <c r="B7" s="4">
        <f t="shared" si="1"/>
        <v>1</v>
      </c>
      <c r="C7" s="5" t="str">
        <f>CHOOSE(WEEKDAY(E7),"Dimanche","Lundi","Mardi","Mercredi","Jeudi","Vend
 redi","Samedi")</f>
        <v>Lundi</v>
      </c>
      <c r="D7" s="6" t="s">
        <v>9</v>
      </c>
      <c r="E7" s="135">
        <f>E6 + 1</f>
        <v>43934</v>
      </c>
      <c r="F7" s="7">
        <f t="shared" si="2"/>
        <v>16</v>
      </c>
      <c r="G7" s="7">
        <f t="shared" si="3"/>
        <v>1</v>
      </c>
      <c r="I7" s="4"/>
      <c r="J7" s="4"/>
      <c r="K7" s="12"/>
      <c r="L7" s="13"/>
      <c r="M7" s="14"/>
      <c r="N7" s="15"/>
      <c r="O7" s="15"/>
    </row>
    <row r="8" spans="1:15" x14ac:dyDescent="0.2">
      <c r="A8" s="4">
        <f t="shared" si="0"/>
        <v>1</v>
      </c>
      <c r="B8" s="4">
        <f t="shared" si="1"/>
        <v>1</v>
      </c>
      <c r="C8" s="5" t="str">
        <f>CHOOSE(WEEKDAY(E8),"Dimanche","Lundi","Mardi","Mercredi","Jeudi","Vend
 redi","Samedi")</f>
        <v>Vend
 redi</v>
      </c>
      <c r="D8" s="6" t="s">
        <v>10</v>
      </c>
      <c r="E8" s="135">
        <f>DATE($C$2,5,1)</f>
        <v>43952</v>
      </c>
      <c r="F8" s="7">
        <f t="shared" si="2"/>
        <v>18</v>
      </c>
      <c r="G8" s="7">
        <f t="shared" si="3"/>
        <v>1</v>
      </c>
      <c r="I8" s="4"/>
      <c r="J8" s="4"/>
      <c r="K8" s="12"/>
      <c r="L8" s="13"/>
      <c r="M8" s="14"/>
      <c r="N8" s="15"/>
      <c r="O8" s="15"/>
    </row>
    <row r="9" spans="1:15" x14ac:dyDescent="0.2">
      <c r="A9" s="4">
        <f t="shared" si="0"/>
        <v>1</v>
      </c>
      <c r="B9" s="4">
        <f t="shared" si="1"/>
        <v>1</v>
      </c>
      <c r="C9" s="5" t="str">
        <f t="shared" ref="C9:C17" si="4">CHOOSE(WEEKDAY(E9),"Dimanche","Lundi","Mardi","Mercredi","Jeudi","Vendredi","Samedi")</f>
        <v>Vendredi</v>
      </c>
      <c r="D9" s="8" t="s">
        <v>11</v>
      </c>
      <c r="E9" s="135">
        <f>DATE($C$2,5,8)</f>
        <v>43959</v>
      </c>
      <c r="F9" s="7">
        <f t="shared" si="2"/>
        <v>19</v>
      </c>
      <c r="G9" s="7">
        <f t="shared" si="3"/>
        <v>1</v>
      </c>
      <c r="I9" s="4"/>
      <c r="J9" s="4"/>
      <c r="K9" s="12"/>
      <c r="L9" s="22"/>
      <c r="M9" s="14"/>
      <c r="N9" s="15"/>
      <c r="O9" s="15"/>
    </row>
    <row r="10" spans="1:15" x14ac:dyDescent="0.2">
      <c r="A10" s="4">
        <f t="shared" si="0"/>
        <v>1</v>
      </c>
      <c r="B10" s="4">
        <f t="shared" si="1"/>
        <v>1</v>
      </c>
      <c r="C10" s="5" t="str">
        <f t="shared" si="4"/>
        <v>Jeudi</v>
      </c>
      <c r="D10" s="9" t="s">
        <v>12</v>
      </c>
      <c r="E10" s="135">
        <f>E6 + 39</f>
        <v>43972</v>
      </c>
      <c r="F10" s="7">
        <f t="shared" si="2"/>
        <v>21</v>
      </c>
      <c r="G10" s="7">
        <f t="shared" si="3"/>
        <v>1</v>
      </c>
      <c r="I10" s="4"/>
      <c r="J10" s="4"/>
      <c r="K10" s="12"/>
      <c r="L10" s="13"/>
      <c r="M10" s="14"/>
      <c r="N10" s="15"/>
      <c r="O10" s="15"/>
    </row>
    <row r="11" spans="1:15" x14ac:dyDescent="0.2">
      <c r="A11" s="4">
        <f t="shared" si="0"/>
        <v>1</v>
      </c>
      <c r="B11" s="4">
        <f t="shared" si="1"/>
        <v>0</v>
      </c>
      <c r="C11" s="5" t="str">
        <f t="shared" si="4"/>
        <v>Dimanche</v>
      </c>
      <c r="D11" s="9" t="s">
        <v>13</v>
      </c>
      <c r="E11" s="135">
        <f>E6 + 49</f>
        <v>43982</v>
      </c>
      <c r="F11" s="7">
        <f t="shared" si="2"/>
        <v>22</v>
      </c>
      <c r="G11" s="7">
        <f t="shared" si="3"/>
        <v>0</v>
      </c>
      <c r="I11" s="4"/>
      <c r="J11" s="4"/>
      <c r="K11" s="12"/>
      <c r="L11" s="13"/>
      <c r="M11" s="14"/>
      <c r="N11" s="15"/>
      <c r="O11" s="15"/>
    </row>
    <row r="12" spans="1:15" x14ac:dyDescent="0.2">
      <c r="A12" s="4">
        <f t="shared" si="0"/>
        <v>1</v>
      </c>
      <c r="B12" s="4">
        <f t="shared" si="1"/>
        <v>1</v>
      </c>
      <c r="C12" s="5" t="str">
        <f t="shared" si="4"/>
        <v>Lundi</v>
      </c>
      <c r="D12" s="8" t="s">
        <v>14</v>
      </c>
      <c r="E12" s="135">
        <f>E6 + 50</f>
        <v>43983</v>
      </c>
      <c r="F12" s="7">
        <f t="shared" si="2"/>
        <v>23</v>
      </c>
      <c r="G12" s="7">
        <f t="shared" si="3"/>
        <v>1</v>
      </c>
      <c r="I12" s="4"/>
      <c r="J12" s="4"/>
      <c r="K12" s="12"/>
      <c r="L12" s="22"/>
      <c r="M12" s="14"/>
      <c r="N12" s="15"/>
      <c r="O12" s="15"/>
    </row>
    <row r="13" spans="1:15" x14ac:dyDescent="0.2">
      <c r="A13" s="4">
        <f t="shared" si="0"/>
        <v>1</v>
      </c>
      <c r="B13" s="4">
        <f t="shared" si="1"/>
        <v>1</v>
      </c>
      <c r="C13" s="5" t="str">
        <f t="shared" si="4"/>
        <v>Mardi</v>
      </c>
      <c r="D13" s="8" t="s">
        <v>15</v>
      </c>
      <c r="E13" s="135">
        <f>DATE($C$2,7,14)</f>
        <v>44026</v>
      </c>
      <c r="F13" s="7">
        <f t="shared" si="2"/>
        <v>29</v>
      </c>
      <c r="G13" s="7">
        <f t="shared" si="3"/>
        <v>1</v>
      </c>
      <c r="I13" s="4"/>
      <c r="J13" s="4"/>
      <c r="K13" s="12"/>
      <c r="L13" s="22"/>
      <c r="M13" s="14"/>
      <c r="N13" s="15"/>
      <c r="O13" s="15"/>
    </row>
    <row r="14" spans="1:15" x14ac:dyDescent="0.2">
      <c r="A14" s="4">
        <f t="shared" si="0"/>
        <v>0</v>
      </c>
      <c r="B14" s="4">
        <f t="shared" si="1"/>
        <v>1</v>
      </c>
      <c r="C14" s="5" t="str">
        <f t="shared" si="4"/>
        <v>Samedi</v>
      </c>
      <c r="D14" s="9" t="s">
        <v>16</v>
      </c>
      <c r="E14" s="135">
        <f>DATE($C$2,8,15)</f>
        <v>44058</v>
      </c>
      <c r="F14" s="7">
        <f t="shared" si="2"/>
        <v>33</v>
      </c>
      <c r="G14" s="7">
        <f t="shared" si="3"/>
        <v>0</v>
      </c>
      <c r="I14" s="4"/>
      <c r="J14" s="4"/>
      <c r="K14" s="12"/>
      <c r="L14" s="13"/>
      <c r="M14" s="14"/>
      <c r="N14" s="15"/>
      <c r="O14" s="15"/>
    </row>
    <row r="15" spans="1:15" x14ac:dyDescent="0.2">
      <c r="A15" s="4">
        <f t="shared" si="0"/>
        <v>1</v>
      </c>
      <c r="B15" s="4">
        <f t="shared" si="1"/>
        <v>0</v>
      </c>
      <c r="C15" s="5" t="str">
        <f t="shared" si="4"/>
        <v>Dimanche</v>
      </c>
      <c r="D15" s="9" t="s">
        <v>17</v>
      </c>
      <c r="E15" s="135">
        <f>DATE($C$2,11,1)</f>
        <v>44136</v>
      </c>
      <c r="F15" s="7">
        <f t="shared" si="2"/>
        <v>44</v>
      </c>
      <c r="G15" s="7">
        <f t="shared" si="3"/>
        <v>0</v>
      </c>
      <c r="I15" s="4"/>
      <c r="J15" s="4"/>
      <c r="K15" s="12"/>
      <c r="L15" s="13"/>
      <c r="M15" s="14"/>
      <c r="N15" s="15"/>
      <c r="O15" s="15"/>
    </row>
    <row r="16" spans="1:15" x14ac:dyDescent="0.2">
      <c r="A16" s="4">
        <f t="shared" si="0"/>
        <v>1</v>
      </c>
      <c r="B16" s="4">
        <f t="shared" si="1"/>
        <v>1</v>
      </c>
      <c r="C16" s="5" t="str">
        <f t="shared" si="4"/>
        <v>Mercredi</v>
      </c>
      <c r="D16" s="10" t="s">
        <v>18</v>
      </c>
      <c r="E16" s="135">
        <f>DATE($C$2,11,11)</f>
        <v>44146</v>
      </c>
      <c r="F16" s="7">
        <f t="shared" si="2"/>
        <v>46</v>
      </c>
      <c r="G16" s="7">
        <f t="shared" si="3"/>
        <v>1</v>
      </c>
      <c r="I16" s="4"/>
      <c r="J16" s="4"/>
      <c r="K16" s="12"/>
      <c r="L16" s="22"/>
      <c r="M16" s="14"/>
      <c r="N16" s="15"/>
      <c r="O16" s="15"/>
    </row>
    <row r="17" spans="1:15" x14ac:dyDescent="0.2">
      <c r="A17" s="4">
        <f t="shared" si="0"/>
        <v>1</v>
      </c>
      <c r="B17" s="4">
        <f t="shared" si="1"/>
        <v>1</v>
      </c>
      <c r="C17" s="11" t="str">
        <f t="shared" si="4"/>
        <v>Vendredi</v>
      </c>
      <c r="D17" s="6" t="s">
        <v>19</v>
      </c>
      <c r="E17" s="136">
        <f>DATE($C$2,12,25)</f>
        <v>44190</v>
      </c>
      <c r="F17" s="7">
        <f t="shared" si="2"/>
        <v>52</v>
      </c>
      <c r="G17" s="7">
        <f t="shared" si="3"/>
        <v>1</v>
      </c>
      <c r="I17" s="4" t="s">
        <v>32</v>
      </c>
      <c r="J17" s="4">
        <f>SUM(G5:G17)</f>
        <v>9</v>
      </c>
      <c r="K17" s="12"/>
      <c r="L17" s="13"/>
      <c r="M17" s="14"/>
      <c r="N17" s="15"/>
      <c r="O17" s="15"/>
    </row>
    <row r="18" spans="1:15" x14ac:dyDescent="0.2">
      <c r="A18" s="4">
        <f>IF(C18="Samedi",0,1)</f>
        <v>1</v>
      </c>
      <c r="B18" s="4">
        <f t="shared" si="1"/>
        <v>1</v>
      </c>
      <c r="C18" s="5" t="str">
        <f>CHOOSE(WEEKDAY(E18),"Dimanche","Lundi","Mardi","Mercredi","Jeudi","Vendredi","Samedi")</f>
        <v>Vendredi</v>
      </c>
      <c r="D18" s="6" t="s">
        <v>7</v>
      </c>
      <c r="E18" s="135">
        <f>DATE(C2+1,1,1)</f>
        <v>44197</v>
      </c>
      <c r="F18" s="7">
        <f>WEEKNUM(E18,21)</f>
        <v>53</v>
      </c>
      <c r="G18" s="7">
        <f>IF(A18+B18=2,1,0)</f>
        <v>1</v>
      </c>
      <c r="I18" s="4"/>
      <c r="J18" s="4"/>
      <c r="K18" s="12"/>
      <c r="L18" s="13"/>
      <c r="M18" s="14"/>
      <c r="N18" s="15"/>
      <c r="O18" s="15"/>
    </row>
    <row r="19" spans="1:15" x14ac:dyDescent="0.2">
      <c r="A19" s="4">
        <f t="shared" ref="A19:A30" si="5">IF(C19="Samedi",0,1)</f>
        <v>1</v>
      </c>
      <c r="B19" s="4">
        <f t="shared" si="1"/>
        <v>0</v>
      </c>
      <c r="C19" s="5" t="str">
        <f>CHOOSE(WEEKDAY(E19),"Dimanche","Lundi","Mardi","Mercredi","Jeudi","Vendredi","Samedi")</f>
        <v>Dimanche</v>
      </c>
      <c r="D19" s="6" t="s">
        <v>8</v>
      </c>
      <c r="E19" s="135">
        <f>FLOOR(DAY(MINUTE($K$2/38)/2+56)&amp;"/5/"&amp;$K$2,7)-34</f>
        <v>44290</v>
      </c>
      <c r="F19" s="7">
        <f>WEEKNUM(E19,21)</f>
        <v>13</v>
      </c>
      <c r="G19" s="7">
        <f t="shared" ref="G19:G30" si="6">IF(A19+B19=2,1,0)</f>
        <v>0</v>
      </c>
      <c r="I19" s="4"/>
      <c r="J19" s="4"/>
      <c r="K19" s="12"/>
      <c r="L19" s="13"/>
      <c r="M19" s="14"/>
      <c r="N19" s="15"/>
      <c r="O19" s="15"/>
    </row>
    <row r="20" spans="1:15" x14ac:dyDescent="0.2">
      <c r="A20" s="4">
        <f t="shared" si="5"/>
        <v>1</v>
      </c>
      <c r="B20" s="4">
        <f t="shared" si="1"/>
        <v>1</v>
      </c>
      <c r="C20" s="5" t="str">
        <f>CHOOSE(WEEKDAY(E20),"Dimanche","Lundi","Mardi","Mercredi","Jeudi","Vend
 redi","Samedi")</f>
        <v>Lundi</v>
      </c>
      <c r="D20" s="6" t="s">
        <v>9</v>
      </c>
      <c r="E20" s="135">
        <f>E19 + 1</f>
        <v>44291</v>
      </c>
      <c r="F20" s="7">
        <f t="shared" ref="F20:F30" si="7">WEEKNUM(E20,21)</f>
        <v>14</v>
      </c>
      <c r="G20" s="7">
        <f t="shared" si="6"/>
        <v>1</v>
      </c>
      <c r="I20" s="4"/>
      <c r="J20" s="4"/>
      <c r="K20" s="12"/>
      <c r="L20" s="13"/>
      <c r="M20" s="14"/>
      <c r="N20" s="15"/>
      <c r="O20" s="15"/>
    </row>
    <row r="21" spans="1:15" x14ac:dyDescent="0.2">
      <c r="A21" s="4">
        <f t="shared" si="5"/>
        <v>0</v>
      </c>
      <c r="B21" s="4">
        <f t="shared" si="1"/>
        <v>1</v>
      </c>
      <c r="C21" s="5" t="str">
        <f>CHOOSE(WEEKDAY(E21),"Dimanche","Lundi","Mardi","Mercredi","Jeudi","Vend
 redi","Samedi")</f>
        <v>Samedi</v>
      </c>
      <c r="D21" s="6" t="s">
        <v>10</v>
      </c>
      <c r="E21" s="135">
        <f>DATE($K$2,5,1)</f>
        <v>44317</v>
      </c>
      <c r="F21" s="7">
        <f t="shared" si="7"/>
        <v>17</v>
      </c>
      <c r="G21" s="7">
        <f t="shared" si="6"/>
        <v>0</v>
      </c>
      <c r="I21" s="4"/>
      <c r="J21" s="4"/>
      <c r="K21" s="12"/>
      <c r="L21" s="13"/>
      <c r="M21" s="14"/>
      <c r="N21" s="15"/>
      <c r="O21" s="15"/>
    </row>
    <row r="22" spans="1:15" x14ac:dyDescent="0.2">
      <c r="A22" s="4">
        <f t="shared" si="5"/>
        <v>0</v>
      </c>
      <c r="B22" s="4">
        <f t="shared" si="1"/>
        <v>1</v>
      </c>
      <c r="C22" s="5" t="str">
        <f t="shared" ref="C22:C30" si="8">CHOOSE(WEEKDAY(E22),"Dimanche","Lundi","Mardi","Mercredi","Jeudi","Vendredi","Samedi")</f>
        <v>Samedi</v>
      </c>
      <c r="D22" s="8" t="s">
        <v>11</v>
      </c>
      <c r="E22" s="135">
        <f>DATE($K$2,5,8)</f>
        <v>44324</v>
      </c>
      <c r="F22" s="7">
        <f t="shared" si="7"/>
        <v>18</v>
      </c>
      <c r="G22" s="7">
        <f t="shared" si="6"/>
        <v>0</v>
      </c>
      <c r="I22" s="4"/>
      <c r="J22" s="4"/>
      <c r="K22" s="12"/>
      <c r="L22" s="13"/>
      <c r="M22" s="14"/>
      <c r="N22" s="15"/>
      <c r="O22" s="15"/>
    </row>
    <row r="23" spans="1:15" x14ac:dyDescent="0.2">
      <c r="A23" s="4">
        <f t="shared" si="5"/>
        <v>1</v>
      </c>
      <c r="B23" s="4">
        <f t="shared" si="1"/>
        <v>1</v>
      </c>
      <c r="C23" s="5" t="str">
        <f t="shared" si="8"/>
        <v>Jeudi</v>
      </c>
      <c r="D23" s="9" t="s">
        <v>12</v>
      </c>
      <c r="E23" s="135">
        <f>E19 + 39</f>
        <v>44329</v>
      </c>
      <c r="F23" s="7">
        <f t="shared" si="7"/>
        <v>19</v>
      </c>
      <c r="G23" s="7">
        <f t="shared" si="6"/>
        <v>1</v>
      </c>
      <c r="I23" s="4"/>
      <c r="J23" s="4"/>
      <c r="K23" s="12"/>
      <c r="L23" s="13"/>
      <c r="M23" s="14"/>
      <c r="N23" s="15"/>
      <c r="O23" s="15"/>
    </row>
    <row r="24" spans="1:15" x14ac:dyDescent="0.2">
      <c r="A24" s="4">
        <f t="shared" si="5"/>
        <v>1</v>
      </c>
      <c r="B24" s="4">
        <f t="shared" si="1"/>
        <v>0</v>
      </c>
      <c r="C24" s="5" t="str">
        <f t="shared" si="8"/>
        <v>Dimanche</v>
      </c>
      <c r="D24" s="9" t="s">
        <v>13</v>
      </c>
      <c r="E24" s="135">
        <f>E19 + 49</f>
        <v>44339</v>
      </c>
      <c r="F24" s="7">
        <f t="shared" si="7"/>
        <v>20</v>
      </c>
      <c r="G24" s="7">
        <f t="shared" si="6"/>
        <v>0</v>
      </c>
      <c r="I24" s="4"/>
      <c r="J24" s="4"/>
      <c r="K24" s="12"/>
      <c r="L24" s="13"/>
      <c r="M24" s="14"/>
      <c r="N24" s="15"/>
      <c r="O24" s="15"/>
    </row>
    <row r="25" spans="1:15" x14ac:dyDescent="0.2">
      <c r="A25" s="4">
        <f t="shared" si="5"/>
        <v>1</v>
      </c>
      <c r="B25" s="4">
        <f t="shared" si="1"/>
        <v>1</v>
      </c>
      <c r="C25" s="5" t="str">
        <f t="shared" si="8"/>
        <v>Lundi</v>
      </c>
      <c r="D25" s="8" t="s">
        <v>14</v>
      </c>
      <c r="E25" s="135">
        <f>E19 + 50</f>
        <v>44340</v>
      </c>
      <c r="F25" s="7">
        <f t="shared" si="7"/>
        <v>21</v>
      </c>
      <c r="G25" s="7">
        <f t="shared" si="6"/>
        <v>1</v>
      </c>
      <c r="I25" s="4"/>
      <c r="J25" s="4"/>
      <c r="K25" s="12"/>
      <c r="L25" s="13"/>
      <c r="M25" s="14"/>
      <c r="N25" s="15"/>
      <c r="O25" s="15"/>
    </row>
    <row r="26" spans="1:15" x14ac:dyDescent="0.2">
      <c r="A26" s="4">
        <f t="shared" si="5"/>
        <v>1</v>
      </c>
      <c r="B26" s="4">
        <f t="shared" si="1"/>
        <v>1</v>
      </c>
      <c r="C26" s="5" t="str">
        <f t="shared" si="8"/>
        <v>Mercredi</v>
      </c>
      <c r="D26" s="8" t="s">
        <v>15</v>
      </c>
      <c r="E26" s="135">
        <f>DATE($K$2,7,14)</f>
        <v>44391</v>
      </c>
      <c r="F26" s="7">
        <f t="shared" si="7"/>
        <v>28</v>
      </c>
      <c r="G26" s="7">
        <f t="shared" si="6"/>
        <v>1</v>
      </c>
      <c r="I26" s="4"/>
      <c r="J26" s="4"/>
      <c r="K26" s="12"/>
      <c r="L26" s="13"/>
      <c r="M26" s="14"/>
      <c r="N26" s="15"/>
      <c r="O26" s="15"/>
    </row>
    <row r="27" spans="1:15" x14ac:dyDescent="0.2">
      <c r="A27" s="4">
        <f t="shared" si="5"/>
        <v>1</v>
      </c>
      <c r="B27" s="4">
        <f t="shared" si="1"/>
        <v>0</v>
      </c>
      <c r="C27" s="5" t="str">
        <f t="shared" si="8"/>
        <v>Dimanche</v>
      </c>
      <c r="D27" s="9" t="s">
        <v>16</v>
      </c>
      <c r="E27" s="135">
        <f>DATE($K$2,8,15)</f>
        <v>44423</v>
      </c>
      <c r="F27" s="7">
        <f t="shared" si="7"/>
        <v>32</v>
      </c>
      <c r="G27" s="7">
        <f t="shared" si="6"/>
        <v>0</v>
      </c>
      <c r="I27" s="4"/>
      <c r="J27" s="4"/>
      <c r="K27" s="12"/>
      <c r="L27" s="13"/>
      <c r="M27" s="14"/>
      <c r="N27" s="15"/>
      <c r="O27" s="15"/>
    </row>
    <row r="28" spans="1:15" x14ac:dyDescent="0.2">
      <c r="A28" s="4">
        <f t="shared" si="5"/>
        <v>1</v>
      </c>
      <c r="B28" s="4">
        <f t="shared" si="1"/>
        <v>1</v>
      </c>
      <c r="C28" s="5" t="str">
        <f t="shared" si="8"/>
        <v>Lundi</v>
      </c>
      <c r="D28" s="9" t="s">
        <v>17</v>
      </c>
      <c r="E28" s="135">
        <f>DATE($K$2,11,1)</f>
        <v>44501</v>
      </c>
      <c r="F28" s="7">
        <f t="shared" si="7"/>
        <v>44</v>
      </c>
      <c r="G28" s="7">
        <f t="shared" si="6"/>
        <v>1</v>
      </c>
      <c r="I28" s="4"/>
      <c r="J28" s="4"/>
      <c r="K28" s="12"/>
      <c r="L28" s="13"/>
      <c r="M28" s="14"/>
      <c r="N28" s="15"/>
      <c r="O28" s="15"/>
    </row>
    <row r="29" spans="1:15" x14ac:dyDescent="0.2">
      <c r="A29" s="4">
        <f t="shared" si="5"/>
        <v>1</v>
      </c>
      <c r="B29" s="4">
        <f t="shared" si="1"/>
        <v>1</v>
      </c>
      <c r="C29" s="5" t="str">
        <f t="shared" si="8"/>
        <v>Jeudi</v>
      </c>
      <c r="D29" s="10" t="s">
        <v>18</v>
      </c>
      <c r="E29" s="135">
        <f>DATE($K$2,11,11)</f>
        <v>44511</v>
      </c>
      <c r="F29" s="7">
        <f t="shared" si="7"/>
        <v>45</v>
      </c>
      <c r="G29" s="7">
        <f t="shared" si="6"/>
        <v>1</v>
      </c>
      <c r="I29" s="4"/>
      <c r="J29" s="4"/>
      <c r="K29" s="12"/>
      <c r="L29" s="13"/>
      <c r="M29" s="14"/>
      <c r="N29" s="15"/>
      <c r="O29" s="15"/>
    </row>
    <row r="30" spans="1:15" x14ac:dyDescent="0.2">
      <c r="A30" s="4">
        <f t="shared" si="5"/>
        <v>0</v>
      </c>
      <c r="B30" s="4">
        <f t="shared" si="1"/>
        <v>1</v>
      </c>
      <c r="C30" s="11" t="str">
        <f t="shared" si="8"/>
        <v>Samedi</v>
      </c>
      <c r="D30" s="6" t="s">
        <v>19</v>
      </c>
      <c r="E30" s="136">
        <f>DATE($K$2,12,25)</f>
        <v>44555</v>
      </c>
      <c r="F30" s="7">
        <f t="shared" si="7"/>
        <v>51</v>
      </c>
      <c r="G30" s="7">
        <f t="shared" si="6"/>
        <v>0</v>
      </c>
      <c r="I30" s="4" t="s">
        <v>33</v>
      </c>
      <c r="J30" s="4">
        <f>SUM(G18:G30)</f>
        <v>7</v>
      </c>
      <c r="K30" s="12"/>
      <c r="L30" s="13"/>
      <c r="M30" s="14"/>
      <c r="N30" s="15"/>
      <c r="O30" s="15"/>
    </row>
    <row r="31" spans="1:15" x14ac:dyDescent="0.2">
      <c r="A31" s="4"/>
      <c r="B31" s="4"/>
      <c r="C31" s="12"/>
      <c r="D31" s="13"/>
      <c r="E31" s="14"/>
      <c r="F31" s="15"/>
      <c r="G31" s="15"/>
      <c r="I31" s="4"/>
      <c r="J31" s="4"/>
      <c r="K31" s="12"/>
      <c r="L31" s="13"/>
      <c r="M31" s="14"/>
      <c r="N31" s="15"/>
      <c r="O31" s="15"/>
    </row>
    <row r="32" spans="1:15" x14ac:dyDescent="0.2">
      <c r="A32" s="4"/>
      <c r="B32" s="4"/>
      <c r="C32" s="12"/>
      <c r="D32" s="13"/>
      <c r="E32" s="14"/>
      <c r="F32" s="15"/>
      <c r="G32" s="15"/>
      <c r="I32" s="4"/>
      <c r="J32" s="4"/>
      <c r="K32" s="12"/>
      <c r="L32" s="13"/>
      <c r="M32" s="14"/>
      <c r="N32" s="15"/>
      <c r="O32" s="15"/>
    </row>
    <row r="33" spans="1:15" x14ac:dyDescent="0.2">
      <c r="A33" s="4"/>
      <c r="B33" s="4"/>
      <c r="C33" s="12"/>
      <c r="D33" s="13"/>
      <c r="E33" s="14"/>
      <c r="F33" s="15"/>
      <c r="G33" s="15"/>
      <c r="I33" s="18"/>
      <c r="J33" s="18"/>
      <c r="K33" s="18"/>
      <c r="L33" s="23"/>
      <c r="M33" s="24"/>
      <c r="N33" s="25"/>
      <c r="O33" s="25"/>
    </row>
    <row r="34" spans="1:15" x14ac:dyDescent="0.2">
      <c r="A34" s="4"/>
      <c r="B34" s="4"/>
      <c r="C34" s="12"/>
      <c r="D34" s="23"/>
      <c r="E34" s="24"/>
      <c r="F34" s="25"/>
      <c r="G34" s="25"/>
      <c r="H34" s="30"/>
      <c r="I34" s="30"/>
      <c r="J34" s="26"/>
      <c r="K34" s="18"/>
      <c r="L34" s="23"/>
      <c r="M34" s="24"/>
      <c r="N34" s="25"/>
      <c r="O34" s="25"/>
    </row>
    <row r="35" spans="1:15" x14ac:dyDescent="0.2">
      <c r="A35" s="15"/>
      <c r="B35" s="15"/>
      <c r="C35" s="16"/>
      <c r="D35" s="27"/>
      <c r="E35" s="25"/>
      <c r="F35" s="25"/>
      <c r="G35" s="28"/>
      <c r="H35" s="30"/>
      <c r="I35" s="30"/>
      <c r="J35" s="26"/>
      <c r="K35" s="25"/>
      <c r="L35" s="27"/>
      <c r="M35" s="25"/>
      <c r="N35" s="25"/>
      <c r="O35" s="28"/>
    </row>
    <row r="36" spans="1:15" x14ac:dyDescent="0.2">
      <c r="A36" s="12"/>
      <c r="B36" s="12"/>
      <c r="C36" s="16"/>
      <c r="D36" s="25"/>
      <c r="E36" s="25"/>
      <c r="F36" s="25"/>
      <c r="G36" s="25"/>
      <c r="H36" s="30"/>
      <c r="I36" s="30"/>
      <c r="J36" s="26"/>
      <c r="K36" s="26"/>
      <c r="L36" s="26"/>
      <c r="M36" s="26"/>
      <c r="N36" s="26"/>
      <c r="O36" s="26"/>
    </row>
    <row r="37" spans="1:15" x14ac:dyDescent="0.2">
      <c r="A37" s="17"/>
      <c r="B37" s="18"/>
      <c r="C37" s="16"/>
      <c r="D37" s="16"/>
      <c r="E37" s="16"/>
      <c r="F37" s="16"/>
      <c r="G37" s="16"/>
    </row>
    <row r="38" spans="1:15" x14ac:dyDescent="0.2">
      <c r="A38" s="19"/>
      <c r="B38" s="19"/>
      <c r="C38" s="19"/>
      <c r="D38" s="19"/>
      <c r="E38" s="19"/>
      <c r="F38" s="19"/>
      <c r="G38" s="19"/>
    </row>
  </sheetData>
  <conditionalFormatting sqref="G5:G17 G31:G34 O5:O34">
    <cfRule type="cellIs" dxfId="1" priority="5" operator="greaterThan">
      <formula>0</formula>
    </cfRule>
  </conditionalFormatting>
  <conditionalFormatting sqref="G18:G30">
    <cfRule type="cellIs" dxfId="0" priority="1" operator="greater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Méthodo Interne</vt:lpstr>
      <vt:lpstr>TP Variable</vt:lpstr>
      <vt:lpstr>Jours Fériés</vt:lpstr>
      <vt:lpstr>Année</vt:lpstr>
    </vt:vector>
  </TitlesOfParts>
  <Company>CER82</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Jérôme MAURY</dc:creator>
  <cp:lastModifiedBy>X Cellus</cp:lastModifiedBy>
  <cp:lastPrinted>2019-09-06T11:46:01Z</cp:lastPrinted>
  <dcterms:created xsi:type="dcterms:W3CDTF">2002-01-15T13:32:10Z</dcterms:created>
  <dcterms:modified xsi:type="dcterms:W3CDTF">2020-11-19T18:05:12Z</dcterms:modified>
</cp:coreProperties>
</file>