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92E82D-253C-49F9-984E-2FA633752F44}" xr6:coauthVersionLast="47" xr6:coauthVersionMax="47" xr10:uidLastSave="{00000000-0000-0000-0000-000000000000}"/>
  <bookViews>
    <workbookView xWindow="-120" yWindow="-120" windowWidth="29040" windowHeight="15720" xr2:uid="{64122ABD-EA91-4AC3-896E-3F17961864E9}"/>
  </bookViews>
  <sheets>
    <sheet name="01 Gros Œuvre" sheetId="23" r:id="rId1"/>
    <sheet name="01_01" sheetId="79" r:id="rId2"/>
  </sheets>
  <definedNames>
    <definedName name="_xleta.IF" hidden="1" xlm="1">#NAME?</definedName>
    <definedName name="_xlpm.Denom" hidden="1" xlm="1">#NAME?</definedName>
    <definedName name="_xlpm.grp" hidden="1" xlm="1">#NAME?</definedName>
    <definedName name="_xlpm.H" hidden="1" xlm="1">#NAME?</definedName>
    <definedName name="_xlpm.Htxt" hidden="1" xlm="1">#NAME?</definedName>
    <definedName name="_xlpm.N" hidden="1" xlm="1">#NAME?</definedName>
    <definedName name="_xlpm.Nums" hidden="1" xlm="1">#NAME?</definedName>
    <definedName name="_xlpm.T" hidden="1" xlm="1">#NAME?</definedName>
    <definedName name="_xlpm.Teens" hidden="1" xlm="1">#NAME?</definedName>
    <definedName name="_xlpm.Tens" hidden="1" xlm="1">#NAME?</definedName>
    <definedName name="_xlpm.Ttxt" hidden="1" xlm="1">#NAME?</definedName>
    <definedName name="_xlpm.U" hidden="1" xlm="1">#NAME?</definedName>
    <definedName name="_xlpm.Utxt" hidden="1" xlm="1">#NAME?</definedName>
    <definedName name="_xlnm.Print_Area" localSheetId="1">'01_01'!$B$1:$M$54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3" i="79" l="1"/>
  <c r="N22" i="79"/>
  <c r="N21" i="79"/>
  <c r="N20" i="79"/>
  <c r="L21" i="79"/>
  <c r="E43" i="79" a="1"/>
  <c r="E42" i="79" a="1"/>
  <c r="P18" i="79"/>
  <c r="E44" i="79" a="1"/>
  <c r="E43" i="79" l="1"/>
  <c r="E42" i="79"/>
  <c r="E44" i="79"/>
  <c r="H32" i="23"/>
  <c r="S32" i="23" s="1"/>
  <c r="J32" i="23"/>
  <c r="K32" i="23"/>
  <c r="L32" i="23"/>
  <c r="Q32" i="23" s="1"/>
  <c r="P32" i="23"/>
  <c r="U32" i="23" s="1"/>
  <c r="R32" i="23"/>
  <c r="T32" i="23"/>
  <c r="F45" i="23"/>
  <c r="L31" i="23"/>
  <c r="L33" i="23"/>
  <c r="L34" i="23"/>
  <c r="L35" i="23"/>
  <c r="L36" i="23"/>
  <c r="L37" i="23"/>
  <c r="L38" i="23"/>
  <c r="L39" i="23"/>
  <c r="L40" i="23"/>
  <c r="L41" i="23"/>
  <c r="L42" i="23"/>
  <c r="L43" i="23"/>
  <c r="L44" i="23"/>
  <c r="L45" i="23"/>
  <c r="L30" i="23"/>
  <c r="H34" i="23"/>
  <c r="H35" i="23"/>
  <c r="H36" i="23"/>
  <c r="H33" i="23"/>
  <c r="H31" i="23"/>
  <c r="H30" i="23"/>
  <c r="L17" i="79"/>
  <c r="L16" i="79"/>
  <c r="L15" i="79"/>
  <c r="L23" i="79"/>
  <c r="L22" i="79"/>
  <c r="L20" i="79"/>
  <c r="I10" i="23" l="1"/>
  <c r="H9" i="23"/>
  <c r="H8" i="23"/>
  <c r="J8" i="23" l="1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22" i="23"/>
  <c r="J23" i="23"/>
  <c r="J24" i="23"/>
  <c r="J7" i="23"/>
  <c r="J37" i="23" l="1"/>
  <c r="J30" i="23" l="1"/>
  <c r="J35" i="23"/>
  <c r="J36" i="23"/>
  <c r="E41" i="79" l="1"/>
  <c r="J34" i="23"/>
  <c r="J33" i="23" l="1"/>
  <c r="J31" i="23" l="1"/>
  <c r="R30" i="23" l="1"/>
  <c r="I25" i="23"/>
  <c r="G25" i="23"/>
  <c r="Q31" i="23"/>
  <c r="S31" i="23"/>
  <c r="T31" i="23"/>
  <c r="Q30" i="23"/>
  <c r="T30" i="23"/>
  <c r="I46" i="23"/>
  <c r="H46" i="23"/>
  <c r="G46" i="23"/>
  <c r="S30" i="23"/>
  <c r="R31" i="23"/>
  <c r="T33" i="23"/>
  <c r="S33" i="23"/>
  <c r="R33" i="23"/>
  <c r="Q33" i="23"/>
  <c r="T34" i="23"/>
  <c r="S34" i="23"/>
  <c r="R34" i="23"/>
  <c r="Q34" i="23"/>
  <c r="T35" i="23"/>
  <c r="S35" i="23"/>
  <c r="R35" i="23"/>
  <c r="Q35" i="23"/>
  <c r="O36" i="23"/>
  <c r="T36" i="23" s="1"/>
  <c r="N36" i="23"/>
  <c r="S36" i="23" s="1"/>
  <c r="M36" i="23"/>
  <c r="R36" i="23" s="1"/>
  <c r="Q36" i="23"/>
  <c r="O37" i="23"/>
  <c r="T37" i="23" s="1"/>
  <c r="N37" i="23"/>
  <c r="S37" i="23" s="1"/>
  <c r="M37" i="23"/>
  <c r="R37" i="23" s="1"/>
  <c r="Q37" i="23"/>
  <c r="O38" i="23"/>
  <c r="N38" i="23"/>
  <c r="M38" i="23"/>
  <c r="O39" i="23"/>
  <c r="N39" i="23"/>
  <c r="M39" i="23"/>
  <c r="O40" i="23"/>
  <c r="N40" i="23"/>
  <c r="M40" i="23"/>
  <c r="O41" i="23"/>
  <c r="N41" i="23"/>
  <c r="M41" i="23"/>
  <c r="O42" i="23"/>
  <c r="N42" i="23"/>
  <c r="M42" i="23"/>
  <c r="O43" i="23"/>
  <c r="N43" i="23"/>
  <c r="M43" i="23"/>
  <c r="O44" i="23"/>
  <c r="N44" i="23"/>
  <c r="M44" i="23"/>
  <c r="O45" i="23"/>
  <c r="N45" i="23"/>
  <c r="M45" i="23"/>
  <c r="J25" i="23" l="1"/>
  <c r="S46" i="23"/>
  <c r="J46" i="23"/>
  <c r="R46" i="23"/>
  <c r="T46" i="23"/>
  <c r="Q46" i="23"/>
  <c r="P39" i="23"/>
  <c r="P40" i="23"/>
  <c r="P42" i="23"/>
  <c r="P37" i="23"/>
  <c r="U37" i="23" s="1"/>
  <c r="P33" i="23"/>
  <c r="U33" i="23" s="1"/>
  <c r="P36" i="23"/>
  <c r="U36" i="23" s="1"/>
  <c r="P44" i="23"/>
  <c r="P43" i="23"/>
  <c r="P34" i="23"/>
  <c r="U34" i="23" s="1"/>
  <c r="P41" i="23"/>
  <c r="M46" i="23"/>
  <c r="H25" i="23"/>
  <c r="N46" i="23"/>
  <c r="P35" i="23"/>
  <c r="U35" i="23" s="1"/>
  <c r="P38" i="23"/>
  <c r="O46" i="23"/>
  <c r="P31" i="23"/>
  <c r="U31" i="23" s="1"/>
  <c r="F25" i="23"/>
  <c r="P30" i="23"/>
  <c r="U30" i="23" s="1"/>
  <c r="K35" i="23" l="1"/>
  <c r="U46" i="23"/>
  <c r="K36" i="23"/>
  <c r="K37" i="23"/>
  <c r="K40" i="23"/>
  <c r="K30" i="23"/>
  <c r="K38" i="23"/>
  <c r="K31" i="23"/>
  <c r="K43" i="23"/>
  <c r="K42" i="23"/>
  <c r="K41" i="23"/>
  <c r="K44" i="23"/>
  <c r="K39" i="23"/>
  <c r="K34" i="23"/>
  <c r="K33" i="23"/>
  <c r="L49" i="79" l="1" a="1"/>
  <c r="L49" i="79" s="1"/>
  <c r="K45" i="23"/>
  <c r="K46" i="23" s="1"/>
  <c r="L46" i="23" l="1"/>
  <c r="F46" i="23"/>
  <c r="P45" i="23" l="1"/>
  <c r="P46" i="2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<sst xmlns="http://schemas.openxmlformats.org/spreadsheetml/2006/main" count="128" uniqueCount="87">
  <si>
    <t>Intitulé</t>
  </si>
  <si>
    <t>Lot</t>
  </si>
  <si>
    <t>Entreprise</t>
  </si>
  <si>
    <t>01</t>
  </si>
  <si>
    <t>N°</t>
  </si>
  <si>
    <t>Montant HT</t>
  </si>
  <si>
    <t>TOTAL TTC</t>
  </si>
  <si>
    <t>SITUATIONS</t>
  </si>
  <si>
    <t>Date signature</t>
  </si>
  <si>
    <t>Total</t>
  </si>
  <si>
    <t>Date</t>
  </si>
  <si>
    <t>Type</t>
  </si>
  <si>
    <t>MARCHES</t>
  </si>
  <si>
    <t>Numéro</t>
  </si>
  <si>
    <t>CERTIFICAT DE PAIEMENT N°</t>
  </si>
  <si>
    <t>LOT 01</t>
  </si>
  <si>
    <t>ENTREPRISE</t>
  </si>
  <si>
    <t>DATES</t>
  </si>
  <si>
    <t>Acompte TTC</t>
  </si>
  <si>
    <t>MARCHE</t>
  </si>
  <si>
    <t>Montant du marché</t>
  </si>
  <si>
    <t>HT</t>
  </si>
  <si>
    <t>TVA 20%</t>
  </si>
  <si>
    <t>TTC</t>
  </si>
  <si>
    <t>. Vu les avenants</t>
  </si>
  <si>
    <t>. Nouveau montant du marché :</t>
  </si>
  <si>
    <t>TRAVAUX</t>
  </si>
  <si>
    <t>des travaux exécutés s'élevant à : (HT)</t>
  </si>
  <si>
    <t>. Vu les acomptes antérieurs indiqués ci-contre ( € HT )</t>
  </si>
  <si>
    <t>. Remboursement Avance de démarrage ( € HT )</t>
  </si>
  <si>
    <t>TOTAL HT</t>
  </si>
  <si>
    <t>RESTE :</t>
  </si>
  <si>
    <t>TVA 5,5</t>
  </si>
  <si>
    <t>TVA 10</t>
  </si>
  <si>
    <t>TVA 20</t>
  </si>
  <si>
    <t>% marché HT</t>
  </si>
  <si>
    <t>RG HT</t>
  </si>
  <si>
    <t>RG 5,5</t>
  </si>
  <si>
    <t>RG 10</t>
  </si>
  <si>
    <t>RG 20</t>
  </si>
  <si>
    <t>RG TTC</t>
  </si>
  <si>
    <t>. Retenue de garantie ( € HT )</t>
  </si>
  <si>
    <t>Commentaire</t>
  </si>
  <si>
    <t>TVA 10%</t>
  </si>
  <si>
    <t>Gros Œuvre</t>
  </si>
  <si>
    <t>. Vu les condition du marché du 05/12/2024</t>
  </si>
  <si>
    <t>. Vu l'état de la situation provisoire N°01</t>
  </si>
  <si>
    <t>Deduc HT</t>
  </si>
  <si>
    <t>Deduc 5,5</t>
  </si>
  <si>
    <t>Deduc 10</t>
  </si>
  <si>
    <t>Deduc 20</t>
  </si>
  <si>
    <t>Deduc TTC</t>
  </si>
  <si>
    <t>Base</t>
  </si>
  <si>
    <t>Devis de base</t>
  </si>
  <si>
    <t>Av,01</t>
  </si>
  <si>
    <t>Av,02</t>
  </si>
  <si>
    <t>Moins value terrasse</t>
  </si>
  <si>
    <t>Nouvelle terrasse</t>
  </si>
  <si>
    <t>Façade atelier</t>
  </si>
  <si>
    <t>Av,03</t>
  </si>
  <si>
    <t>Av,04</t>
  </si>
  <si>
    <t>02</t>
  </si>
  <si>
    <t>03</t>
  </si>
  <si>
    <t>04</t>
  </si>
  <si>
    <t>05</t>
  </si>
  <si>
    <t>02b</t>
  </si>
  <si>
    <t>03b</t>
  </si>
  <si>
    <t>Rad</t>
  </si>
  <si>
    <t>Avance de démarage</t>
  </si>
  <si>
    <t>TVA</t>
  </si>
  <si>
    <t>. Avance de démarrage ( € HT )</t>
  </si>
  <si>
    <t>Situation</t>
  </si>
  <si>
    <t>xx</t>
  </si>
  <si>
    <t>Eq</t>
  </si>
  <si>
    <t>AD</t>
  </si>
  <si>
    <t>LOT01M</t>
  </si>
  <si>
    <t>LOT01S</t>
  </si>
  <si>
    <t>01_01</t>
  </si>
  <si>
    <t>NumLot</t>
  </si>
  <si>
    <t>NumCP</t>
  </si>
  <si>
    <t>TabM</t>
  </si>
  <si>
    <t>TabS</t>
  </si>
  <si>
    <t>FeuilleCP</t>
  </si>
  <si>
    <t>FeuilleCPpré</t>
  </si>
  <si>
    <t>NumCP pré</t>
  </si>
  <si>
    <t>00</t>
  </si>
  <si>
    <t>01_00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</si>
</sst>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MS Sans Serif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4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name val="Arial"/>
      <family val="2"/>
    </font>
    <font>
      <sz val="11"/>
      <color rgb="FF000000"/>
      <name val="Aptos Narrow"/>
      <family val="2"/>
    </font>
    <font>
      <sz val="10"/>
      <color indexed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128">
    <xf numFmtId="0" fontId="0" fillId="0" borderId="0" xfId="0"/>
    <xf numFmtId="49" fontId="0" fillId="0" borderId="0" xfId="0" applyNumberFormat="1"/>
    <xf numFmtId="9" fontId="0" fillId="0" borderId="0" xfId="1" applyFont="1"/>
    <xf numFmtId="9" fontId="0" fillId="0" borderId="0" xfId="0" applyNumberFormat="1"/>
    <xf numFmtId="0" fontId="5" fillId="0" borderId="8" xfId="3" applyFont="1" applyBorder="1"/>
    <xf numFmtId="0" fontId="5" fillId="0" borderId="9" xfId="3" applyFont="1" applyBorder="1"/>
    <xf numFmtId="0" fontId="5" fillId="0" borderId="10" xfId="3" applyFont="1" applyBorder="1"/>
    <xf numFmtId="0" fontId="5" fillId="0" borderId="0" xfId="3" applyFont="1"/>
    <xf numFmtId="0" fontId="5" fillId="0" borderId="4" xfId="3" applyFont="1" applyBorder="1"/>
    <xf numFmtId="0" fontId="5" fillId="0" borderId="5" xfId="3" applyFont="1" applyBorder="1"/>
    <xf numFmtId="0" fontId="7" fillId="0" borderId="0" xfId="3" applyFont="1"/>
    <xf numFmtId="49" fontId="7" fillId="0" borderId="0" xfId="3" applyNumberFormat="1" applyFont="1"/>
    <xf numFmtId="0" fontId="10" fillId="0" borderId="9" xfId="3" applyFont="1" applyBorder="1"/>
    <xf numFmtId="164" fontId="10" fillId="0" borderId="10" xfId="3" applyNumberFormat="1" applyFont="1" applyBorder="1"/>
    <xf numFmtId="0" fontId="10" fillId="0" borderId="4" xfId="3" applyFont="1" applyBorder="1"/>
    <xf numFmtId="0" fontId="10" fillId="0" borderId="0" xfId="3" applyFont="1"/>
    <xf numFmtId="0" fontId="6" fillId="0" borderId="0" xfId="3" applyFont="1" applyAlignment="1">
      <alignment horizontal="right"/>
    </xf>
    <xf numFmtId="164" fontId="10" fillId="0" borderId="5" xfId="3" applyNumberFormat="1" applyFont="1" applyBorder="1"/>
    <xf numFmtId="0" fontId="10" fillId="0" borderId="6" xfId="3" applyFont="1" applyBorder="1"/>
    <xf numFmtId="0" fontId="10" fillId="0" borderId="14" xfId="3" applyFont="1" applyBorder="1"/>
    <xf numFmtId="0" fontId="6" fillId="0" borderId="14" xfId="3" applyFont="1" applyBorder="1" applyAlignment="1">
      <alignment horizontal="right"/>
    </xf>
    <xf numFmtId="0" fontId="6" fillId="0" borderId="8" xfId="3" quotePrefix="1" applyFont="1" applyBorder="1" applyAlignment="1">
      <alignment horizontal="left" indent="2"/>
    </xf>
    <xf numFmtId="0" fontId="6" fillId="0" borderId="4" xfId="3" quotePrefix="1" applyFont="1" applyBorder="1" applyAlignment="1">
      <alignment horizontal="left" indent="2"/>
    </xf>
    <xf numFmtId="0" fontId="10" fillId="0" borderId="4" xfId="3" applyFont="1" applyBorder="1" applyAlignment="1">
      <alignment horizontal="left" indent="4"/>
    </xf>
    <xf numFmtId="164" fontId="6" fillId="0" borderId="5" xfId="3" applyNumberFormat="1" applyFont="1" applyBorder="1"/>
    <xf numFmtId="164" fontId="6" fillId="0" borderId="7" xfId="3" applyNumberFormat="1" applyFont="1" applyBorder="1"/>
    <xf numFmtId="164" fontId="6" fillId="0" borderId="0" xfId="3" applyNumberFormat="1" applyFont="1"/>
    <xf numFmtId="49" fontId="6" fillId="0" borderId="9" xfId="3" applyNumberFormat="1" applyFont="1" applyBorder="1"/>
    <xf numFmtId="164" fontId="6" fillId="0" borderId="10" xfId="3" applyNumberFormat="1" applyFont="1" applyBorder="1"/>
    <xf numFmtId="0" fontId="6" fillId="0" borderId="4" xfId="3" applyFont="1" applyBorder="1" applyAlignment="1">
      <alignment horizontal="left" vertical="top" indent="3"/>
    </xf>
    <xf numFmtId="164" fontId="7" fillId="0" borderId="5" xfId="3" applyNumberFormat="1" applyFont="1" applyBorder="1"/>
    <xf numFmtId="164" fontId="5" fillId="0" borderId="17" xfId="3" applyNumberFormat="1" applyFont="1" applyBorder="1"/>
    <xf numFmtId="0" fontId="7" fillId="0" borderId="4" xfId="3" applyFont="1" applyBorder="1" applyAlignment="1">
      <alignment horizontal="left" indent="2"/>
    </xf>
    <xf numFmtId="0" fontId="5" fillId="0" borderId="6" xfId="3" applyFont="1" applyBorder="1"/>
    <xf numFmtId="0" fontId="5" fillId="0" borderId="14" xfId="3" applyFont="1" applyBorder="1"/>
    <xf numFmtId="164" fontId="5" fillId="0" borderId="0" xfId="3" applyNumberFormat="1" applyFont="1"/>
    <xf numFmtId="164" fontId="5" fillId="0" borderId="0" xfId="3" applyNumberFormat="1" applyFont="1" applyAlignment="1">
      <alignment horizontal="right"/>
    </xf>
    <xf numFmtId="164" fontId="11" fillId="0" borderId="0" xfId="3" applyNumberFormat="1" applyFont="1" applyAlignment="1">
      <alignment horizontal="right"/>
    </xf>
    <xf numFmtId="14" fontId="0" fillId="0" borderId="0" xfId="0" applyNumberFormat="1"/>
    <xf numFmtId="164" fontId="0" fillId="0" borderId="0" xfId="0" applyNumberFormat="1"/>
    <xf numFmtId="164" fontId="0" fillId="0" borderId="0" xfId="2" applyNumberFormat="1" applyFont="1"/>
    <xf numFmtId="44" fontId="0" fillId="0" borderId="0" xfId="0" applyNumberFormat="1"/>
    <xf numFmtId="0" fontId="3" fillId="0" borderId="0" xfId="0" applyFont="1" applyAlignment="1">
      <alignment horizontal="right"/>
    </xf>
    <xf numFmtId="0" fontId="6" fillId="3" borderId="8" xfId="3" applyFont="1" applyFill="1" applyBorder="1" applyAlignment="1">
      <alignment horizontal="left" indent="2"/>
    </xf>
    <xf numFmtId="0" fontId="10" fillId="3" borderId="9" xfId="3" applyFont="1" applyFill="1" applyBorder="1"/>
    <xf numFmtId="0" fontId="6" fillId="3" borderId="9" xfId="3" applyFont="1" applyFill="1" applyBorder="1" applyAlignment="1">
      <alignment horizontal="right"/>
    </xf>
    <xf numFmtId="164" fontId="6" fillId="3" borderId="10" xfId="3" applyNumberFormat="1" applyFont="1" applyFill="1" applyBorder="1"/>
    <xf numFmtId="0" fontId="6" fillId="3" borderId="4" xfId="3" applyFont="1" applyFill="1" applyBorder="1" applyAlignment="1">
      <alignment horizontal="left" indent="2"/>
    </xf>
    <xf numFmtId="0" fontId="10" fillId="3" borderId="0" xfId="3" applyFont="1" applyFill="1"/>
    <xf numFmtId="0" fontId="6" fillId="3" borderId="0" xfId="3" applyFont="1" applyFill="1" applyAlignment="1">
      <alignment horizontal="right"/>
    </xf>
    <xf numFmtId="164" fontId="6" fillId="3" borderId="5" xfId="3" applyNumberFormat="1" applyFont="1" applyFill="1" applyBorder="1"/>
    <xf numFmtId="0" fontId="10" fillId="3" borderId="4" xfId="3" applyFont="1" applyFill="1" applyBorder="1"/>
    <xf numFmtId="0" fontId="10" fillId="3" borderId="6" xfId="3" applyFont="1" applyFill="1" applyBorder="1"/>
    <xf numFmtId="0" fontId="10" fillId="3" borderId="14" xfId="3" applyFont="1" applyFill="1" applyBorder="1"/>
    <xf numFmtId="0" fontId="6" fillId="3" borderId="14" xfId="3" applyFont="1" applyFill="1" applyBorder="1" applyAlignment="1">
      <alignment horizontal="right"/>
    </xf>
    <xf numFmtId="164" fontId="6" fillId="3" borderId="7" xfId="3" applyNumberFormat="1" applyFont="1" applyFill="1" applyBorder="1"/>
    <xf numFmtId="0" fontId="6" fillId="3" borderId="1" xfId="3" applyFont="1" applyFill="1" applyBorder="1" applyAlignment="1">
      <alignment horizontal="right"/>
    </xf>
    <xf numFmtId="164" fontId="6" fillId="3" borderId="3" xfId="3" applyNumberFormat="1" applyFont="1" applyFill="1" applyBorder="1"/>
    <xf numFmtId="0" fontId="7" fillId="0" borderId="3" xfId="3" applyFont="1" applyBorder="1" applyAlignment="1">
      <alignment horizontal="center"/>
    </xf>
    <xf numFmtId="49" fontId="8" fillId="0" borderId="3" xfId="3" applyNumberFormat="1" applyFont="1" applyBorder="1"/>
    <xf numFmtId="164" fontId="5" fillId="0" borderId="9" xfId="3" applyNumberFormat="1" applyFont="1" applyBorder="1"/>
    <xf numFmtId="165" fontId="5" fillId="0" borderId="0" xfId="3" applyNumberFormat="1" applyFont="1"/>
    <xf numFmtId="0" fontId="5" fillId="0" borderId="0" xfId="3" applyFont="1" applyAlignment="1">
      <alignment horizontal="right"/>
    </xf>
    <xf numFmtId="49" fontId="8" fillId="0" borderId="2" xfId="3" applyNumberFormat="1" applyFont="1" applyBorder="1"/>
    <xf numFmtId="0" fontId="7" fillId="0" borderId="17" xfId="3" applyFont="1" applyBorder="1" applyAlignment="1">
      <alignment horizontal="center"/>
    </xf>
    <xf numFmtId="164" fontId="13" fillId="0" borderId="0" xfId="2" applyNumberFormat="1" applyFont="1" applyBorder="1"/>
    <xf numFmtId="0" fontId="14" fillId="0" borderId="0" xfId="0" applyFont="1"/>
    <xf numFmtId="14" fontId="14" fillId="0" borderId="0" xfId="0" applyNumberFormat="1" applyFont="1"/>
    <xf numFmtId="164" fontId="14" fillId="0" borderId="0" xfId="2" applyNumberFormat="1" applyFont="1"/>
    <xf numFmtId="9" fontId="14" fillId="0" borderId="0" xfId="1" applyFont="1"/>
    <xf numFmtId="164" fontId="0" fillId="0" borderId="0" xfId="2" applyNumberFormat="1" applyFont="1" applyFill="1"/>
    <xf numFmtId="7" fontId="5" fillId="0" borderId="0" xfId="3" applyNumberFormat="1" applyFont="1"/>
    <xf numFmtId="49" fontId="5" fillId="0" borderId="9" xfId="3" applyNumberFormat="1" applyFont="1" applyBorder="1"/>
    <xf numFmtId="49" fontId="5" fillId="0" borderId="0" xfId="3" applyNumberFormat="1" applyFont="1"/>
    <xf numFmtId="49" fontId="7" fillId="0" borderId="17" xfId="3" applyNumberFormat="1" applyFont="1" applyBorder="1" applyAlignment="1">
      <alignment horizontal="center"/>
    </xf>
    <xf numFmtId="49" fontId="5" fillId="0" borderId="13" xfId="3" applyNumberFormat="1" applyFont="1" applyBorder="1"/>
    <xf numFmtId="49" fontId="5" fillId="0" borderId="16" xfId="3" applyNumberFormat="1" applyFont="1" applyBorder="1"/>
    <xf numFmtId="14" fontId="7" fillId="0" borderId="13" xfId="3" applyNumberFormat="1" applyFont="1" applyBorder="1"/>
    <xf numFmtId="164" fontId="7" fillId="0" borderId="13" xfId="3" applyNumberFormat="1" applyFont="1" applyBorder="1"/>
    <xf numFmtId="14" fontId="7" fillId="0" borderId="18" xfId="3" applyNumberFormat="1" applyFont="1" applyBorder="1"/>
    <xf numFmtId="164" fontId="7" fillId="0" borderId="18" xfId="3" applyNumberFormat="1" applyFont="1" applyBorder="1"/>
    <xf numFmtId="164" fontId="7" fillId="0" borderId="19" xfId="3" applyNumberFormat="1" applyFont="1" applyBorder="1"/>
    <xf numFmtId="49" fontId="5" fillId="0" borderId="2" xfId="3" applyNumberFormat="1" applyFont="1" applyBorder="1"/>
    <xf numFmtId="14" fontId="7" fillId="0" borderId="2" xfId="3" applyNumberFormat="1" applyFont="1" applyBorder="1"/>
    <xf numFmtId="164" fontId="7" fillId="0" borderId="2" xfId="3" applyNumberFormat="1" applyFont="1" applyBorder="1"/>
    <xf numFmtId="14" fontId="7" fillId="0" borderId="13" xfId="3" applyNumberFormat="1" applyFont="1" applyBorder="1" applyAlignment="1">
      <alignment horizontal="right"/>
    </xf>
    <xf numFmtId="14" fontId="7" fillId="0" borderId="19" xfId="3" applyNumberFormat="1" applyFont="1" applyBorder="1" applyAlignment="1">
      <alignment horizontal="right"/>
    </xf>
    <xf numFmtId="0" fontId="17" fillId="0" borderId="0" xfId="3" applyFont="1"/>
    <xf numFmtId="49" fontId="17" fillId="0" borderId="0" xfId="3" applyNumberFormat="1" applyFont="1"/>
    <xf numFmtId="0" fontId="17" fillId="0" borderId="0" xfId="3" quotePrefix="1" applyFont="1"/>
    <xf numFmtId="7" fontId="5" fillId="6" borderId="4" xfId="3" applyNumberFormat="1" applyFont="1" applyFill="1" applyBorder="1"/>
    <xf numFmtId="0" fontId="5" fillId="6" borderId="4" xfId="3" applyFont="1" applyFill="1" applyBorder="1"/>
    <xf numFmtId="0" fontId="5" fillId="6" borderId="5" xfId="3" applyFont="1" applyFill="1" applyBorder="1"/>
    <xf numFmtId="0" fontId="5" fillId="6" borderId="6" xfId="3" applyFont="1" applyFill="1" applyBorder="1"/>
    <xf numFmtId="0" fontId="5" fillId="6" borderId="8" xfId="3" applyFont="1" applyFill="1" applyBorder="1"/>
    <xf numFmtId="0" fontId="5" fillId="6" borderId="10" xfId="3" applyFont="1" applyFill="1" applyBorder="1"/>
    <xf numFmtId="164" fontId="10" fillId="7" borderId="5" xfId="3" applyNumberFormat="1" applyFont="1" applyFill="1" applyBorder="1"/>
    <xf numFmtId="0" fontId="5" fillId="8" borderId="0" xfId="3" applyFont="1" applyFill="1" applyAlignment="1">
      <alignment horizontal="left"/>
    </xf>
    <xf numFmtId="0" fontId="12" fillId="4" borderId="1" xfId="0" applyFont="1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5" borderId="2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5" fillId="0" borderId="14" xfId="3" applyFont="1" applyBorder="1" applyAlignment="1">
      <alignment horizontal="center"/>
    </xf>
    <xf numFmtId="165" fontId="5" fillId="0" borderId="0" xfId="3" applyNumberFormat="1" applyFont="1" applyAlignment="1">
      <alignment horizontal="left"/>
    </xf>
    <xf numFmtId="0" fontId="9" fillId="2" borderId="11" xfId="3" applyFont="1" applyFill="1" applyBorder="1" applyAlignment="1">
      <alignment horizontal="center" vertical="center" textRotation="255"/>
    </xf>
    <xf numFmtId="0" fontId="9" fillId="2" borderId="12" xfId="3" applyFont="1" applyFill="1" applyBorder="1" applyAlignment="1">
      <alignment horizontal="center" vertical="center" textRotation="255"/>
    </xf>
    <xf numFmtId="0" fontId="9" fillId="2" borderId="15" xfId="3" applyFont="1" applyFill="1" applyBorder="1" applyAlignment="1">
      <alignment horizontal="center" vertical="center" textRotation="255"/>
    </xf>
    <xf numFmtId="0" fontId="9" fillId="2" borderId="4" xfId="3" applyFont="1" applyFill="1" applyBorder="1" applyAlignment="1">
      <alignment horizontal="center" vertical="center" textRotation="255"/>
    </xf>
    <xf numFmtId="0" fontId="6" fillId="0" borderId="8" xfId="3" quotePrefix="1" applyFont="1" applyBorder="1" applyAlignment="1">
      <alignment horizontal="left" vertical="top" wrapText="1" indent="2"/>
    </xf>
    <xf numFmtId="0" fontId="6" fillId="0" borderId="9" xfId="3" quotePrefix="1" applyFont="1" applyBorder="1" applyAlignment="1">
      <alignment horizontal="left" vertical="top" wrapText="1" indent="2"/>
    </xf>
    <xf numFmtId="0" fontId="7" fillId="0" borderId="1" xfId="3" applyFont="1" applyBorder="1" applyAlignment="1">
      <alignment horizontal="center"/>
    </xf>
    <xf numFmtId="0" fontId="7" fillId="0" borderId="3" xfId="3" applyFont="1" applyBorder="1" applyAlignment="1">
      <alignment horizontal="center"/>
    </xf>
    <xf numFmtId="0" fontId="6" fillId="0" borderId="1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0" xfId="3" quotePrefix="1" applyFont="1" applyAlignment="1">
      <alignment horizontal="center" vertical="top" wrapText="1"/>
    </xf>
    <xf numFmtId="0" fontId="7" fillId="0" borderId="0" xfId="3" applyFont="1" applyAlignment="1">
      <alignment horizontal="left" vertical="center" wrapText="1"/>
    </xf>
    <xf numFmtId="0" fontId="15" fillId="0" borderId="0" xfId="3" applyFont="1" applyAlignment="1">
      <alignment horizontal="center"/>
    </xf>
    <xf numFmtId="0" fontId="8" fillId="0" borderId="1" xfId="3" applyFont="1" applyBorder="1" applyAlignment="1">
      <alignment horizontal="right"/>
    </xf>
    <xf numFmtId="0" fontId="8" fillId="0" borderId="2" xfId="3" applyFont="1" applyBorder="1" applyAlignment="1">
      <alignment horizontal="right"/>
    </xf>
    <xf numFmtId="49" fontId="7" fillId="0" borderId="11" xfId="3" applyNumberFormat="1" applyFont="1" applyBorder="1" applyAlignment="1">
      <alignment horizontal="center"/>
    </xf>
    <xf numFmtId="49" fontId="7" fillId="0" borderId="12" xfId="3" applyNumberFormat="1" applyFont="1" applyBorder="1" applyAlignment="1">
      <alignment horizontal="center"/>
    </xf>
    <xf numFmtId="49" fontId="7" fillId="0" borderId="15" xfId="3" applyNumberFormat="1" applyFont="1" applyBorder="1" applyAlignment="1">
      <alignment horizontal="center"/>
    </xf>
    <xf numFmtId="49" fontId="5" fillId="6" borderId="5" xfId="3" applyNumberFormat="1" applyFont="1" applyFill="1" applyBorder="1"/>
    <xf numFmtId="0" fontId="5" fillId="6" borderId="5" xfId="3" quotePrefix="1" applyFont="1" applyFill="1" applyBorder="1"/>
    <xf numFmtId="0" fontId="5" fillId="6" borderId="7" xfId="3" applyFont="1" applyFill="1" applyBorder="1"/>
  </cellXfs>
  <cellStyles count="4">
    <cellStyle name="Monétaire" xfId="2" builtinId="4"/>
    <cellStyle name="Normal" xfId="0" builtinId="0"/>
    <cellStyle name="Normal 2" xfId="3" xr:uid="{362635BD-9840-4AF9-94A5-59F3842C1B23}"/>
    <cellStyle name="Pourcentage" xfId="1" builtinId="5"/>
  </cellStyles>
  <dxfs count="49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34" formatCode="_-* #,##0.00\ &quot;€&quot;_-;\-* #,##0.00\ &quot;€&quot;_-;_-* &quot;-&quot;??\ &quot;€&quot;_-;_-@_-"/>
    </dxf>
    <dxf>
      <numFmt numFmtId="164" formatCode="#,##0.00\ &quot;€&quot;"/>
    </dxf>
    <dxf>
      <numFmt numFmtId="13" formatCode="0%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30" formatCode="@"/>
    </dxf>
    <dxf>
      <numFmt numFmtId="13" formatCode="0%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64" formatCode="#,##0.00\ &quot;€&quot;"/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fill>
        <patternFill>
          <bgColor theme="9" tint="0.39994506668294322"/>
        </patternFill>
      </fill>
    </dxf>
  </dxfs>
  <tableStyles count="1" defaultTableStyle="TableStyleMedium2" defaultPivotStyle="PivotStyleLight16">
    <tableStyle name="Style de tableau 1" pivot="0" count="1" xr9:uid="{1C5E7485-8BA2-439D-9590-D4293433E8DC}">
      <tableStyleElement type="firstColumn" dxfId="4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676275</xdr:colOff>
          <xdr:row>1</xdr:row>
          <xdr:rowOff>447675</xdr:rowOff>
        </xdr:from>
        <xdr:to>
          <xdr:col>14</xdr:col>
          <xdr:colOff>742950</xdr:colOff>
          <xdr:row>2</xdr:row>
          <xdr:rowOff>28575</xdr:rowOff>
        </xdr:to>
        <xdr:sp macro="" textlink="">
          <xdr:nvSpPr>
            <xdr:cNvPr id="89092" name="Button 4" hidden="1">
              <a:extLst>
                <a:ext uri="{63B3BB69-23CF-44E3-9099-C40C66FF867C}">
                  <a14:compatExt spid="_x0000_s89092"/>
                </a:ext>
                <a:ext uri="{FF2B5EF4-FFF2-40B4-BE49-F238E27FC236}">
                  <a16:creationId xmlns:a16="http://schemas.microsoft.com/office/drawing/2014/main" id="{00000000-0008-0000-0100-0000045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Generer CP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438150</xdr:colOff>
          <xdr:row>1</xdr:row>
          <xdr:rowOff>285750</xdr:rowOff>
        </xdr:from>
        <xdr:to>
          <xdr:col>16</xdr:col>
          <xdr:colOff>1552575</xdr:colOff>
          <xdr:row>1</xdr:row>
          <xdr:rowOff>828675</xdr:rowOff>
        </xdr:to>
        <xdr:sp macro="" textlink="">
          <xdr:nvSpPr>
            <xdr:cNvPr id="89093" name="Button 5" hidden="1">
              <a:extLst>
                <a:ext uri="{63B3BB69-23CF-44E3-9099-C40C66FF867C}">
                  <a14:compatExt spid="_x0000_s89093"/>
                </a:ext>
                <a:ext uri="{FF2B5EF4-FFF2-40B4-BE49-F238E27FC236}">
                  <a16:creationId xmlns:a16="http://schemas.microsoft.com/office/drawing/2014/main" id="{00000000-0008-0000-0100-0000055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Nouveau CP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311045-A301-421B-B87E-7314F72383E0}" name="LOT01M" displayName="LOT01M" ref="C6:K25" totalsRowCount="1" dataDxfId="47">
  <autoFilter ref="C6:K24" xr:uid="{C51F3BB2-5B14-44DB-B3FC-DB21CA0BE71D}"/>
  <sortState xmlns:xlrd2="http://schemas.microsoft.com/office/spreadsheetml/2017/richdata2" ref="C7:K24">
    <sortCondition ref="D6:D24"/>
  </sortState>
  <tableColumns count="9">
    <tableColumn id="6" xr3:uid="{3B46C7C3-4E72-4540-9746-1D4609807B5A}" name="Type" dataDxfId="46"/>
    <tableColumn id="1" xr3:uid="{964E4BCB-3742-45C8-A190-CB82C6BDAA09}" name="Intitulé" totalsRowLabel="Total" dataDxfId="45"/>
    <tableColumn id="2" xr3:uid="{B16B5CD1-138D-4D5E-A5C1-86F2748C38BB}" name="Date signature" dataDxfId="44"/>
    <tableColumn id="3" xr3:uid="{C7B84CC4-A779-4D1C-8BA6-A31F977FB535}" name="Montant HT" totalsRowFunction="sum" dataDxfId="43" totalsRowDxfId="42" dataCellStyle="Monétaire"/>
    <tableColumn id="4" xr3:uid="{705BA165-1C59-4846-B5BF-A94EC9DAA3BF}" name="TVA 5,5" totalsRowFunction="sum" dataDxfId="41" totalsRowDxfId="40" dataCellStyle="Monétaire"/>
    <tableColumn id="5" xr3:uid="{976A60E9-179C-4DFA-9E71-31768395E783}" name="TVA 10" totalsRowFunction="sum" dataDxfId="39" totalsRowDxfId="38" dataCellStyle="Monétaire"/>
    <tableColumn id="7" xr3:uid="{2AA74080-4CE3-45ED-B058-A4780729F960}" name="TVA 20" totalsRowFunction="sum" dataDxfId="37" totalsRowDxfId="36" dataCellStyle="Monétaire"/>
    <tableColumn id="8" xr3:uid="{3C15B729-ED86-44A1-9E6B-036D5F0B03D8}" name="TTC" totalsRowFunction="sum" dataDxfId="35" totalsRowDxfId="34" dataCellStyle="Monétaire">
      <calculatedColumnFormula>LOT01M[[#This Row],[TVA 20]]+LOT01M[[#This Row],[TVA 10]]+LOT01M[[#This Row],[TVA 5,5]]+LOT01M[[#This Row],[Montant HT]]</calculatedColumnFormula>
    </tableColumn>
    <tableColumn id="9" xr3:uid="{1057468D-69EB-446F-BEA1-0A72F19D0F5D}" name="Commentaire" dataDxfId="33" totalsRowDxfId="32" dataCellStyle="Pourcentag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53B44E-F473-4223-BFF0-2FFB4619F32C}" name="LOT01S" displayName="LOT01S" ref="B29:U46" totalsRowCount="1">
  <autoFilter ref="B29:U45" xr:uid="{CFF3313F-FCB8-42EA-973E-4DAFA1902A2D}"/>
  <sortState xmlns:xlrd2="http://schemas.microsoft.com/office/spreadsheetml/2017/richdata2" ref="B30:H45">
    <sortCondition ref="B29:B45"/>
  </sortState>
  <tableColumns count="20">
    <tableColumn id="8" xr3:uid="{DA91A106-A293-4F5B-9B4A-BD507D1809F7}" name="Numéro"/>
    <tableColumn id="1" xr3:uid="{886CAD51-F96E-4807-BA7F-A21349FEC211}" name="Type" totalsRowLabel="Total" dataDxfId="31"/>
    <tableColumn id="2" xr3:uid="{887054D5-4F0C-4C9B-82FD-9DA36737109D}" name="Intitulé"/>
    <tableColumn id="3" xr3:uid="{2FC8EDD3-24A8-4783-BCE2-0374B0310A8D}" name="Date"/>
    <tableColumn id="4" xr3:uid="{C4CE3846-B693-44EA-BB9B-F71D225E8500}" name="Montant HT" totalsRowFunction="sum" dataDxfId="30" totalsRowDxfId="29" dataCellStyle="Monétaire"/>
    <tableColumn id="5" xr3:uid="{6ACF1C8C-56A9-4C8B-BEA2-B2972E6F044D}" name="TVA 5,5" totalsRowFunction="sum" dataDxfId="28" totalsRowDxfId="27" dataCellStyle="Monétaire"/>
    <tableColumn id="6" xr3:uid="{264E1F3E-EA7E-4F63-B047-54DD753949F0}" name="TVA 10" totalsRowFunction="sum" dataDxfId="26" totalsRowDxfId="25" dataCellStyle="Monétaire"/>
    <tableColumn id="7" xr3:uid="{D7D8F467-34BC-4B02-ADF7-EC659BA7FEDB}" name="TVA 20" totalsRowFunction="sum" dataDxfId="24" totalsRowDxfId="23" dataCellStyle="Monétaire"/>
    <tableColumn id="9" xr3:uid="{F7293D89-55CE-4D3F-B763-CA1618FFAD69}" name="TTC" totalsRowFunction="sum" dataDxfId="22" totalsRowDxfId="21" dataCellStyle="Monétaire"/>
    <tableColumn id="10" xr3:uid="{115A4B28-2ED7-4C7E-929E-6FEA229985A3}" name="% marché HT" totalsRowFunction="sum" totalsRowDxfId="20" dataCellStyle="Pourcentage">
      <calculatedColumnFormula>IF(LOT01M[[#Totals],[Montant HT]]=0,0,LOT01S[[#This Row],[Montant HT]]/LOT01M[[#Totals],[Montant HT]])</calculatedColumnFormula>
    </tableColumn>
    <tableColumn id="11" xr3:uid="{76BF37B0-3041-4BE2-92E2-4D4BC4620013}" name="RG HT" totalsRowFunction="sum" dataDxfId="19" totalsRowDxfId="18" dataCellStyle="Monétaire">
      <calculatedColumnFormula>IF(LOT01S[[#This Row],[Type]]="Situation",0.05*LOT01S[[#This Row],[Montant HT]],0)</calculatedColumnFormula>
    </tableColumn>
    <tableColumn id="12" xr3:uid="{EF7B5F22-B8A0-4A8D-8C85-94CAB7505555}" name="RG 5,5" totalsRowFunction="sum" dataDxfId="17" totalsRowDxfId="16" dataCellStyle="Monétaire">
      <calculatedColumnFormula>0.05*LOT01S[[#This Row],[TVA 5,5]]</calculatedColumnFormula>
    </tableColumn>
    <tableColumn id="13" xr3:uid="{DAA1C683-CDB8-4BC8-8361-10109FF9BABF}" name="RG 10" totalsRowFunction="sum" dataDxfId="15" totalsRowDxfId="14" dataCellStyle="Monétaire">
      <calculatedColumnFormula>0.05*LOT01S[[#This Row],[TVA 10]]</calculatedColumnFormula>
    </tableColumn>
    <tableColumn id="14" xr3:uid="{9D1C6952-5766-433D-A95B-7A8056DA8412}" name="RG 20" totalsRowFunction="sum" dataDxfId="13" totalsRowDxfId="12" dataCellStyle="Monétaire">
      <calculatedColumnFormula>0.05*LOT01S[[#This Row],[TVA 20]]</calculatedColumnFormula>
    </tableColumn>
    <tableColumn id="15" xr3:uid="{E084CE6F-0B39-4381-9606-070D6118554B}" name="RG TTC" totalsRowFunction="sum" dataDxfId="11" totalsRowDxfId="10" dataCellStyle="Monétaire">
      <calculatedColumnFormula>LOT01S[[#This Row],[RG 20]]+LOT01S[[#This Row],[RG 10]]+LOT01S[[#This Row],[RG 5,5]]+LOT01S[[#This Row],[RG HT]]</calculatedColumnFormula>
    </tableColumn>
    <tableColumn id="16" xr3:uid="{79F2DF37-7350-4383-9D35-7A730821BFC7}" name="Deduc HT" totalsRowFunction="sum" dataDxfId="9" totalsRowDxfId="8" dataCellStyle="Monétaire"/>
    <tableColumn id="17" xr3:uid="{E17BA31F-FD82-4667-AFB9-C6BF89030801}" name="Deduc 5,5" totalsRowFunction="sum" dataDxfId="7" totalsRowDxfId="6" dataCellStyle="Monétaire"/>
    <tableColumn id="18" xr3:uid="{DE49E146-A525-4370-A4DB-24928AEA97B8}" name="Deduc 10" totalsRowFunction="sum" dataDxfId="5" totalsRowDxfId="4" dataCellStyle="Monétaire"/>
    <tableColumn id="19" xr3:uid="{F6C6E1F1-1CDB-435C-910E-D7B619A5AEE8}" name="Deduc 20" totalsRowFunction="sum" dataDxfId="3" totalsRowDxfId="2" dataCellStyle="Monétaire"/>
    <tableColumn id="20" xr3:uid="{50363EAB-A7EA-4AA3-9D18-556152402B70}" name="Deduc TTC" totalsRowFunction="sum" dataDxfId="1" totalsRowDxfId="0" dataCellStyle="Monétair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B892-E552-49F6-A136-A528FFCEF4FE}">
  <sheetPr codeName="Feuil22"/>
  <dimension ref="A1:U46"/>
  <sheetViews>
    <sheetView showZeros="0" tabSelected="1" zoomScale="85" zoomScaleNormal="85" workbookViewId="0">
      <selection activeCell="B3" sqref="B3"/>
    </sheetView>
  </sheetViews>
  <sheetFormatPr baseColWidth="10" defaultRowHeight="15" x14ac:dyDescent="0.25"/>
  <cols>
    <col min="4" max="4" width="62.5703125" customWidth="1"/>
    <col min="5" max="5" width="17.140625" customWidth="1"/>
    <col min="6" max="6" width="21.5703125" style="40" customWidth="1"/>
    <col min="7" max="7" width="14.42578125" style="40" customWidth="1"/>
    <col min="8" max="8" width="14.5703125" style="40" customWidth="1"/>
    <col min="9" max="9" width="11.5703125" style="40" bestFit="1" customWidth="1"/>
    <col min="10" max="10" width="11.85546875" style="40" bestFit="1" customWidth="1"/>
    <col min="11" max="11" width="27.85546875" style="2" customWidth="1"/>
    <col min="12" max="12" width="12.7109375" style="2" customWidth="1"/>
    <col min="13" max="13" width="12.5703125" customWidth="1"/>
    <col min="14" max="14" width="14.42578125" customWidth="1"/>
  </cols>
  <sheetData>
    <row r="1" spans="1:13" x14ac:dyDescent="0.25">
      <c r="A1" s="42" t="s">
        <v>1</v>
      </c>
      <c r="B1" s="1" t="s">
        <v>3</v>
      </c>
    </row>
    <row r="2" spans="1:13" x14ac:dyDescent="0.25">
      <c r="A2" s="42" t="s">
        <v>0</v>
      </c>
      <c r="B2" s="1" t="s">
        <v>44</v>
      </c>
    </row>
    <row r="3" spans="1:13" x14ac:dyDescent="0.25">
      <c r="A3" s="42" t="s">
        <v>2</v>
      </c>
      <c r="B3" s="1"/>
    </row>
    <row r="4" spans="1:13" ht="15.75" thickBot="1" x14ac:dyDescent="0.3"/>
    <row r="5" spans="1:13" ht="19.5" thickBot="1" x14ac:dyDescent="0.35">
      <c r="C5" s="101" t="s">
        <v>12</v>
      </c>
      <c r="D5" s="102"/>
      <c r="E5" s="102"/>
      <c r="F5" s="102"/>
      <c r="G5" s="102"/>
      <c r="H5" s="102"/>
      <c r="I5" s="102"/>
      <c r="J5" s="102"/>
      <c r="K5" s="103"/>
    </row>
    <row r="6" spans="1:13" x14ac:dyDescent="0.25">
      <c r="C6" t="s">
        <v>11</v>
      </c>
      <c r="D6" t="s">
        <v>0</v>
      </c>
      <c r="E6" t="s">
        <v>8</v>
      </c>
      <c r="F6" s="40" t="s">
        <v>5</v>
      </c>
      <c r="G6" s="40" t="s">
        <v>32</v>
      </c>
      <c r="H6" s="40" t="s">
        <v>33</v>
      </c>
      <c r="I6" s="40" t="s">
        <v>34</v>
      </c>
      <c r="J6" s="40" t="s">
        <v>23</v>
      </c>
      <c r="K6" s="2" t="s">
        <v>42</v>
      </c>
    </row>
    <row r="7" spans="1:13" x14ac:dyDescent="0.25">
      <c r="C7" s="66" t="s">
        <v>52</v>
      </c>
      <c r="D7" s="66" t="s">
        <v>53</v>
      </c>
      <c r="E7" s="67"/>
      <c r="F7" s="68">
        <v>100000</v>
      </c>
      <c r="G7" s="68"/>
      <c r="H7" s="68">
        <v>5000</v>
      </c>
      <c r="I7" s="68">
        <v>10000</v>
      </c>
      <c r="J7" s="68">
        <f>LOT01M[[#This Row],[TVA 20]]+LOT01M[[#This Row],[TVA 10]]+LOT01M[[#This Row],[TVA 5,5]]+LOT01M[[#This Row],[Montant HT]]</f>
        <v>115000</v>
      </c>
      <c r="K7" s="69"/>
    </row>
    <row r="8" spans="1:13" x14ac:dyDescent="0.25">
      <c r="C8" s="66" t="s">
        <v>54</v>
      </c>
      <c r="D8" s="66" t="s">
        <v>56</v>
      </c>
      <c r="E8" s="67"/>
      <c r="F8" s="68">
        <v>-15000</v>
      </c>
      <c r="G8" s="68"/>
      <c r="H8" s="68">
        <f>0.1*LOT01M[[#This Row],[Montant HT]]</f>
        <v>-1500</v>
      </c>
      <c r="I8" s="68"/>
      <c r="J8" s="68">
        <f>LOT01M[[#This Row],[TVA 20]]+LOT01M[[#This Row],[TVA 10]]+LOT01M[[#This Row],[TVA 5,5]]+LOT01M[[#This Row],[Montant HT]]</f>
        <v>-16500</v>
      </c>
      <c r="K8" s="69"/>
    </row>
    <row r="9" spans="1:13" x14ac:dyDescent="0.25">
      <c r="C9" s="66" t="s">
        <v>54</v>
      </c>
      <c r="D9" s="66" t="s">
        <v>57</v>
      </c>
      <c r="E9" s="67"/>
      <c r="F9" s="68">
        <v>10000</v>
      </c>
      <c r="G9" s="68"/>
      <c r="H9" s="68">
        <f>0.1*LOT01M[[#This Row],[Montant HT]]</f>
        <v>1000</v>
      </c>
      <c r="I9" s="68"/>
      <c r="J9" s="68">
        <f>LOT01M[[#This Row],[TVA 20]]+LOT01M[[#This Row],[TVA 10]]+LOT01M[[#This Row],[TVA 5,5]]+LOT01M[[#This Row],[Montant HT]]</f>
        <v>11000</v>
      </c>
      <c r="K9" s="69"/>
    </row>
    <row r="10" spans="1:13" x14ac:dyDescent="0.25">
      <c r="C10" s="66" t="s">
        <v>55</v>
      </c>
      <c r="D10" s="66" t="s">
        <v>58</v>
      </c>
      <c r="E10" s="67"/>
      <c r="F10" s="68">
        <v>20000</v>
      </c>
      <c r="G10" s="68"/>
      <c r="H10" s="68"/>
      <c r="I10" s="68">
        <f>0.2*LOT01M[[#This Row],[Montant HT]]</f>
        <v>4000</v>
      </c>
      <c r="J10" s="68">
        <f>LOT01M[[#This Row],[TVA 20]]+LOT01M[[#This Row],[TVA 10]]+LOT01M[[#This Row],[TVA 5,5]]+LOT01M[[#This Row],[Montant HT]]</f>
        <v>24000</v>
      </c>
      <c r="K10" s="69"/>
    </row>
    <row r="11" spans="1:13" x14ac:dyDescent="0.25">
      <c r="C11" s="66" t="s">
        <v>59</v>
      </c>
      <c r="D11" s="66"/>
      <c r="E11" s="67"/>
      <c r="F11" s="68">
        <v>3000</v>
      </c>
      <c r="G11" s="68"/>
      <c r="H11" s="68"/>
      <c r="I11" s="68"/>
      <c r="J11" s="68">
        <f>LOT01M[[#This Row],[TVA 20]]+LOT01M[[#This Row],[TVA 10]]+LOT01M[[#This Row],[TVA 5,5]]+LOT01M[[#This Row],[Montant HT]]</f>
        <v>3000</v>
      </c>
      <c r="K11" s="69"/>
    </row>
    <row r="12" spans="1:13" x14ac:dyDescent="0.25">
      <c r="C12" s="66" t="s">
        <v>60</v>
      </c>
      <c r="D12" s="66"/>
      <c r="E12" s="67"/>
      <c r="F12" s="68">
        <v>-2000</v>
      </c>
      <c r="G12" s="68"/>
      <c r="H12" s="68"/>
      <c r="I12" s="68"/>
      <c r="J12" s="68">
        <f>LOT01M[[#This Row],[TVA 20]]+LOT01M[[#This Row],[TVA 10]]+LOT01M[[#This Row],[TVA 5,5]]+LOT01M[[#This Row],[Montant HT]]</f>
        <v>-2000</v>
      </c>
      <c r="K12" s="69"/>
    </row>
    <row r="13" spans="1:13" x14ac:dyDescent="0.25">
      <c r="C13" s="66" t="s">
        <v>60</v>
      </c>
      <c r="D13" s="66"/>
      <c r="E13" s="67"/>
      <c r="F13" s="68">
        <v>1200</v>
      </c>
      <c r="G13" s="68"/>
      <c r="H13" s="68"/>
      <c r="I13" s="68"/>
      <c r="J13" s="68">
        <f>LOT01M[[#This Row],[TVA 20]]+LOT01M[[#This Row],[TVA 10]]+LOT01M[[#This Row],[TVA 5,5]]+LOT01M[[#This Row],[Montant HT]]</f>
        <v>1200</v>
      </c>
      <c r="K13" s="69"/>
    </row>
    <row r="14" spans="1:13" x14ac:dyDescent="0.25">
      <c r="C14" s="66" t="s">
        <v>60</v>
      </c>
      <c r="D14" s="66"/>
      <c r="E14" s="67"/>
      <c r="F14" s="68">
        <v>1550</v>
      </c>
      <c r="G14" s="68"/>
      <c r="H14" s="68"/>
      <c r="I14" s="68"/>
      <c r="J14" s="68">
        <f>LOT01M[[#This Row],[TVA 20]]+LOT01M[[#This Row],[TVA 10]]+LOT01M[[#This Row],[TVA 5,5]]+LOT01M[[#This Row],[Montant HT]]</f>
        <v>1550</v>
      </c>
      <c r="K14" s="69"/>
      <c r="M14" s="65"/>
    </row>
    <row r="15" spans="1:13" x14ac:dyDescent="0.25">
      <c r="C15" s="66"/>
      <c r="D15" s="66"/>
      <c r="E15" s="67"/>
      <c r="F15" s="68"/>
      <c r="G15" s="68"/>
      <c r="H15" s="68"/>
      <c r="I15" s="68"/>
      <c r="J15" s="68">
        <f>LOT01M[[#This Row],[TVA 20]]+LOT01M[[#This Row],[TVA 10]]+LOT01M[[#This Row],[TVA 5,5]]+LOT01M[[#This Row],[Montant HT]]</f>
        <v>0</v>
      </c>
      <c r="K15" s="69"/>
    </row>
    <row r="16" spans="1:13" x14ac:dyDescent="0.25">
      <c r="C16" s="66"/>
      <c r="D16" s="66"/>
      <c r="E16" s="67"/>
      <c r="F16" s="68"/>
      <c r="G16" s="68"/>
      <c r="H16" s="68"/>
      <c r="I16" s="68"/>
      <c r="J16" s="68">
        <f>LOT01M[[#This Row],[TVA 20]]+LOT01M[[#This Row],[TVA 10]]+LOT01M[[#This Row],[TVA 5,5]]+LOT01M[[#This Row],[Montant HT]]</f>
        <v>0</v>
      </c>
      <c r="K16" s="69"/>
    </row>
    <row r="17" spans="2:21" x14ac:dyDescent="0.25">
      <c r="C17" s="66"/>
      <c r="D17" s="66"/>
      <c r="E17" s="67"/>
      <c r="F17" s="68"/>
      <c r="G17" s="68"/>
      <c r="H17" s="68"/>
      <c r="I17" s="68"/>
      <c r="J17" s="68">
        <f>LOT01M[[#This Row],[TVA 20]]+LOT01M[[#This Row],[TVA 10]]+LOT01M[[#This Row],[TVA 5,5]]+LOT01M[[#This Row],[Montant HT]]</f>
        <v>0</v>
      </c>
      <c r="K17" s="69"/>
    </row>
    <row r="18" spans="2:21" x14ac:dyDescent="0.25">
      <c r="C18" s="66"/>
      <c r="D18" s="66"/>
      <c r="E18" s="66"/>
      <c r="F18" s="68"/>
      <c r="G18" s="68"/>
      <c r="H18" s="68"/>
      <c r="I18" s="68"/>
      <c r="J18" s="68">
        <f>LOT01M[[#This Row],[TVA 20]]+LOT01M[[#This Row],[TVA 10]]+LOT01M[[#This Row],[TVA 5,5]]+LOT01M[[#This Row],[Montant HT]]</f>
        <v>0</v>
      </c>
      <c r="K18" s="69"/>
    </row>
    <row r="19" spans="2:21" x14ac:dyDescent="0.25">
      <c r="C19" s="66"/>
      <c r="D19" s="66"/>
      <c r="E19" s="66"/>
      <c r="F19" s="68"/>
      <c r="G19" s="68"/>
      <c r="H19" s="68"/>
      <c r="I19" s="68"/>
      <c r="J19" s="68">
        <f>LOT01M[[#This Row],[TVA 20]]+LOT01M[[#This Row],[TVA 10]]+LOT01M[[#This Row],[TVA 5,5]]+LOT01M[[#This Row],[Montant HT]]</f>
        <v>0</v>
      </c>
      <c r="K19" s="69"/>
    </row>
    <row r="20" spans="2:21" x14ac:dyDescent="0.25">
      <c r="C20" s="66"/>
      <c r="D20" s="66"/>
      <c r="E20" s="66"/>
      <c r="F20" s="68"/>
      <c r="G20" s="68"/>
      <c r="H20" s="68"/>
      <c r="I20" s="68"/>
      <c r="J20" s="68">
        <f>LOT01M[[#This Row],[TVA 20]]+LOT01M[[#This Row],[TVA 10]]+LOT01M[[#This Row],[TVA 5,5]]+LOT01M[[#This Row],[Montant HT]]</f>
        <v>0</v>
      </c>
      <c r="K20" s="69"/>
    </row>
    <row r="21" spans="2:21" x14ac:dyDescent="0.25">
      <c r="C21" s="66"/>
      <c r="D21" s="66"/>
      <c r="E21" s="66"/>
      <c r="F21" s="68"/>
      <c r="G21" s="68"/>
      <c r="H21" s="68"/>
      <c r="I21" s="68"/>
      <c r="J21" s="68">
        <f>LOT01M[[#This Row],[TVA 20]]+LOT01M[[#This Row],[TVA 10]]+LOT01M[[#This Row],[TVA 5,5]]+LOT01M[[#This Row],[Montant HT]]</f>
        <v>0</v>
      </c>
      <c r="K21" s="69"/>
    </row>
    <row r="22" spans="2:21" x14ac:dyDescent="0.25">
      <c r="C22" s="66"/>
      <c r="D22" s="66"/>
      <c r="E22" s="66"/>
      <c r="F22" s="68"/>
      <c r="G22" s="68"/>
      <c r="H22" s="68"/>
      <c r="I22" s="68"/>
      <c r="J22" s="68">
        <f>LOT01M[[#This Row],[TVA 20]]+LOT01M[[#This Row],[TVA 10]]+LOT01M[[#This Row],[TVA 5,5]]+LOT01M[[#This Row],[Montant HT]]</f>
        <v>0</v>
      </c>
      <c r="K22" s="69"/>
    </row>
    <row r="23" spans="2:21" x14ac:dyDescent="0.25">
      <c r="C23" s="66"/>
      <c r="D23" s="66"/>
      <c r="E23" s="66"/>
      <c r="F23" s="68"/>
      <c r="G23" s="68"/>
      <c r="H23" s="68"/>
      <c r="I23" s="68"/>
      <c r="J23" s="68">
        <f>LOT01M[[#This Row],[TVA 20]]+LOT01M[[#This Row],[TVA 10]]+LOT01M[[#This Row],[TVA 5,5]]+LOT01M[[#This Row],[Montant HT]]</f>
        <v>0</v>
      </c>
      <c r="K23" s="69"/>
    </row>
    <row r="24" spans="2:21" x14ac:dyDescent="0.25">
      <c r="C24" s="66"/>
      <c r="D24" s="66"/>
      <c r="E24" s="66"/>
      <c r="F24" s="68"/>
      <c r="G24" s="68"/>
      <c r="H24" s="68"/>
      <c r="I24" s="68"/>
      <c r="J24" s="68">
        <f>LOT01M[[#This Row],[TVA 20]]+LOT01M[[#This Row],[TVA 10]]+LOT01M[[#This Row],[TVA 5,5]]+LOT01M[[#This Row],[Montant HT]]</f>
        <v>0</v>
      </c>
      <c r="K24" s="69"/>
    </row>
    <row r="25" spans="2:21" x14ac:dyDescent="0.25">
      <c r="D25" t="s">
        <v>9</v>
      </c>
      <c r="F25" s="39">
        <f>SUBTOTAL(109,LOT01M[Montant HT])</f>
        <v>118750</v>
      </c>
      <c r="G25" s="39">
        <f>SUBTOTAL(109,LOT01M[TVA 5,5])</f>
        <v>0</v>
      </c>
      <c r="H25" s="39">
        <f>SUBTOTAL(109,LOT01M[TVA 10])</f>
        <v>4500</v>
      </c>
      <c r="I25" s="39">
        <f>SUBTOTAL(109,LOT01M[TVA 20])</f>
        <v>14000</v>
      </c>
      <c r="J25" s="39">
        <f>SUBTOTAL(109,LOT01M[TTC])</f>
        <v>137250</v>
      </c>
      <c r="K25" s="3"/>
    </row>
    <row r="26" spans="2:21" x14ac:dyDescent="0.25">
      <c r="N26" s="39"/>
    </row>
    <row r="27" spans="2:21" ht="15.75" thickBot="1" x14ac:dyDescent="0.3">
      <c r="U27" s="39"/>
    </row>
    <row r="28" spans="2:21" ht="19.5" thickBot="1" x14ac:dyDescent="0.35">
      <c r="B28" s="98" t="s">
        <v>7</v>
      </c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100"/>
      <c r="U28" s="39"/>
    </row>
    <row r="29" spans="2:21" x14ac:dyDescent="0.25">
      <c r="B29" t="s">
        <v>13</v>
      </c>
      <c r="C29" s="1" t="s">
        <v>11</v>
      </c>
      <c r="D29" t="s">
        <v>0</v>
      </c>
      <c r="E29" t="s">
        <v>10</v>
      </c>
      <c r="F29" s="40" t="s">
        <v>5</v>
      </c>
      <c r="G29" s="40" t="s">
        <v>32</v>
      </c>
      <c r="H29" s="40" t="s">
        <v>33</v>
      </c>
      <c r="I29" s="40" t="s">
        <v>34</v>
      </c>
      <c r="J29" s="40" t="s">
        <v>23</v>
      </c>
      <c r="K29" s="2" t="s">
        <v>35</v>
      </c>
      <c r="L29" s="2" t="s">
        <v>36</v>
      </c>
      <c r="M29" t="s">
        <v>37</v>
      </c>
      <c r="N29" t="s">
        <v>38</v>
      </c>
      <c r="O29" t="s">
        <v>39</v>
      </c>
      <c r="P29" t="s">
        <v>40</v>
      </c>
      <c r="Q29" t="s">
        <v>47</v>
      </c>
      <c r="R29" t="s">
        <v>48</v>
      </c>
      <c r="S29" t="s">
        <v>49</v>
      </c>
      <c r="T29" t="s">
        <v>50</v>
      </c>
      <c r="U29" t="s">
        <v>51</v>
      </c>
    </row>
    <row r="30" spans="2:21" x14ac:dyDescent="0.25">
      <c r="B30" s="1" t="s">
        <v>3</v>
      </c>
      <c r="C30" s="1" t="s">
        <v>74</v>
      </c>
      <c r="E30" s="38"/>
      <c r="F30" s="40">
        <v>15000</v>
      </c>
      <c r="H30" s="40">
        <f>0.1*LOT01S[[#This Row],[Montant HT]]</f>
        <v>1500</v>
      </c>
      <c r="J30" s="40">
        <f>LOT01S[[#This Row],[TVA 10]]+LOT01S[[#This Row],[Montant HT]]+LOT01S[[#This Row],[TVA 20]]</f>
        <v>16500</v>
      </c>
      <c r="K30" s="2">
        <f>IF(LOT01M[[#Totals],[Montant HT]]=0,0,LOT01S[[#This Row],[Montant HT]]/LOT01M[[#Totals],[Montant HT]])</f>
        <v>0.12631578947368421</v>
      </c>
      <c r="L30" s="40">
        <f>IF(LOT01S[[#This Row],[Type]]="Situation",0.05*LOT01S[[#This Row],[Montant HT]],0)</f>
        <v>0</v>
      </c>
      <c r="M30" s="40"/>
      <c r="N30" s="40"/>
      <c r="O30" s="40"/>
      <c r="P30" s="40">
        <f>LOT01S[[#This Row],[RG 20]]+LOT01S[[#This Row],[RG 10]]+LOT01S[[#This Row],[RG 5,5]]+LOT01S[[#This Row],[RG HT]]</f>
        <v>0</v>
      </c>
      <c r="Q30" s="40">
        <f>LOT01S[[#This Row],[Montant HT]]-LOT01S[[#This Row],[RG HT]]</f>
        <v>15000</v>
      </c>
      <c r="R30" s="40">
        <f>LOT01S[[#This Row],[TVA 5,5]]-LOT01S[[#This Row],[RG 5,5]]</f>
        <v>0</v>
      </c>
      <c r="S30" s="40">
        <f>LOT01S[[#This Row],[TVA 10]]-LOT01S[[#This Row],[RG 10]]</f>
        <v>1500</v>
      </c>
      <c r="T30" s="40">
        <f>LOT01S[[#This Row],[TVA 20]]-LOT01S[[#This Row],[RG 20]]</f>
        <v>0</v>
      </c>
      <c r="U30" s="40">
        <f>LOT01S[[#This Row],[TTC]]-LOT01S[[#This Row],[RG TTC]]</f>
        <v>16500</v>
      </c>
    </row>
    <row r="31" spans="2:21" x14ac:dyDescent="0.25">
      <c r="B31" s="1" t="s">
        <v>61</v>
      </c>
      <c r="C31" s="1" t="s">
        <v>71</v>
      </c>
      <c r="E31" s="38"/>
      <c r="F31" s="70">
        <v>20000</v>
      </c>
      <c r="G31" s="70"/>
      <c r="H31" s="70">
        <f>0.1*LOT01S[[#This Row],[Montant HT]]</f>
        <v>2000</v>
      </c>
      <c r="I31" s="70"/>
      <c r="J31" s="40">
        <f>LOT01S[[#This Row],[TVA 10]]+LOT01S[[#This Row],[Montant HT]]+LOT01S[[#This Row],[TVA 20]]</f>
        <v>22000</v>
      </c>
      <c r="K31" s="2">
        <f>IF(LOT01M[[#Totals],[Montant HT]]=0,0,LOT01S[[#This Row],[Montant HT]]/LOT01M[[#Totals],[Montant HT]])</f>
        <v>0.16842105263157894</v>
      </c>
      <c r="L31" s="40">
        <f>IF(LOT01S[[#This Row],[Type]]="Situation",0.05*LOT01S[[#This Row],[Montant HT]],0)</f>
        <v>1000</v>
      </c>
      <c r="M31" s="40"/>
      <c r="N31" s="40"/>
      <c r="O31" s="40"/>
      <c r="P31" s="40">
        <f>LOT01S[[#This Row],[RG 20]]+LOT01S[[#This Row],[RG 10]]+LOT01S[[#This Row],[RG 5,5]]+LOT01S[[#This Row],[RG HT]]</f>
        <v>1000</v>
      </c>
      <c r="Q31" s="40">
        <f>LOT01S[[#This Row],[Montant HT]]-LOT01S[[#This Row],[RG HT]]</f>
        <v>19000</v>
      </c>
      <c r="R31" s="40">
        <f>LOT01S[[#This Row],[TVA 5,5]]-LOT01S[[#This Row],[RG 5,5]]</f>
        <v>0</v>
      </c>
      <c r="S31" s="40">
        <f>LOT01S[[#This Row],[TVA 10]]-LOT01S[[#This Row],[RG 10]]</f>
        <v>2000</v>
      </c>
      <c r="T31" s="40">
        <f>LOT01S[[#This Row],[TVA 20]]-LOT01S[[#This Row],[RG 20]]</f>
        <v>0</v>
      </c>
      <c r="U31" s="40">
        <f>LOT01S[[#This Row],[TTC]]-LOT01S[[#This Row],[RG TTC]]</f>
        <v>21000</v>
      </c>
    </row>
    <row r="32" spans="2:21" x14ac:dyDescent="0.25">
      <c r="B32" s="1" t="s">
        <v>61</v>
      </c>
      <c r="C32" s="1" t="s">
        <v>71</v>
      </c>
      <c r="E32" s="38"/>
      <c r="F32" s="70">
        <v>2000</v>
      </c>
      <c r="G32" s="70"/>
      <c r="H32" s="70">
        <f>0.1*LOT01S[[#This Row],[Montant HT]]</f>
        <v>200</v>
      </c>
      <c r="I32" s="70"/>
      <c r="J32" s="40">
        <f>LOT01S[[#This Row],[TVA 10]]+LOT01S[[#This Row],[Montant HT]]+LOT01S[[#This Row],[TVA 20]]</f>
        <v>2200</v>
      </c>
      <c r="K32" s="2">
        <f>IF(LOT01M[[#Totals],[Montant HT]]=0,0,LOT01S[[#This Row],[Montant HT]]/LOT01M[[#Totals],[Montant HT]])</f>
        <v>1.6842105263157894E-2</v>
      </c>
      <c r="L32" s="40">
        <f>IF(LOT01S[[#This Row],[Type]]="Situation",0.05*LOT01S[[#This Row],[Montant HT]],0)</f>
        <v>100</v>
      </c>
      <c r="M32" s="40"/>
      <c r="N32" s="40"/>
      <c r="O32" s="40"/>
      <c r="P32" s="40">
        <f>LOT01S[[#This Row],[RG 20]]+LOT01S[[#This Row],[RG 10]]+LOT01S[[#This Row],[RG 5,5]]+LOT01S[[#This Row],[RG HT]]</f>
        <v>100</v>
      </c>
      <c r="Q32" s="40">
        <f>LOT01S[[#This Row],[Montant HT]]-LOT01S[[#This Row],[RG HT]]</f>
        <v>1900</v>
      </c>
      <c r="R32" s="40">
        <f>LOT01S[[#This Row],[TVA 5,5]]-LOT01S[[#This Row],[RG 5,5]]</f>
        <v>0</v>
      </c>
      <c r="S32" s="40">
        <f>LOT01S[[#This Row],[TVA 10]]-LOT01S[[#This Row],[RG 10]]</f>
        <v>200</v>
      </c>
      <c r="T32" s="40">
        <f>LOT01S[[#This Row],[TVA 20]]-LOT01S[[#This Row],[RG 20]]</f>
        <v>0</v>
      </c>
      <c r="U32" s="40">
        <f>LOT01S[[#This Row],[TTC]]-LOT01S[[#This Row],[RG TTC]]</f>
        <v>2100</v>
      </c>
    </row>
    <row r="33" spans="2:21" x14ac:dyDescent="0.25">
      <c r="B33" s="1" t="s">
        <v>65</v>
      </c>
      <c r="C33" s="1" t="s">
        <v>67</v>
      </c>
      <c r="E33" s="38"/>
      <c r="F33" s="70">
        <v>-10000</v>
      </c>
      <c r="G33" s="70"/>
      <c r="H33" s="70">
        <f>0.1*LOT01S[[#This Row],[Montant HT]]</f>
        <v>-1000</v>
      </c>
      <c r="I33" s="70"/>
      <c r="J33" s="40">
        <f>LOT01S[[#This Row],[TVA 10]]+LOT01S[[#This Row],[Montant HT]]+LOT01S[[#This Row],[TVA 20]]</f>
        <v>-11000</v>
      </c>
      <c r="K33" s="2">
        <f>IF(LOT01M[[#Totals],[Montant HT]]=0,0,LOT01S[[#This Row],[Montant HT]]/LOT01M[[#Totals],[Montant HT]])</f>
        <v>-8.4210526315789472E-2</v>
      </c>
      <c r="L33" s="40">
        <f>IF(LOT01S[[#This Row],[Type]]="Situation",0.05*LOT01S[[#This Row],[Montant HT]],0)</f>
        <v>0</v>
      </c>
      <c r="M33" s="40"/>
      <c r="N33" s="40"/>
      <c r="O33" s="40"/>
      <c r="P33" s="40">
        <f>LOT01S[[#This Row],[RG 20]]+LOT01S[[#This Row],[RG 10]]+LOT01S[[#This Row],[RG 5,5]]+LOT01S[[#This Row],[RG HT]]</f>
        <v>0</v>
      </c>
      <c r="Q33" s="40">
        <f>LOT01S[[#This Row],[Montant HT]]-LOT01S[[#This Row],[RG HT]]</f>
        <v>-10000</v>
      </c>
      <c r="R33" s="40">
        <f>LOT01S[[#This Row],[TVA 5,5]]-LOT01S[[#This Row],[RG 5,5]]</f>
        <v>0</v>
      </c>
      <c r="S33" s="40">
        <f>LOT01S[[#This Row],[TVA 10]]-LOT01S[[#This Row],[RG 10]]</f>
        <v>-1000</v>
      </c>
      <c r="T33" s="40">
        <f>LOT01S[[#This Row],[TVA 20]]-LOT01S[[#This Row],[RG 20]]</f>
        <v>0</v>
      </c>
      <c r="U33" s="40">
        <f>LOT01S[[#This Row],[TTC]]-LOT01S[[#This Row],[RG TTC]]</f>
        <v>-11000</v>
      </c>
    </row>
    <row r="34" spans="2:21" x14ac:dyDescent="0.25">
      <c r="B34" s="1" t="s">
        <v>62</v>
      </c>
      <c r="C34" s="1" t="s">
        <v>71</v>
      </c>
      <c r="E34" s="38"/>
      <c r="F34" s="70">
        <v>15000</v>
      </c>
      <c r="G34" s="70"/>
      <c r="H34" s="70">
        <f>0.1*LOT01S[[#This Row],[Montant HT]]</f>
        <v>1500</v>
      </c>
      <c r="I34" s="70"/>
      <c r="J34" s="40">
        <f>LOT01S[[#This Row],[TVA 10]]+LOT01S[[#This Row],[Montant HT]]+LOT01S[[#This Row],[TVA 20]]</f>
        <v>16500</v>
      </c>
      <c r="K34" s="2">
        <f>IF(LOT01M[[#Totals],[Montant HT]]=0,0,LOT01S[[#This Row],[Montant HT]]/LOT01M[[#Totals],[Montant HT]])</f>
        <v>0.12631578947368421</v>
      </c>
      <c r="L34" s="40">
        <f>IF(LOT01S[[#This Row],[Type]]="Situation",0.05*LOT01S[[#This Row],[Montant HT]],0)</f>
        <v>750</v>
      </c>
      <c r="M34" s="40"/>
      <c r="N34" s="40"/>
      <c r="O34" s="40"/>
      <c r="P34" s="40">
        <f>LOT01S[[#This Row],[RG 20]]+LOT01S[[#This Row],[RG 10]]+LOT01S[[#This Row],[RG 5,5]]+LOT01S[[#This Row],[RG HT]]</f>
        <v>750</v>
      </c>
      <c r="Q34" s="40">
        <f>LOT01S[[#This Row],[Montant HT]]-LOT01S[[#This Row],[RG HT]]</f>
        <v>14250</v>
      </c>
      <c r="R34" s="40">
        <f>LOT01S[[#This Row],[TVA 5,5]]-LOT01S[[#This Row],[RG 5,5]]</f>
        <v>0</v>
      </c>
      <c r="S34" s="40">
        <f>LOT01S[[#This Row],[TVA 10]]-LOT01S[[#This Row],[RG 10]]</f>
        <v>1500</v>
      </c>
      <c r="T34" s="40">
        <f>LOT01S[[#This Row],[TVA 20]]-LOT01S[[#This Row],[RG 20]]</f>
        <v>0</v>
      </c>
      <c r="U34" s="40">
        <f>LOT01S[[#This Row],[TTC]]-LOT01S[[#This Row],[RG TTC]]</f>
        <v>15750</v>
      </c>
    </row>
    <row r="35" spans="2:21" x14ac:dyDescent="0.25">
      <c r="B35" s="1" t="s">
        <v>66</v>
      </c>
      <c r="C35" s="1" t="s">
        <v>67</v>
      </c>
      <c r="E35" s="38"/>
      <c r="F35" s="70">
        <v>0</v>
      </c>
      <c r="G35" s="70"/>
      <c r="H35" s="70">
        <f>0.1*LOT01S[[#This Row],[Montant HT]]</f>
        <v>0</v>
      </c>
      <c r="I35" s="70"/>
      <c r="J35" s="40">
        <f>LOT01S[[#This Row],[TVA 10]]+LOT01S[[#This Row],[Montant HT]]+LOT01S[[#This Row],[TVA 20]]</f>
        <v>0</v>
      </c>
      <c r="K35" s="2">
        <f>IF(LOT01M[[#Totals],[Montant HT]]=0,0,LOT01S[[#This Row],[Montant HT]]/LOT01M[[#Totals],[Montant HT]])</f>
        <v>0</v>
      </c>
      <c r="L35" s="40">
        <f>IF(LOT01S[[#This Row],[Type]]="Situation",0.05*LOT01S[[#This Row],[Montant HT]],0)</f>
        <v>0</v>
      </c>
      <c r="M35" s="40"/>
      <c r="N35" s="40"/>
      <c r="O35" s="40"/>
      <c r="P35" s="40">
        <f>LOT01S[[#This Row],[RG 20]]+LOT01S[[#This Row],[RG 10]]+LOT01S[[#This Row],[RG 5,5]]+LOT01S[[#This Row],[RG HT]]</f>
        <v>0</v>
      </c>
      <c r="Q35" s="40">
        <f>LOT01S[[#This Row],[Montant HT]]-LOT01S[[#This Row],[RG HT]]</f>
        <v>0</v>
      </c>
      <c r="R35" s="40">
        <f>LOT01S[[#This Row],[TVA 5,5]]-LOT01S[[#This Row],[RG 5,5]]</f>
        <v>0</v>
      </c>
      <c r="S35" s="40">
        <f>LOT01S[[#This Row],[TVA 10]]-LOT01S[[#This Row],[RG 10]]</f>
        <v>0</v>
      </c>
      <c r="T35" s="40">
        <f>LOT01S[[#This Row],[TVA 20]]-LOT01S[[#This Row],[RG 20]]</f>
        <v>0</v>
      </c>
      <c r="U35" s="40">
        <f>LOT01S[[#This Row],[TTC]]-LOT01S[[#This Row],[RG TTC]]</f>
        <v>0</v>
      </c>
    </row>
    <row r="36" spans="2:21" x14ac:dyDescent="0.25">
      <c r="B36" s="1" t="s">
        <v>63</v>
      </c>
      <c r="C36" s="1" t="s">
        <v>71</v>
      </c>
      <c r="E36" s="38"/>
      <c r="F36" s="70">
        <v>7000</v>
      </c>
      <c r="G36" s="70"/>
      <c r="H36" s="70">
        <f>0.1*LOT01S[[#This Row],[Montant HT]]</f>
        <v>700</v>
      </c>
      <c r="I36" s="70"/>
      <c r="J36" s="40">
        <f>LOT01S[[#This Row],[TVA 10]]+LOT01S[[#This Row],[Montant HT]]+LOT01S[[#This Row],[TVA 20]]</f>
        <v>7700</v>
      </c>
      <c r="K36" s="2">
        <f>IF(LOT01M[[#Totals],[Montant HT]]=0,0,LOT01S[[#This Row],[Montant HT]]/LOT01M[[#Totals],[Montant HT]])</f>
        <v>5.894736842105263E-2</v>
      </c>
      <c r="L36" s="40">
        <f>IF(LOT01S[[#This Row],[Type]]="Situation",0.05*LOT01S[[#This Row],[Montant HT]],0)</f>
        <v>350</v>
      </c>
      <c r="M36" s="40">
        <f>0.05*LOT01S[[#This Row],[TVA 5,5]]</f>
        <v>0</v>
      </c>
      <c r="N36" s="40">
        <f>0.05*LOT01S[[#This Row],[TVA 10]]</f>
        <v>35</v>
      </c>
      <c r="O36" s="40">
        <f>0.05*LOT01S[[#This Row],[TVA 20]]</f>
        <v>0</v>
      </c>
      <c r="P36" s="40">
        <f>LOT01S[[#This Row],[RG 20]]+LOT01S[[#This Row],[RG 10]]+LOT01S[[#This Row],[RG 5,5]]+LOT01S[[#This Row],[RG HT]]</f>
        <v>385</v>
      </c>
      <c r="Q36" s="40">
        <f>LOT01S[[#This Row],[Montant HT]]-LOT01S[[#This Row],[RG HT]]</f>
        <v>6650</v>
      </c>
      <c r="R36" s="40">
        <f>LOT01S[[#This Row],[TVA 5,5]]-LOT01S[[#This Row],[RG 5,5]]</f>
        <v>0</v>
      </c>
      <c r="S36" s="40">
        <f>LOT01S[[#This Row],[TVA 10]]-LOT01S[[#This Row],[RG 10]]</f>
        <v>665</v>
      </c>
      <c r="T36" s="40">
        <f>LOT01S[[#This Row],[TVA 20]]-LOT01S[[#This Row],[RG 20]]</f>
        <v>0</v>
      </c>
      <c r="U36" s="40">
        <f>LOT01S[[#This Row],[TTC]]-LOT01S[[#This Row],[RG TTC]]</f>
        <v>7315</v>
      </c>
    </row>
    <row r="37" spans="2:21" x14ac:dyDescent="0.25">
      <c r="B37" s="1" t="s">
        <v>64</v>
      </c>
      <c r="C37" s="1" t="s">
        <v>71</v>
      </c>
      <c r="E37" s="38"/>
      <c r="F37" s="70">
        <v>8000</v>
      </c>
      <c r="G37" s="70"/>
      <c r="H37" s="70"/>
      <c r="I37" s="70"/>
      <c r="J37" s="40">
        <f>LOT01S[[#This Row],[TVA 10]]+LOT01S[[#This Row],[Montant HT]]</f>
        <v>8000</v>
      </c>
      <c r="K37" s="2">
        <f>IF(LOT01M[[#Totals],[Montant HT]]=0,0,LOT01S[[#This Row],[Montant HT]]/LOT01M[[#Totals],[Montant HT]])</f>
        <v>6.7368421052631577E-2</v>
      </c>
      <c r="L37" s="40">
        <f>IF(LOT01S[[#This Row],[Type]]="Situation",0.05*LOT01S[[#This Row],[Montant HT]],0)</f>
        <v>400</v>
      </c>
      <c r="M37" s="40">
        <f>0.05*LOT01S[[#This Row],[TVA 5,5]]</f>
        <v>0</v>
      </c>
      <c r="N37" s="40">
        <f>0.05*LOT01S[[#This Row],[TVA 10]]</f>
        <v>0</v>
      </c>
      <c r="O37" s="40">
        <f>0.05*LOT01S[[#This Row],[TVA 20]]</f>
        <v>0</v>
      </c>
      <c r="P37" s="40">
        <f>LOT01S[[#This Row],[RG 20]]+LOT01S[[#This Row],[RG 10]]+LOT01S[[#This Row],[RG 5,5]]+LOT01S[[#This Row],[RG HT]]</f>
        <v>400</v>
      </c>
      <c r="Q37" s="40">
        <f>LOT01S[[#This Row],[Montant HT]]-LOT01S[[#This Row],[RG HT]]</f>
        <v>7600</v>
      </c>
      <c r="R37" s="40">
        <f>LOT01S[[#This Row],[TVA 5,5]]-LOT01S[[#This Row],[RG 5,5]]</f>
        <v>0</v>
      </c>
      <c r="S37" s="40">
        <f>LOT01S[[#This Row],[TVA 10]]-LOT01S[[#This Row],[RG 10]]</f>
        <v>0</v>
      </c>
      <c r="T37" s="40">
        <f>LOT01S[[#This Row],[TVA 20]]-LOT01S[[#This Row],[RG 20]]</f>
        <v>0</v>
      </c>
      <c r="U37" s="40">
        <f>LOT01S[[#This Row],[TTC]]-LOT01S[[#This Row],[RG TTC]]</f>
        <v>7600</v>
      </c>
    </row>
    <row r="38" spans="2:21" x14ac:dyDescent="0.25">
      <c r="C38" s="1"/>
      <c r="K38" s="2">
        <f>IF(LOT01M[[#Totals],[Montant HT]]=0,0,LOT01S[[#This Row],[Montant HT]]/LOT01M[[#Totals],[Montant HT]])</f>
        <v>0</v>
      </c>
      <c r="L38" s="40">
        <f>IF(LOT01S[[#This Row],[Type]]="Situation",0.05*LOT01S[[#This Row],[Montant HT]],0)</f>
        <v>0</v>
      </c>
      <c r="M38" s="40">
        <f>0.05*LOT01S[[#This Row],[TVA 5,5]]</f>
        <v>0</v>
      </c>
      <c r="N38" s="40">
        <f>0.05*LOT01S[[#This Row],[TVA 10]]</f>
        <v>0</v>
      </c>
      <c r="O38" s="40">
        <f>0.05*LOT01S[[#This Row],[TVA 20]]</f>
        <v>0</v>
      </c>
      <c r="P38" s="40">
        <f>LOT01S[[#This Row],[RG 20]]+LOT01S[[#This Row],[RG 10]]+LOT01S[[#This Row],[RG 5,5]]+LOT01S[[#This Row],[RG HT]]</f>
        <v>0</v>
      </c>
      <c r="Q38" s="40"/>
      <c r="R38" s="40"/>
      <c r="S38" s="40"/>
      <c r="T38" s="40"/>
      <c r="U38" s="40"/>
    </row>
    <row r="39" spans="2:21" x14ac:dyDescent="0.25">
      <c r="C39" s="1"/>
      <c r="K39" s="2">
        <f>IF(LOT01M[[#Totals],[Montant HT]]=0,0,LOT01S[[#This Row],[Montant HT]]/LOT01M[[#Totals],[Montant HT]])</f>
        <v>0</v>
      </c>
      <c r="L39" s="40">
        <f>IF(LOT01S[[#This Row],[Type]]="Situation",0.05*LOT01S[[#This Row],[Montant HT]],0)</f>
        <v>0</v>
      </c>
      <c r="M39" s="40">
        <f>0.05*LOT01S[[#This Row],[TVA 5,5]]</f>
        <v>0</v>
      </c>
      <c r="N39" s="40">
        <f>0.05*LOT01S[[#This Row],[TVA 10]]</f>
        <v>0</v>
      </c>
      <c r="O39" s="40">
        <f>0.05*LOT01S[[#This Row],[TVA 20]]</f>
        <v>0</v>
      </c>
      <c r="P39" s="40">
        <f>LOT01S[[#This Row],[RG 20]]+LOT01S[[#This Row],[RG 10]]+LOT01S[[#This Row],[RG 5,5]]+LOT01S[[#This Row],[RG HT]]</f>
        <v>0</v>
      </c>
      <c r="Q39" s="40"/>
      <c r="R39" s="40"/>
      <c r="S39" s="40"/>
      <c r="T39" s="40"/>
      <c r="U39" s="40"/>
    </row>
    <row r="40" spans="2:21" x14ac:dyDescent="0.25">
      <c r="C40" s="1"/>
      <c r="K40" s="2">
        <f>IF(LOT01M[[#Totals],[Montant HT]]=0,0,LOT01S[[#This Row],[Montant HT]]/LOT01M[[#Totals],[Montant HT]])</f>
        <v>0</v>
      </c>
      <c r="L40" s="40">
        <f>IF(LOT01S[[#This Row],[Type]]="Situation",0.05*LOT01S[[#This Row],[Montant HT]],0)</f>
        <v>0</v>
      </c>
      <c r="M40" s="40">
        <f>0.05*LOT01S[[#This Row],[TVA 5,5]]</f>
        <v>0</v>
      </c>
      <c r="N40" s="40">
        <f>0.05*LOT01S[[#This Row],[TVA 10]]</f>
        <v>0</v>
      </c>
      <c r="O40" s="40">
        <f>0.05*LOT01S[[#This Row],[TVA 20]]</f>
        <v>0</v>
      </c>
      <c r="P40" s="40">
        <f>LOT01S[[#This Row],[RG 20]]+LOT01S[[#This Row],[RG 10]]+LOT01S[[#This Row],[RG 5,5]]+LOT01S[[#This Row],[RG HT]]</f>
        <v>0</v>
      </c>
      <c r="Q40" s="40"/>
      <c r="R40" s="40"/>
      <c r="S40" s="40"/>
      <c r="T40" s="40"/>
      <c r="U40" s="40"/>
    </row>
    <row r="41" spans="2:21" x14ac:dyDescent="0.25">
      <c r="C41" s="1"/>
      <c r="K41" s="2">
        <f>IF(LOT01M[[#Totals],[Montant HT]]=0,0,LOT01S[[#This Row],[Montant HT]]/LOT01M[[#Totals],[Montant HT]])</f>
        <v>0</v>
      </c>
      <c r="L41" s="40">
        <f>IF(LOT01S[[#This Row],[Type]]="Situation",0.05*LOT01S[[#This Row],[Montant HT]],0)</f>
        <v>0</v>
      </c>
      <c r="M41" s="40">
        <f>0.05*LOT01S[[#This Row],[TVA 5,5]]</f>
        <v>0</v>
      </c>
      <c r="N41" s="40">
        <f>0.05*LOT01S[[#This Row],[TVA 10]]</f>
        <v>0</v>
      </c>
      <c r="O41" s="40">
        <f>0.05*LOT01S[[#This Row],[TVA 20]]</f>
        <v>0</v>
      </c>
      <c r="P41" s="40">
        <f>LOT01S[[#This Row],[RG 20]]+LOT01S[[#This Row],[RG 10]]+LOT01S[[#This Row],[RG 5,5]]+LOT01S[[#This Row],[RG HT]]</f>
        <v>0</v>
      </c>
      <c r="Q41" s="40"/>
      <c r="R41" s="40"/>
      <c r="S41" s="40"/>
      <c r="T41" s="40"/>
      <c r="U41" s="40"/>
    </row>
    <row r="42" spans="2:21" x14ac:dyDescent="0.25">
      <c r="C42" s="1"/>
      <c r="K42" s="2">
        <f>IF(LOT01M[[#Totals],[Montant HT]]=0,0,LOT01S[[#This Row],[Montant HT]]/LOT01M[[#Totals],[Montant HT]])</f>
        <v>0</v>
      </c>
      <c r="L42" s="40">
        <f>IF(LOT01S[[#This Row],[Type]]="Situation",0.05*LOT01S[[#This Row],[Montant HT]],0)</f>
        <v>0</v>
      </c>
      <c r="M42" s="40">
        <f>0.05*LOT01S[[#This Row],[TVA 5,5]]</f>
        <v>0</v>
      </c>
      <c r="N42" s="40">
        <f>0.05*LOT01S[[#This Row],[TVA 10]]</f>
        <v>0</v>
      </c>
      <c r="O42" s="40">
        <f>0.05*LOT01S[[#This Row],[TVA 20]]</f>
        <v>0</v>
      </c>
      <c r="P42" s="40">
        <f>LOT01S[[#This Row],[RG 20]]+LOT01S[[#This Row],[RG 10]]+LOT01S[[#This Row],[RG 5,5]]+LOT01S[[#This Row],[RG HT]]</f>
        <v>0</v>
      </c>
      <c r="Q42" s="40"/>
      <c r="R42" s="40"/>
      <c r="S42" s="40"/>
      <c r="T42" s="40"/>
      <c r="U42" s="40"/>
    </row>
    <row r="43" spans="2:21" x14ac:dyDescent="0.25">
      <c r="C43" s="1"/>
      <c r="K43" s="2">
        <f>IF(LOT01M[[#Totals],[Montant HT]]=0,0,LOT01S[[#This Row],[Montant HT]]/LOT01M[[#Totals],[Montant HT]])</f>
        <v>0</v>
      </c>
      <c r="L43" s="40">
        <f>IF(LOT01S[[#This Row],[Type]]="Situation",0.05*LOT01S[[#This Row],[Montant HT]],0)</f>
        <v>0</v>
      </c>
      <c r="M43" s="40">
        <f>0.05*LOT01S[[#This Row],[TVA 5,5]]</f>
        <v>0</v>
      </c>
      <c r="N43" s="40">
        <f>0.05*LOT01S[[#This Row],[TVA 10]]</f>
        <v>0</v>
      </c>
      <c r="O43" s="40">
        <f>0.05*LOT01S[[#This Row],[TVA 20]]</f>
        <v>0</v>
      </c>
      <c r="P43" s="40">
        <f>LOT01S[[#This Row],[RG 20]]+LOT01S[[#This Row],[RG 10]]+LOT01S[[#This Row],[RG 5,5]]+LOT01S[[#This Row],[RG HT]]</f>
        <v>0</v>
      </c>
      <c r="Q43" s="40"/>
      <c r="R43" s="40"/>
      <c r="S43" s="40"/>
      <c r="T43" s="40"/>
      <c r="U43" s="40"/>
    </row>
    <row r="44" spans="2:21" x14ac:dyDescent="0.25">
      <c r="C44" s="1"/>
      <c r="K44" s="2">
        <f>IF(LOT01M[[#Totals],[Montant HT]]=0,0,LOT01S[[#This Row],[Montant HT]]/LOT01M[[#Totals],[Montant HT]])</f>
        <v>0</v>
      </c>
      <c r="L44" s="40">
        <f>IF(LOT01S[[#This Row],[Type]]="Situation",0.05*LOT01S[[#This Row],[Montant HT]],0)</f>
        <v>0</v>
      </c>
      <c r="M44" s="40">
        <f>0.05*LOT01S[[#This Row],[TVA 5,5]]</f>
        <v>0</v>
      </c>
      <c r="N44" s="40">
        <f>0.05*LOT01S[[#This Row],[TVA 10]]</f>
        <v>0</v>
      </c>
      <c r="O44" s="40">
        <f>0.05*LOT01S[[#This Row],[TVA 20]]</f>
        <v>0</v>
      </c>
      <c r="P44" s="40">
        <f>LOT01S[[#This Row],[RG 20]]+LOT01S[[#This Row],[RG 10]]+LOT01S[[#This Row],[RG 5,5]]+LOT01S[[#This Row],[RG HT]]</f>
        <v>0</v>
      </c>
      <c r="Q44" s="40"/>
      <c r="R44" s="40"/>
      <c r="S44" s="40"/>
      <c r="T44" s="40"/>
      <c r="U44" s="40"/>
    </row>
    <row r="45" spans="2:21" x14ac:dyDescent="0.25">
      <c r="B45" t="s">
        <v>72</v>
      </c>
      <c r="C45" s="1" t="s">
        <v>73</v>
      </c>
      <c r="F45" s="40">
        <f ca="1">-(SUMIF(C30:C44,"AD",F30:F44)+SUMIF(LOT01S[Type],"Rad",F30:F44))</f>
        <v>-5000</v>
      </c>
      <c r="K45" s="2">
        <f ca="1">IF(LOT01M[[#Totals],[Montant HT]]=0,0,LOT01S[[#This Row],[Montant HT]]/LOT01M[[#Totals],[Montant HT]])</f>
        <v>-4.2105263157894736E-2</v>
      </c>
      <c r="L45" s="40">
        <f>IF(LOT01S[[#This Row],[Type]]="Situation",0.05*LOT01S[[#This Row],[Montant HT]],0)</f>
        <v>0</v>
      </c>
      <c r="M45" s="40">
        <f>0.05*LOT01S[[#This Row],[TVA 5,5]]</f>
        <v>0</v>
      </c>
      <c r="N45" s="40">
        <f>0.05*LOT01S[[#This Row],[TVA 10]]</f>
        <v>0</v>
      </c>
      <c r="O45" s="40">
        <f>0.05*LOT01S[[#This Row],[TVA 20]]</f>
        <v>0</v>
      </c>
      <c r="P45" s="40">
        <f>LOT01S[[#This Row],[RG 20]]+LOT01S[[#This Row],[RG 10]]+LOT01S[[#This Row],[RG 5,5]]+LOT01S[[#This Row],[RG HT]]</f>
        <v>0</v>
      </c>
      <c r="Q45" s="40"/>
      <c r="R45" s="40"/>
      <c r="S45" s="40"/>
      <c r="T45" s="40"/>
      <c r="U45" s="40"/>
    </row>
    <row r="46" spans="2:21" x14ac:dyDescent="0.25">
      <c r="C46" t="s">
        <v>9</v>
      </c>
      <c r="F46" s="39">
        <f ca="1">SUBTOTAL(109,LOT01S[Montant HT])</f>
        <v>52000</v>
      </c>
      <c r="G46" s="39">
        <f>SUBTOTAL(109,LOT01S[TVA 5,5])</f>
        <v>0</v>
      </c>
      <c r="H46" s="39">
        <f>SUBTOTAL(109,LOT01S[TVA 10])</f>
        <v>4900</v>
      </c>
      <c r="I46" s="39">
        <f>SUBTOTAL(109,LOT01S[TVA 20])</f>
        <v>0</v>
      </c>
      <c r="J46" s="39">
        <f>SUBTOTAL(109,LOT01S[TTC])</f>
        <v>61900</v>
      </c>
      <c r="K46" s="3">
        <f ca="1">SUBTOTAL(109,LOT01S[% marché HT])</f>
        <v>0.43789473684210528</v>
      </c>
      <c r="L46" s="41">
        <f>SUBTOTAL(109,LOT01S[RG HT])</f>
        <v>2600</v>
      </c>
      <c r="M46" s="41">
        <f>SUBTOTAL(109,LOT01S[RG 5,5])</f>
        <v>0</v>
      </c>
      <c r="N46" s="41">
        <f>SUBTOTAL(109,LOT01S[RG 10])</f>
        <v>35</v>
      </c>
      <c r="O46" s="41">
        <f>SUBTOTAL(109,LOT01S[RG 20])</f>
        <v>0</v>
      </c>
      <c r="P46" s="41">
        <f>SUBTOTAL(109,LOT01S[RG TTC])</f>
        <v>2635</v>
      </c>
      <c r="Q46" s="39">
        <f>SUBTOTAL(109,LOT01S[Deduc HT])</f>
        <v>54400</v>
      </c>
      <c r="R46" s="39">
        <f>SUBTOTAL(109,LOT01S[Deduc 5,5])</f>
        <v>0</v>
      </c>
      <c r="S46" s="39">
        <f>SUBTOTAL(109,LOT01S[Deduc 10])</f>
        <v>4865</v>
      </c>
      <c r="T46" s="39">
        <f>SUBTOTAL(109,LOT01S[Deduc 20])</f>
        <v>0</v>
      </c>
      <c r="U46" s="39">
        <f>SUBTOTAL(109,LOT01S[Deduc TTC])</f>
        <v>59265</v>
      </c>
    </row>
  </sheetData>
  <mergeCells count="2">
    <mergeCell ref="B28:P28"/>
    <mergeCell ref="C5:K5"/>
  </mergeCells>
  <phoneticPr fontId="2" type="noConversion"/>
  <dataValidations count="1">
    <dataValidation type="list" allowBlank="1" showInputMessage="1" showErrorMessage="1" sqref="C30:C45" xr:uid="{137A2BF9-2B14-4A6A-A869-8996DAAB1D59}">
      <formula1>"AD,RAD,Situation,Eq"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6921A-C155-4C25-8143-E3073ED38975}">
  <sheetPr codeName="Feuil48">
    <pageSetUpPr fitToPage="1"/>
  </sheetPr>
  <dimension ref="B1:Q107"/>
  <sheetViews>
    <sheetView zoomScale="115" zoomScaleNormal="115" zoomScaleSheetLayoutView="145" zoomScalePageLayoutView="70" workbookViewId="0">
      <selection activeCell="P33" sqref="P33"/>
    </sheetView>
  </sheetViews>
  <sheetFormatPr baseColWidth="10" defaultColWidth="54.28515625" defaultRowHeight="12.75" x14ac:dyDescent="0.2"/>
  <cols>
    <col min="1" max="1" width="10.7109375" style="7" customWidth="1"/>
    <col min="2" max="2" width="2.42578125" style="7" customWidth="1"/>
    <col min="3" max="3" width="5" style="73" customWidth="1"/>
    <col min="4" max="4" width="15.7109375" style="7" customWidth="1"/>
    <col min="5" max="5" width="20.7109375" style="7" customWidth="1"/>
    <col min="6" max="6" width="2.42578125" style="7" customWidth="1"/>
    <col min="7" max="7" width="5" style="7" customWidth="1"/>
    <col min="8" max="8" width="15.42578125" style="7" customWidth="1"/>
    <col min="9" max="9" width="15" style="7" customWidth="1"/>
    <col min="10" max="10" width="9" style="7" customWidth="1"/>
    <col min="11" max="11" width="10.140625" style="7" customWidth="1"/>
    <col min="12" max="12" width="12.85546875" style="7" customWidth="1"/>
    <col min="13" max="13" width="2.42578125" style="7" customWidth="1"/>
    <col min="14" max="16" width="15.7109375" style="7" customWidth="1"/>
    <col min="17" max="16384" width="54.28515625" style="7"/>
  </cols>
  <sheetData>
    <row r="1" spans="2:17" ht="13.5" thickBot="1" x14ac:dyDescent="0.25">
      <c r="B1" s="4"/>
      <c r="C1" s="72"/>
      <c r="D1" s="5"/>
      <c r="E1" s="5"/>
      <c r="F1" s="5"/>
      <c r="G1" s="5"/>
      <c r="H1" s="5"/>
      <c r="I1" s="5"/>
      <c r="J1" s="5"/>
      <c r="K1" s="5"/>
      <c r="L1" s="5"/>
      <c r="M1" s="6"/>
    </row>
    <row r="2" spans="2:17" ht="76.5" customHeight="1" thickBot="1" x14ac:dyDescent="0.25">
      <c r="B2" s="8"/>
      <c r="C2" s="114"/>
      <c r="D2" s="115"/>
      <c r="E2" s="115"/>
      <c r="F2" s="115"/>
      <c r="G2" s="116"/>
      <c r="I2" s="118"/>
      <c r="J2" s="118"/>
      <c r="K2" s="118"/>
      <c r="L2" s="118"/>
      <c r="M2" s="9"/>
    </row>
    <row r="3" spans="2:17" x14ac:dyDescent="0.2">
      <c r="B3" s="8"/>
      <c r="M3" s="9"/>
    </row>
    <row r="4" spans="2:17" x14ac:dyDescent="0.2">
      <c r="B4" s="8"/>
      <c r="I4" s="10"/>
      <c r="J4" s="11"/>
      <c r="M4" s="9"/>
    </row>
    <row r="5" spans="2:17" x14ac:dyDescent="0.2">
      <c r="B5" s="8"/>
      <c r="M5" s="9"/>
    </row>
    <row r="6" spans="2:17" ht="15.75" x14ac:dyDescent="0.25">
      <c r="B6" s="8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9"/>
    </row>
    <row r="7" spans="2:17" ht="15.75" x14ac:dyDescent="0.25">
      <c r="B7" s="8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9"/>
    </row>
    <row r="8" spans="2:17" ht="13.5" thickBot="1" x14ac:dyDescent="0.25">
      <c r="B8" s="8"/>
      <c r="M8" s="9"/>
    </row>
    <row r="9" spans="2:17" ht="18.75" thickBot="1" x14ac:dyDescent="0.3">
      <c r="B9" s="8"/>
      <c r="C9" s="120" t="s">
        <v>14</v>
      </c>
      <c r="D9" s="121"/>
      <c r="E9" s="121"/>
      <c r="F9" s="121"/>
      <c r="G9" s="121"/>
      <c r="H9" s="121"/>
      <c r="I9" s="121"/>
      <c r="J9" s="63" t="s">
        <v>3</v>
      </c>
      <c r="K9" s="63"/>
      <c r="L9" s="59"/>
      <c r="M9" s="9"/>
      <c r="P9" s="87"/>
    </row>
    <row r="10" spans="2:17" x14ac:dyDescent="0.2">
      <c r="B10" s="8"/>
      <c r="M10" s="9"/>
      <c r="P10" s="87"/>
    </row>
    <row r="11" spans="2:17" x14ac:dyDescent="0.2">
      <c r="B11" s="8"/>
      <c r="C11" s="11" t="s">
        <v>15</v>
      </c>
      <c r="D11" s="10"/>
      <c r="E11" s="10"/>
      <c r="M11" s="9"/>
      <c r="P11" s="87"/>
    </row>
    <row r="12" spans="2:17" x14ac:dyDescent="0.2">
      <c r="B12" s="8"/>
      <c r="C12" s="11" t="s">
        <v>16</v>
      </c>
      <c r="D12" s="10"/>
      <c r="E12" s="10"/>
      <c r="M12" s="9"/>
    </row>
    <row r="13" spans="2:17" ht="13.5" thickBot="1" x14ac:dyDescent="0.25">
      <c r="B13" s="8"/>
      <c r="C13" s="11"/>
      <c r="D13" s="10"/>
      <c r="E13" s="10"/>
      <c r="M13" s="9"/>
      <c r="P13" s="89"/>
    </row>
    <row r="14" spans="2:17" ht="13.5" thickBot="1" x14ac:dyDescent="0.25">
      <c r="B14" s="8"/>
      <c r="C14" s="74" t="s">
        <v>4</v>
      </c>
      <c r="D14" s="64" t="s">
        <v>17</v>
      </c>
      <c r="E14" s="58" t="s">
        <v>68</v>
      </c>
      <c r="G14" s="106" t="s">
        <v>19</v>
      </c>
      <c r="H14" s="43" t="s">
        <v>20</v>
      </c>
      <c r="I14" s="44"/>
      <c r="J14" s="44"/>
      <c r="K14" s="45" t="s">
        <v>21</v>
      </c>
      <c r="L14" s="46">
        <v>100000</v>
      </c>
      <c r="M14" s="9"/>
      <c r="P14" s="88"/>
      <c r="Q14" s="88"/>
    </row>
    <row r="15" spans="2:17" x14ac:dyDescent="0.2">
      <c r="B15" s="8"/>
      <c r="C15" s="122"/>
      <c r="D15" s="79"/>
      <c r="E15" s="80"/>
      <c r="G15" s="107"/>
      <c r="H15" s="47"/>
      <c r="I15" s="48"/>
      <c r="J15" s="48"/>
      <c r="K15" s="49" t="s">
        <v>43</v>
      </c>
      <c r="L15" s="50">
        <f>'01 Gros Œuvre'!H7</f>
        <v>5000</v>
      </c>
      <c r="M15" s="9"/>
    </row>
    <row r="16" spans="2:17" ht="15" customHeight="1" x14ac:dyDescent="0.2">
      <c r="B16" s="8"/>
      <c r="C16" s="123"/>
      <c r="D16" s="85" t="s">
        <v>69</v>
      </c>
      <c r="E16" s="78"/>
      <c r="G16" s="107"/>
      <c r="H16" s="51"/>
      <c r="I16" s="48"/>
      <c r="J16" s="48"/>
      <c r="K16" s="49" t="s">
        <v>22</v>
      </c>
      <c r="L16" s="50">
        <f>'01 Gros Œuvre'!I7</f>
        <v>10000</v>
      </c>
      <c r="M16" s="9"/>
    </row>
    <row r="17" spans="2:16" ht="13.5" thickBot="1" x14ac:dyDescent="0.25">
      <c r="B17" s="8"/>
      <c r="C17" s="124"/>
      <c r="D17" s="86" t="s">
        <v>23</v>
      </c>
      <c r="E17" s="81"/>
      <c r="G17" s="107"/>
      <c r="H17" s="52"/>
      <c r="I17" s="53"/>
      <c r="J17" s="53"/>
      <c r="K17" s="54" t="s">
        <v>23</v>
      </c>
      <c r="L17" s="55">
        <f>SUM(L16,L15,L14)</f>
        <v>115000</v>
      </c>
      <c r="M17" s="9"/>
    </row>
    <row r="18" spans="2:16" ht="13.5" thickBot="1" x14ac:dyDescent="0.25">
      <c r="B18" s="8"/>
      <c r="C18" s="82"/>
      <c r="D18" s="83"/>
      <c r="E18" s="84"/>
      <c r="G18" s="107"/>
      <c r="H18" s="21" t="s">
        <v>45</v>
      </c>
      <c r="I18" s="12"/>
      <c r="J18" s="12"/>
      <c r="K18" s="12"/>
      <c r="L18" s="13"/>
      <c r="M18" s="9"/>
      <c r="O18" s="94" t="s">
        <v>11</v>
      </c>
      <c r="P18" s="95" t="str">
        <f ca="1">VLOOKUP(J9,INDIRECT($P$25,FALSE),2,TRUE)</f>
        <v>AD</v>
      </c>
    </row>
    <row r="19" spans="2:16" ht="13.5" thickBot="1" x14ac:dyDescent="0.25">
      <c r="B19" s="8"/>
      <c r="C19" s="74" t="s">
        <v>4</v>
      </c>
      <c r="D19" s="64" t="s">
        <v>17</v>
      </c>
      <c r="E19" s="58" t="s">
        <v>18</v>
      </c>
      <c r="G19" s="107"/>
      <c r="H19" s="14"/>
      <c r="I19" s="15"/>
      <c r="J19" s="15"/>
      <c r="K19" s="15"/>
      <c r="L19" s="17"/>
      <c r="M19" s="9"/>
      <c r="O19" s="91"/>
      <c r="P19" s="92"/>
    </row>
    <row r="20" spans="2:16" x14ac:dyDescent="0.2">
      <c r="B20" s="8"/>
      <c r="C20" s="75"/>
      <c r="D20" s="77"/>
      <c r="E20" s="78"/>
      <c r="G20" s="107"/>
      <c r="H20" s="22" t="s">
        <v>24</v>
      </c>
      <c r="I20" s="15"/>
      <c r="J20" s="15"/>
      <c r="K20" s="15" t="s">
        <v>54</v>
      </c>
      <c r="L20" s="96">
        <f ca="1">SUMIF(INDIRECT($P$24&amp;"[Type]",FALSE),K20,INDIRECT($P$24&amp;"[Montant HT]"))</f>
        <v>-5000</v>
      </c>
      <c r="M20" s="9"/>
      <c r="N20" s="97">
        <f>'01 Gros Œuvre'!F8+'01 Gros Œuvre'!F9</f>
        <v>-5000</v>
      </c>
      <c r="O20" s="90" t="s">
        <v>78</v>
      </c>
      <c r="P20" s="125" t="s">
        <v>3</v>
      </c>
    </row>
    <row r="21" spans="2:16" x14ac:dyDescent="0.2">
      <c r="B21" s="8"/>
      <c r="C21" s="75"/>
      <c r="D21" s="77"/>
      <c r="E21" s="78"/>
      <c r="G21" s="107"/>
      <c r="H21" s="23"/>
      <c r="I21" s="15"/>
      <c r="J21" s="15"/>
      <c r="K21" s="15" t="s">
        <v>55</v>
      </c>
      <c r="L21" s="96">
        <f ca="1">SUMIF(INDIRECT($P$24&amp;"[Type]",FALSE),K21,INDIRECT($P$24&amp;"[Montant HT]"))</f>
        <v>20000</v>
      </c>
      <c r="M21" s="9"/>
      <c r="N21" s="97">
        <f>'01 Gros Œuvre'!F10</f>
        <v>20000</v>
      </c>
      <c r="O21" s="90" t="s">
        <v>79</v>
      </c>
      <c r="P21" s="125" t="s">
        <v>3</v>
      </c>
    </row>
    <row r="22" spans="2:16" x14ac:dyDescent="0.2">
      <c r="B22" s="8"/>
      <c r="C22" s="75"/>
      <c r="D22" s="77"/>
      <c r="E22" s="78"/>
      <c r="G22" s="107"/>
      <c r="H22" s="23"/>
      <c r="I22" s="15"/>
      <c r="J22" s="15"/>
      <c r="K22" s="15" t="s">
        <v>59</v>
      </c>
      <c r="L22" s="96">
        <f ca="1">SUMIF(INDIRECT($P$24&amp;"[Type]",FALSE),K22,INDIRECT($P$24&amp;"[Montant HT]"))</f>
        <v>3000</v>
      </c>
      <c r="M22" s="9"/>
      <c r="N22" s="97">
        <f>'01 Gros Œuvre'!F11</f>
        <v>3000</v>
      </c>
      <c r="O22" s="91" t="s">
        <v>84</v>
      </c>
      <c r="P22" s="125" t="s">
        <v>85</v>
      </c>
    </row>
    <row r="23" spans="2:16" x14ac:dyDescent="0.2">
      <c r="B23" s="8"/>
      <c r="C23" s="75"/>
      <c r="D23" s="77"/>
      <c r="E23" s="78"/>
      <c r="G23" s="107"/>
      <c r="H23" s="23"/>
      <c r="I23" s="15"/>
      <c r="J23" s="15"/>
      <c r="K23" s="15" t="s">
        <v>60</v>
      </c>
      <c r="L23" s="96">
        <f ca="1">SUMIF(INDIRECT($P$24&amp;"[Type]",FALSE),K23,INDIRECT($P$24&amp;"[Montant HT]"))</f>
        <v>750</v>
      </c>
      <c r="M23" s="9"/>
      <c r="N23" s="97">
        <f>'01 Gros Œuvre'!F12+'01 Gros Œuvre'!F13+'01 Gros Œuvre'!F14</f>
        <v>750</v>
      </c>
      <c r="O23" s="91"/>
      <c r="P23" s="92"/>
    </row>
    <row r="24" spans="2:16" x14ac:dyDescent="0.2">
      <c r="B24" s="8"/>
      <c r="C24" s="75"/>
      <c r="D24" s="77"/>
      <c r="E24" s="78"/>
      <c r="G24" s="107"/>
      <c r="H24" s="14"/>
      <c r="I24" s="15"/>
      <c r="J24" s="15"/>
      <c r="K24" s="15"/>
      <c r="L24" s="17"/>
      <c r="M24" s="9"/>
      <c r="O24" s="91" t="s">
        <v>80</v>
      </c>
      <c r="P24" s="92" t="s">
        <v>75</v>
      </c>
    </row>
    <row r="25" spans="2:16" x14ac:dyDescent="0.2">
      <c r="B25" s="8"/>
      <c r="C25" s="75"/>
      <c r="D25" s="77"/>
      <c r="E25" s="78"/>
      <c r="G25" s="107"/>
      <c r="H25" s="22" t="s">
        <v>25</v>
      </c>
      <c r="I25" s="15"/>
      <c r="J25" s="15"/>
      <c r="K25" s="16" t="s">
        <v>21</v>
      </c>
      <c r="L25" s="24"/>
      <c r="M25" s="9"/>
      <c r="O25" s="91" t="s">
        <v>81</v>
      </c>
      <c r="P25" s="92" t="s">
        <v>76</v>
      </c>
    </row>
    <row r="26" spans="2:16" x14ac:dyDescent="0.2">
      <c r="B26" s="8"/>
      <c r="C26" s="75"/>
      <c r="D26" s="77"/>
      <c r="E26" s="78"/>
      <c r="G26" s="107"/>
      <c r="H26" s="22"/>
      <c r="I26" s="15"/>
      <c r="J26" s="15"/>
      <c r="K26" s="16" t="s">
        <v>43</v>
      </c>
      <c r="L26" s="24"/>
      <c r="M26" s="9"/>
      <c r="O26" s="91"/>
      <c r="P26" s="92"/>
    </row>
    <row r="27" spans="2:16" ht="13.5" thickBot="1" x14ac:dyDescent="0.25">
      <c r="B27" s="8"/>
      <c r="C27" s="75"/>
      <c r="D27" s="77"/>
      <c r="E27" s="78"/>
      <c r="G27" s="107"/>
      <c r="H27" s="14"/>
      <c r="I27" s="15"/>
      <c r="J27" s="15"/>
      <c r="K27" s="16" t="s">
        <v>22</v>
      </c>
      <c r="L27" s="24"/>
      <c r="M27" s="9"/>
      <c r="O27" s="91" t="s">
        <v>82</v>
      </c>
      <c r="P27" s="126" t="s">
        <v>77</v>
      </c>
    </row>
    <row r="28" spans="2:16" ht="13.5" thickBot="1" x14ac:dyDescent="0.25">
      <c r="B28" s="8"/>
      <c r="C28" s="75"/>
      <c r="D28" s="77"/>
      <c r="E28" s="78"/>
      <c r="G28" s="108"/>
      <c r="H28" s="18"/>
      <c r="I28" s="19"/>
      <c r="J28" s="19"/>
      <c r="K28" s="56" t="s">
        <v>23</v>
      </c>
      <c r="L28" s="57"/>
      <c r="M28" s="9"/>
      <c r="O28" s="93" t="s">
        <v>83</v>
      </c>
      <c r="P28" s="127" t="s">
        <v>86</v>
      </c>
    </row>
    <row r="29" spans="2:16" ht="13.5" thickBot="1" x14ac:dyDescent="0.25">
      <c r="B29" s="8"/>
      <c r="C29" s="75"/>
      <c r="D29" s="77"/>
      <c r="E29" s="78"/>
      <c r="H29" s="15"/>
      <c r="I29" s="15"/>
      <c r="J29" s="15"/>
      <c r="K29" s="15"/>
      <c r="L29" s="26"/>
      <c r="M29" s="9"/>
    </row>
    <row r="30" spans="2:16" ht="12.75" customHeight="1" x14ac:dyDescent="0.2">
      <c r="B30" s="8"/>
      <c r="C30" s="75"/>
      <c r="D30" s="77"/>
      <c r="E30" s="78"/>
      <c r="G30" s="106" t="s">
        <v>26</v>
      </c>
      <c r="H30" s="110" t="s">
        <v>46</v>
      </c>
      <c r="I30" s="111"/>
      <c r="J30" s="111"/>
      <c r="K30" s="27"/>
      <c r="L30" s="28"/>
      <c r="M30" s="9"/>
    </row>
    <row r="31" spans="2:16" x14ac:dyDescent="0.2">
      <c r="B31" s="8"/>
      <c r="C31" s="75"/>
      <c r="D31" s="77"/>
      <c r="E31" s="78"/>
      <c r="G31" s="107"/>
      <c r="H31" s="29" t="s">
        <v>27</v>
      </c>
      <c r="I31" s="15"/>
      <c r="J31" s="15"/>
      <c r="K31" s="15"/>
      <c r="L31" s="24"/>
      <c r="M31" s="9"/>
    </row>
    <row r="32" spans="2:16" x14ac:dyDescent="0.2">
      <c r="B32" s="8"/>
      <c r="C32" s="75"/>
      <c r="D32" s="77"/>
      <c r="E32" s="78"/>
      <c r="G32" s="107"/>
      <c r="H32" s="14"/>
      <c r="I32" s="15"/>
      <c r="J32" s="15"/>
      <c r="K32" s="15"/>
      <c r="L32" s="24"/>
      <c r="M32" s="9"/>
    </row>
    <row r="33" spans="2:15" ht="12.75" customHeight="1" x14ac:dyDescent="0.2">
      <c r="B33" s="8"/>
      <c r="C33" s="75"/>
      <c r="D33" s="77"/>
      <c r="E33" s="78"/>
      <c r="G33" s="109"/>
      <c r="H33" s="117" t="s">
        <v>28</v>
      </c>
      <c r="I33" s="117"/>
      <c r="J33" s="117"/>
      <c r="K33" s="117"/>
      <c r="L33" s="24"/>
      <c r="M33" s="9"/>
    </row>
    <row r="34" spans="2:15" x14ac:dyDescent="0.2">
      <c r="B34" s="8"/>
      <c r="C34" s="75"/>
      <c r="D34" s="77"/>
      <c r="E34" s="78"/>
      <c r="G34" s="107"/>
      <c r="H34" s="14"/>
      <c r="I34" s="15"/>
      <c r="J34" s="15"/>
      <c r="K34" s="15"/>
      <c r="L34" s="24"/>
      <c r="M34" s="9"/>
    </row>
    <row r="35" spans="2:15" x14ac:dyDescent="0.2">
      <c r="B35" s="8"/>
      <c r="C35" s="75"/>
      <c r="D35" s="77"/>
      <c r="E35" s="78"/>
      <c r="G35" s="107"/>
      <c r="H35" s="22" t="s">
        <v>70</v>
      </c>
      <c r="I35" s="15"/>
      <c r="J35" s="15"/>
      <c r="K35" s="15"/>
      <c r="L35" s="24"/>
      <c r="M35" s="9"/>
    </row>
    <row r="36" spans="2:15" x14ac:dyDescent="0.2">
      <c r="B36" s="8"/>
      <c r="C36" s="75"/>
      <c r="D36" s="77"/>
      <c r="E36" s="78"/>
      <c r="G36" s="107"/>
      <c r="H36" s="14"/>
      <c r="I36" s="15"/>
      <c r="J36" s="15"/>
      <c r="K36" s="15"/>
      <c r="L36" s="24"/>
      <c r="M36" s="9"/>
      <c r="O36" s="71"/>
    </row>
    <row r="37" spans="2:15" x14ac:dyDescent="0.2">
      <c r="B37" s="8"/>
      <c r="C37" s="75"/>
      <c r="D37" s="77"/>
      <c r="E37" s="78"/>
      <c r="G37" s="107"/>
      <c r="H37" s="22" t="s">
        <v>29</v>
      </c>
      <c r="I37" s="15"/>
      <c r="J37" s="15"/>
      <c r="K37" s="15"/>
      <c r="L37" s="24"/>
      <c r="M37" s="9"/>
    </row>
    <row r="38" spans="2:15" x14ac:dyDescent="0.2">
      <c r="B38" s="8"/>
      <c r="C38" s="75"/>
      <c r="D38" s="77"/>
      <c r="E38" s="78"/>
      <c r="G38" s="107"/>
      <c r="H38" s="14"/>
      <c r="I38" s="15"/>
      <c r="J38" s="15"/>
      <c r="K38" s="15"/>
      <c r="L38" s="24"/>
      <c r="M38" s="9"/>
    </row>
    <row r="39" spans="2:15" x14ac:dyDescent="0.2">
      <c r="B39" s="8"/>
      <c r="C39" s="75"/>
      <c r="D39" s="77"/>
      <c r="E39" s="78"/>
      <c r="G39" s="107"/>
      <c r="H39" s="22" t="s">
        <v>41</v>
      </c>
      <c r="I39" s="15"/>
      <c r="J39" s="15"/>
      <c r="K39" s="15"/>
      <c r="L39" s="24"/>
      <c r="M39" s="9"/>
    </row>
    <row r="40" spans="2:15" ht="13.5" thickBot="1" x14ac:dyDescent="0.25">
      <c r="B40" s="8"/>
      <c r="C40" s="76"/>
      <c r="D40" s="77"/>
      <c r="E40" s="78"/>
      <c r="G40" s="107"/>
      <c r="H40" s="8"/>
      <c r="L40" s="30"/>
      <c r="M40" s="9"/>
    </row>
    <row r="41" spans="2:15" ht="13.5" thickBot="1" x14ac:dyDescent="0.25">
      <c r="B41" s="8"/>
      <c r="C41" s="112" t="s">
        <v>30</v>
      </c>
      <c r="D41" s="113"/>
      <c r="E41" s="31">
        <f ca="1">E44-E43-E42</f>
        <v>0</v>
      </c>
      <c r="G41" s="107"/>
      <c r="H41" s="32" t="s">
        <v>31</v>
      </c>
      <c r="K41" s="16" t="s">
        <v>21</v>
      </c>
      <c r="L41" s="24"/>
      <c r="M41" s="9"/>
    </row>
    <row r="42" spans="2:15" ht="15.75" customHeight="1" thickBot="1" x14ac:dyDescent="0.25">
      <c r="B42" s="8"/>
      <c r="C42" s="112" t="s">
        <v>43</v>
      </c>
      <c r="D42" s="113"/>
      <c r="E42" s="31" cm="1">
        <f t="array" aca="1" ref="E42" ca="1">SUMPRODUCT(SUMIF(INDIRECT($P$25&amp;"[Numéro]",FALSE),C13:C38,INDIRECT($P$25&amp;"[Deduc 10]")))</f>
        <v>0</v>
      </c>
      <c r="G42" s="107"/>
      <c r="H42" s="32"/>
      <c r="K42" s="16" t="s">
        <v>43</v>
      </c>
      <c r="L42" s="24"/>
      <c r="M42" s="9"/>
    </row>
    <row r="43" spans="2:15" ht="13.5" thickBot="1" x14ac:dyDescent="0.25">
      <c r="B43" s="8"/>
      <c r="C43" s="112" t="s">
        <v>22</v>
      </c>
      <c r="D43" s="113"/>
      <c r="E43" s="31" cm="1">
        <f t="array" aca="1" ref="E43" ca="1">SUMPRODUCT(SUMIF(INDIRECT($P$25&amp;"[Numéro]",FALSE),C14:C39,INDIRECT($P$25&amp;"[Deduc 20]")))</f>
        <v>0</v>
      </c>
      <c r="G43" s="107"/>
      <c r="H43" s="8"/>
      <c r="K43" s="16" t="s">
        <v>22</v>
      </c>
      <c r="L43" s="24"/>
      <c r="M43" s="9"/>
    </row>
    <row r="44" spans="2:15" ht="13.5" thickBot="1" x14ac:dyDescent="0.25">
      <c r="B44" s="8"/>
      <c r="C44" s="112" t="s">
        <v>6</v>
      </c>
      <c r="D44" s="113"/>
      <c r="E44" s="31" cm="1">
        <f t="array" aca="1" ref="E44" ca="1">SUMPRODUCT(SUMIF(INDIRECT($P$25&amp;"[Numéro]",FALSE),C15:C40,INDIRECT($P$25&amp;"[Deduc TTC]")))</f>
        <v>0</v>
      </c>
      <c r="G44" s="108"/>
      <c r="H44" s="33"/>
      <c r="I44" s="34"/>
      <c r="J44" s="34"/>
      <c r="K44" s="20" t="s">
        <v>23</v>
      </c>
      <c r="L44" s="25"/>
      <c r="M44" s="9"/>
    </row>
    <row r="45" spans="2:15" x14ac:dyDescent="0.2">
      <c r="B45" s="8"/>
      <c r="L45" s="35"/>
      <c r="M45" s="9"/>
    </row>
    <row r="46" spans="2:15" ht="18" customHeight="1" x14ac:dyDescent="0.2">
      <c r="B46" s="8"/>
      <c r="L46" s="36"/>
      <c r="M46" s="9"/>
    </row>
    <row r="47" spans="2:15" x14ac:dyDescent="0.2">
      <c r="B47" s="8"/>
      <c r="L47" s="36"/>
      <c r="M47" s="9"/>
    </row>
    <row r="48" spans="2:15" x14ac:dyDescent="0.2">
      <c r="B48" s="8"/>
      <c r="L48" s="35"/>
      <c r="M48" s="9"/>
    </row>
    <row r="49" spans="2:15" ht="15" x14ac:dyDescent="0.25">
      <c r="B49" s="8"/>
      <c r="L49" s="37" t="str" cm="1">
        <f t="array" ref="L49">_xlfn.LET(
_xlpm.Denom, {" million ";" mille ";" Euro ";" Centimes"},
_xlpm.Nums, {"","Un","Deux","Trois","Quatre","Cinq","Six","Sept","Huit","Neuf"},
_xlpm.Teens, {"Dix","Onze","Douze","Treize","Quatorze","Quinze","Seize","Dix-sept","Dix-huit","Dix-neuf"},
_xlpm.Tens, {"","Dix","Vingt"," Trente"," Quarante","Cinquante","Soixante"," Soixante","Quatre-vingt","Quatre-vingt"},
_xlpm.grp, {0;1;2;3},
_xlfn.LET(
_xlpm.N, SUBSTITUTE( TEXT( L44, REPT(0,9)&amp;",00" ),",","0"),
_xlpm.H, VALUE( MID( _xlpm.N, 3*_xlpm.grp+1, 1) ), _xlpm.T, VALUE( MID( _xlpm.N, 3*_xlpm.grp+2, 1) ),
_xlpm.U, VALUE( MID( _xlpm.N, 3*_xlpm.grp+3, 1) ),
_xlpm.Htxt, IF( _xlpm.H, IF(_xlpm.H&gt;1, INDEX( _xlpm.Nums, _xlpm.H+1 ) &amp; " cent ", "cent " ), ""),
_xlpm.Ttxt, IF( _xlpm.T&gt;1, INDEX( _xlpm.Tens, _xlpm.T+1 ) &amp; IF( _xlpm.U&gt;0, " ", "" ), " " ),
_xlpm.Utxt, IF((_xlpm.T+_xlpm.U), IF((_xlpm.T=1)+(_xlpm.T=7)+(_xlpm.T=9), INDEX(_xlpm.Teens,_xlpm.U+1 ),INDEX(_xlpm.Nums,_xlpm.U+1))),
TRIM(SUBSTITUTE(PROPER(_xlfn.CONCAT( IF( _xlpm.H+_xlpm.T+_xlpm.U, _xlpm.Htxt &amp; _xlpm.Ttxt &amp; _xlpm.Utxt &amp; _xlpm.Denom, "" ))),"Un Mille","Mille"))
))</f>
        <v/>
      </c>
      <c r="M49" s="9"/>
    </row>
    <row r="50" spans="2:15" x14ac:dyDescent="0.2">
      <c r="B50" s="8"/>
      <c r="L50" s="36"/>
      <c r="M50" s="9"/>
    </row>
    <row r="51" spans="2:15" x14ac:dyDescent="0.2">
      <c r="B51" s="8"/>
      <c r="L51" s="35"/>
      <c r="M51" s="9"/>
    </row>
    <row r="52" spans="2:15" x14ac:dyDescent="0.2">
      <c r="B52" s="8"/>
      <c r="J52" s="62"/>
      <c r="K52" s="105"/>
      <c r="L52" s="105"/>
      <c r="M52" s="9"/>
    </row>
    <row r="53" spans="2:15" ht="165" customHeight="1" thickBot="1" x14ac:dyDescent="0.25">
      <c r="B53" s="8"/>
      <c r="H53" s="61"/>
      <c r="I53" s="104"/>
      <c r="J53" s="104"/>
      <c r="K53" s="104"/>
      <c r="L53" s="104"/>
      <c r="M53" s="9"/>
    </row>
    <row r="54" spans="2:15" x14ac:dyDescent="0.2">
      <c r="B54" s="5"/>
      <c r="C54" s="72"/>
      <c r="D54" s="5"/>
      <c r="E54" s="5"/>
      <c r="F54" s="5"/>
      <c r="G54" s="5"/>
      <c r="H54" s="5"/>
      <c r="I54" s="5"/>
      <c r="J54" s="5"/>
      <c r="K54" s="5"/>
      <c r="L54" s="60"/>
      <c r="M54" s="5"/>
    </row>
    <row r="55" spans="2:15" x14ac:dyDescent="0.2">
      <c r="L55" s="35"/>
    </row>
    <row r="56" spans="2:15" x14ac:dyDescent="0.2">
      <c r="L56" s="35"/>
      <c r="O56" s="71"/>
    </row>
    <row r="57" spans="2:15" x14ac:dyDescent="0.2">
      <c r="L57" s="35"/>
    </row>
    <row r="58" spans="2:15" x14ac:dyDescent="0.2">
      <c r="L58" s="35"/>
    </row>
    <row r="59" spans="2:15" x14ac:dyDescent="0.2">
      <c r="L59" s="35"/>
    </row>
    <row r="60" spans="2:15" x14ac:dyDescent="0.2">
      <c r="L60" s="35"/>
    </row>
    <row r="61" spans="2:15" x14ac:dyDescent="0.2">
      <c r="L61" s="35"/>
    </row>
    <row r="62" spans="2:15" x14ac:dyDescent="0.2">
      <c r="L62" s="35"/>
    </row>
    <row r="63" spans="2:15" x14ac:dyDescent="0.2">
      <c r="L63" s="35"/>
    </row>
    <row r="64" spans="2:15" x14ac:dyDescent="0.2">
      <c r="L64" s="35"/>
    </row>
    <row r="65" spans="12:12" x14ac:dyDescent="0.2">
      <c r="L65" s="35"/>
    </row>
    <row r="66" spans="12:12" x14ac:dyDescent="0.2">
      <c r="L66" s="35"/>
    </row>
    <row r="67" spans="12:12" x14ac:dyDescent="0.2">
      <c r="L67" s="35"/>
    </row>
    <row r="68" spans="12:12" x14ac:dyDescent="0.2">
      <c r="L68" s="35"/>
    </row>
    <row r="69" spans="12:12" x14ac:dyDescent="0.2">
      <c r="L69" s="35"/>
    </row>
    <row r="70" spans="12:12" x14ac:dyDescent="0.2">
      <c r="L70" s="35"/>
    </row>
    <row r="71" spans="12:12" x14ac:dyDescent="0.2">
      <c r="L71" s="35"/>
    </row>
    <row r="72" spans="12:12" x14ac:dyDescent="0.2">
      <c r="L72" s="35"/>
    </row>
    <row r="73" spans="12:12" x14ac:dyDescent="0.2">
      <c r="L73" s="35"/>
    </row>
    <row r="74" spans="12:12" x14ac:dyDescent="0.2">
      <c r="L74" s="35"/>
    </row>
    <row r="75" spans="12:12" x14ac:dyDescent="0.2">
      <c r="L75" s="35"/>
    </row>
    <row r="76" spans="12:12" x14ac:dyDescent="0.2">
      <c r="L76" s="35"/>
    </row>
    <row r="77" spans="12:12" x14ac:dyDescent="0.2">
      <c r="L77" s="35"/>
    </row>
    <row r="78" spans="12:12" x14ac:dyDescent="0.2">
      <c r="L78" s="35"/>
    </row>
    <row r="79" spans="12:12" x14ac:dyDescent="0.2">
      <c r="L79" s="35"/>
    </row>
    <row r="80" spans="12:12" x14ac:dyDescent="0.2">
      <c r="L80" s="35"/>
    </row>
    <row r="81" spans="12:12" x14ac:dyDescent="0.2">
      <c r="L81" s="35"/>
    </row>
    <row r="82" spans="12:12" x14ac:dyDescent="0.2">
      <c r="L82" s="35"/>
    </row>
    <row r="83" spans="12:12" x14ac:dyDescent="0.2">
      <c r="L83" s="35"/>
    </row>
    <row r="84" spans="12:12" x14ac:dyDescent="0.2">
      <c r="L84" s="35"/>
    </row>
    <row r="85" spans="12:12" x14ac:dyDescent="0.2">
      <c r="L85" s="35"/>
    </row>
    <row r="86" spans="12:12" x14ac:dyDescent="0.2">
      <c r="L86" s="35"/>
    </row>
    <row r="87" spans="12:12" x14ac:dyDescent="0.2">
      <c r="L87" s="35"/>
    </row>
    <row r="88" spans="12:12" x14ac:dyDescent="0.2">
      <c r="L88" s="35"/>
    </row>
    <row r="89" spans="12:12" x14ac:dyDescent="0.2">
      <c r="L89" s="35"/>
    </row>
    <row r="90" spans="12:12" x14ac:dyDescent="0.2">
      <c r="L90" s="35"/>
    </row>
    <row r="91" spans="12:12" x14ac:dyDescent="0.2">
      <c r="L91" s="35"/>
    </row>
    <row r="92" spans="12:12" x14ac:dyDescent="0.2">
      <c r="L92" s="35"/>
    </row>
    <row r="93" spans="12:12" x14ac:dyDescent="0.2">
      <c r="L93" s="35"/>
    </row>
    <row r="94" spans="12:12" x14ac:dyDescent="0.2">
      <c r="L94" s="35"/>
    </row>
    <row r="95" spans="12:12" x14ac:dyDescent="0.2">
      <c r="L95" s="35"/>
    </row>
    <row r="96" spans="12:12" x14ac:dyDescent="0.2">
      <c r="L96" s="35"/>
    </row>
    <row r="97" spans="12:12" x14ac:dyDescent="0.2">
      <c r="L97" s="35"/>
    </row>
    <row r="98" spans="12:12" x14ac:dyDescent="0.2">
      <c r="L98" s="35"/>
    </row>
    <row r="99" spans="12:12" x14ac:dyDescent="0.2">
      <c r="L99" s="35"/>
    </row>
    <row r="100" spans="12:12" x14ac:dyDescent="0.2">
      <c r="L100" s="35"/>
    </row>
    <row r="101" spans="12:12" x14ac:dyDescent="0.2">
      <c r="L101" s="35"/>
    </row>
    <row r="102" spans="12:12" x14ac:dyDescent="0.2">
      <c r="L102" s="35"/>
    </row>
    <row r="103" spans="12:12" x14ac:dyDescent="0.2">
      <c r="L103" s="35"/>
    </row>
    <row r="104" spans="12:12" x14ac:dyDescent="0.2">
      <c r="L104" s="35"/>
    </row>
    <row r="105" spans="12:12" x14ac:dyDescent="0.2">
      <c r="L105" s="35"/>
    </row>
    <row r="106" spans="12:12" x14ac:dyDescent="0.2">
      <c r="L106" s="35"/>
    </row>
    <row r="107" spans="12:12" x14ac:dyDescent="0.2">
      <c r="L107" s="35"/>
    </row>
  </sheetData>
  <mergeCells count="16">
    <mergeCell ref="C42:D42"/>
    <mergeCell ref="C43:D43"/>
    <mergeCell ref="C44:D44"/>
    <mergeCell ref="C2:G2"/>
    <mergeCell ref="H33:K33"/>
    <mergeCell ref="I2:L2"/>
    <mergeCell ref="C6:L6"/>
    <mergeCell ref="C7:L7"/>
    <mergeCell ref="C9:I9"/>
    <mergeCell ref="C41:D41"/>
    <mergeCell ref="C15:C17"/>
    <mergeCell ref="I53:L53"/>
    <mergeCell ref="K52:L52"/>
    <mergeCell ref="G14:G28"/>
    <mergeCell ref="G30:G44"/>
    <mergeCell ref="H30:J30"/>
  </mergeCells>
  <pageMargins left="0.23622047244094491" right="0.23622047244094491" top="0.23622047244094491" bottom="0" header="0.31496062992125984" footer="0.31496062992125984"/>
  <pageSetup paperSize="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092" r:id="rId4" name="Button 4">
              <controlPr defaultSize="0" print="0" autoFill="0" autoPict="0" macro="[0]!Ini_Variables">
                <anchor moveWithCells="1">
                  <from>
                    <xdr:col>13</xdr:col>
                    <xdr:colOff>676275</xdr:colOff>
                    <xdr:row>1</xdr:row>
                    <xdr:rowOff>447675</xdr:rowOff>
                  </from>
                  <to>
                    <xdr:col>14</xdr:col>
                    <xdr:colOff>742950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3" r:id="rId5" name="Button 5">
              <controlPr defaultSize="0" print="0" autoFill="0" autoPict="0" macro="[0]!CPSuivant">
                <anchor moveWithCells="1">
                  <from>
                    <xdr:col>16</xdr:col>
                    <xdr:colOff>438150</xdr:colOff>
                    <xdr:row>1</xdr:row>
                    <xdr:rowOff>285750</xdr:rowOff>
                  </from>
                  <to>
                    <xdr:col>16</xdr:col>
                    <xdr:colOff>1552575</xdr:colOff>
                    <xdr:row>1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01 Gros Œuvre</vt:lpstr>
      <vt:lpstr>01_01</vt:lpstr>
      <vt:lpstr>'01_01'!Zone_d_impression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baptiste Gatellier</cp:lastModifiedBy>
  <cp:lastPrinted>2025-10-27T15:44:53Z</cp:lastPrinted>
  <dcterms:created xsi:type="dcterms:W3CDTF">2024-12-18T13:47:01Z</dcterms:created>
  <dcterms:modified xsi:type="dcterms:W3CDTF">2025-11-21T11:48:32Z</dcterms:modified>
</cp:coreProperties>
</file>