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DieseArbeitsmappe" defaultThemeVersion="124226"/>
  <bookViews>
    <workbookView xWindow="0" yWindow="0" windowWidth="20490" windowHeight="7635"/>
  </bookViews>
  <sheets>
    <sheet name="Feuil1" sheetId="2" r:id="rId1"/>
  </sheets>
  <calcPr calcId="145621"/>
</workbook>
</file>

<file path=xl/calcChain.xml><?xml version="1.0" encoding="utf-8"?>
<calcChain xmlns="http://schemas.openxmlformats.org/spreadsheetml/2006/main">
  <c r="K49" i="2" l="1"/>
  <c r="K50" i="2"/>
  <c r="K51" i="2"/>
  <c r="K52" i="2"/>
  <c r="K53" i="2"/>
  <c r="K54" i="2"/>
  <c r="K55" i="2"/>
  <c r="K56" i="2"/>
  <c r="K57" i="2"/>
  <c r="J49" i="2"/>
  <c r="J50" i="2"/>
  <c r="J51" i="2"/>
  <c r="J52" i="2"/>
  <c r="J53" i="2"/>
  <c r="J54" i="2"/>
  <c r="J55" i="2"/>
  <c r="J56" i="2"/>
  <c r="J57" i="2"/>
  <c r="K48" i="2"/>
  <c r="J48" i="2"/>
  <c r="J39" i="2"/>
  <c r="J40" i="2" s="1"/>
  <c r="J41" i="2" s="1"/>
  <c r="J42" i="2" s="1"/>
  <c r="J43" i="2" s="1"/>
  <c r="J44" i="2" s="1"/>
  <c r="J45" i="2" s="1"/>
  <c r="J46" i="2" s="1"/>
  <c r="K39" i="2"/>
  <c r="J38" i="2"/>
  <c r="K38" i="2" s="1"/>
  <c r="T38" i="2"/>
  <c r="R39" i="2"/>
  <c r="R40" i="2" s="1"/>
  <c r="S38" i="2"/>
  <c r="N38" i="2"/>
  <c r="K42" i="2" l="1"/>
  <c r="S39" i="2"/>
  <c r="K41" i="2"/>
  <c r="K43" i="2"/>
  <c r="K40" i="2"/>
  <c r="R41" i="2"/>
  <c r="T40" i="2"/>
  <c r="S40" i="2"/>
  <c r="T39" i="2"/>
  <c r="O10" i="2"/>
  <c r="O11" i="2" s="1"/>
  <c r="O12" i="2" s="1"/>
  <c r="R42" i="2" l="1"/>
  <c r="T41" i="2"/>
  <c r="S41" i="2"/>
  <c r="O13" i="2"/>
  <c r="O14" i="2" s="1"/>
  <c r="O15" i="2" s="1"/>
  <c r="J20" i="2"/>
  <c r="K20" i="2" s="1"/>
  <c r="J21" i="2"/>
  <c r="K21" i="2" s="1"/>
  <c r="J22" i="2"/>
  <c r="K22" i="2" s="1"/>
  <c r="J23" i="2"/>
  <c r="K23" i="2" s="1"/>
  <c r="J24" i="2"/>
  <c r="K24" i="2" s="1"/>
  <c r="J25" i="2"/>
  <c r="K25" i="2" s="1"/>
  <c r="J26" i="2"/>
  <c r="K26" i="2" s="1"/>
  <c r="J27" i="2"/>
  <c r="K27" i="2" s="1"/>
  <c r="J28" i="2"/>
  <c r="K28" i="2" s="1"/>
  <c r="J19" i="2"/>
  <c r="K19" i="2" s="1"/>
  <c r="R10" i="2"/>
  <c r="T9" i="2"/>
  <c r="S9" i="2"/>
  <c r="K45" i="2" l="1"/>
  <c r="J47" i="2"/>
  <c r="K47" i="2"/>
  <c r="K46" i="2"/>
  <c r="K44" i="2"/>
  <c r="R43" i="2"/>
  <c r="T42" i="2"/>
  <c r="S42" i="2"/>
  <c r="S10" i="2"/>
  <c r="O16" i="2"/>
  <c r="O17" i="2" s="1"/>
  <c r="R11" i="2"/>
  <c r="R12" i="2" s="1"/>
  <c r="R13" i="2" s="1"/>
  <c r="R14" i="2" s="1"/>
  <c r="R15" i="2" s="1"/>
  <c r="R16" i="2" s="1"/>
  <c r="R17" i="2" s="1"/>
  <c r="R18" i="2" s="1"/>
  <c r="R19" i="2" s="1"/>
  <c r="S11" i="2" l="1"/>
  <c r="S12" i="2" s="1"/>
  <c r="S13" i="2" s="1"/>
  <c r="S14" i="2" s="1"/>
  <c r="S15" i="2" s="1"/>
  <c r="S16" i="2" s="1"/>
  <c r="S17" i="2" s="1"/>
  <c r="S18" i="2" s="1"/>
  <c r="R44" i="2"/>
  <c r="T43" i="2"/>
  <c r="S43" i="2"/>
  <c r="R20" i="2"/>
  <c r="S19" i="2"/>
  <c r="O18" i="2"/>
  <c r="R45" i="2" l="1"/>
  <c r="T44" i="2"/>
  <c r="S44" i="2"/>
  <c r="R21" i="2"/>
  <c r="S20" i="2"/>
  <c r="N9" i="2"/>
  <c r="J10" i="2"/>
  <c r="T10" i="2" s="1"/>
  <c r="R46" i="2" l="1"/>
  <c r="T45" i="2"/>
  <c r="S45" i="2"/>
  <c r="R22" i="2"/>
  <c r="S21" i="2"/>
  <c r="N10" i="2"/>
  <c r="J11" i="2"/>
  <c r="R47" i="2" l="1"/>
  <c r="T46" i="2"/>
  <c r="S46" i="2"/>
  <c r="R23" i="2"/>
  <c r="S22" i="2"/>
  <c r="N11" i="2"/>
  <c r="J12" i="2"/>
  <c r="T12" i="2" s="1"/>
  <c r="T11" i="2"/>
  <c r="R48" i="2" l="1"/>
  <c r="T47" i="2"/>
  <c r="S47" i="2"/>
  <c r="R24" i="2"/>
  <c r="S23" i="2"/>
  <c r="N12" i="2"/>
  <c r="N13" i="2"/>
  <c r="J13" i="2"/>
  <c r="S48" i="2" l="1"/>
  <c r="R49" i="2"/>
  <c r="T48" i="2"/>
  <c r="R25" i="2"/>
  <c r="S24" i="2"/>
  <c r="N14" i="2"/>
  <c r="N15" i="2" s="1"/>
  <c r="J14" i="2"/>
  <c r="T13" i="2"/>
  <c r="T49" i="2" l="1"/>
  <c r="S49" i="2"/>
  <c r="R50" i="2"/>
  <c r="R26" i="2"/>
  <c r="S25" i="2"/>
  <c r="N16" i="2"/>
  <c r="J15" i="2"/>
  <c r="T14" i="2"/>
  <c r="T19" i="2"/>
  <c r="N17" i="2" l="1"/>
  <c r="N18" i="2" s="1"/>
  <c r="N19" i="2" s="1"/>
  <c r="O19" i="2" s="1"/>
  <c r="R51" i="2"/>
  <c r="S50" i="2"/>
  <c r="T50" i="2"/>
  <c r="R27" i="2"/>
  <c r="S26" i="2"/>
  <c r="J16" i="2"/>
  <c r="T15" i="2"/>
  <c r="T20" i="2"/>
  <c r="N20" i="2" l="1"/>
  <c r="N21" i="2" s="1"/>
  <c r="N22" i="2" s="1"/>
  <c r="N23" i="2" s="1"/>
  <c r="N24" i="2" s="1"/>
  <c r="N25" i="2" s="1"/>
  <c r="N26" i="2" s="1"/>
  <c r="N27" i="2" s="1"/>
  <c r="N28" i="2" s="1"/>
  <c r="N39" i="2" s="1"/>
  <c r="N40" i="2" s="1"/>
  <c r="N41" i="2" s="1"/>
  <c r="N42" i="2" s="1"/>
  <c r="N43" i="2" s="1"/>
  <c r="N44" i="2" s="1"/>
  <c r="N45" i="2" s="1"/>
  <c r="N46" i="2" s="1"/>
  <c r="N47" i="2" s="1"/>
  <c r="N48" i="2" s="1"/>
  <c r="N49" i="2" s="1"/>
  <c r="N50" i="2" s="1"/>
  <c r="N51" i="2" s="1"/>
  <c r="R52" i="2"/>
  <c r="T51" i="2"/>
  <c r="S51" i="2"/>
  <c r="R28" i="2"/>
  <c r="S28" i="2" s="1"/>
  <c r="S27" i="2"/>
  <c r="J17" i="2"/>
  <c r="J18" i="2" s="1"/>
  <c r="T16" i="2"/>
  <c r="T21" i="2"/>
  <c r="O20" i="2" l="1"/>
  <c r="N52" i="2"/>
  <c r="N53" i="2" s="1"/>
  <c r="N54" i="2" s="1"/>
  <c r="N55" i="2" s="1"/>
  <c r="N56" i="2" s="1"/>
  <c r="N57" i="2" s="1"/>
  <c r="S52" i="2"/>
  <c r="R53" i="2"/>
  <c r="T52" i="2"/>
  <c r="T18" i="2"/>
  <c r="T17" i="2"/>
  <c r="T22" i="2"/>
  <c r="O21" i="2" l="1"/>
  <c r="O22" i="2" s="1"/>
  <c r="O23" i="2" s="1"/>
  <c r="O24" i="2" s="1"/>
  <c r="O25" i="2" s="1"/>
  <c r="O26" i="2" s="1"/>
  <c r="O27" i="2" s="1"/>
  <c r="O28" i="2" s="1"/>
  <c r="O39" i="2"/>
  <c r="T53" i="2"/>
  <c r="S53" i="2"/>
  <c r="R54" i="2"/>
  <c r="T23" i="2"/>
  <c r="O40" i="2" l="1"/>
  <c r="R55" i="2"/>
  <c r="T54" i="2"/>
  <c r="S54" i="2"/>
  <c r="T24" i="2"/>
  <c r="O41" i="2" l="1"/>
  <c r="R56" i="2"/>
  <c r="T55" i="2"/>
  <c r="S55" i="2"/>
  <c r="T25" i="2"/>
  <c r="O42" i="2" l="1"/>
  <c r="S56" i="2"/>
  <c r="R57" i="2"/>
  <c r="T56" i="2"/>
  <c r="T26" i="2"/>
  <c r="O43" i="2" l="1"/>
  <c r="O44" i="2" s="1"/>
  <c r="O45" i="2" s="1"/>
  <c r="O46" i="2" s="1"/>
  <c r="O47" i="2" s="1"/>
  <c r="O48" i="2" s="1"/>
  <c r="O49" i="2" s="1"/>
  <c r="O50" i="2" s="1"/>
  <c r="O51" i="2" s="1"/>
  <c r="O52" i="2" s="1"/>
  <c r="O53" i="2" s="1"/>
  <c r="O54" i="2" s="1"/>
  <c r="O55" i="2" s="1"/>
  <c r="O56" i="2" s="1"/>
  <c r="O57" i="2" s="1"/>
  <c r="T57" i="2"/>
  <c r="S57" i="2"/>
  <c r="T27" i="2"/>
  <c r="T28" i="2" l="1"/>
</calcChain>
</file>

<file path=xl/comments1.xml><?xml version="1.0" encoding="utf-8"?>
<comments xmlns="http://schemas.openxmlformats.org/spreadsheetml/2006/main">
  <authors>
    <author>Admin</author>
  </authors>
  <commentList>
    <comment ref="K9" authorId="0">
      <text>
        <r>
          <rPr>
            <b/>
            <sz val="9"/>
            <color indexed="81"/>
            <rFont val="Tahoma"/>
            <family val="2"/>
          </rPr>
          <t>Il n'y a pas
de formule.</t>
        </r>
      </text>
    </comment>
    <comment ref="O38" authorId="0">
      <text>
        <r>
          <rPr>
            <b/>
            <sz val="9"/>
            <color indexed="81"/>
            <rFont val="Tahoma"/>
            <family val="2"/>
          </rPr>
          <t>Il n'y a pas
de formule.</t>
        </r>
      </text>
    </comment>
  </commentList>
</comments>
</file>

<file path=xl/sharedStrings.xml><?xml version="1.0" encoding="utf-8"?>
<sst xmlns="http://schemas.openxmlformats.org/spreadsheetml/2006/main" count="57" uniqueCount="27">
  <si>
    <t>Report déficit :</t>
  </si>
  <si>
    <t>Intérêts
d'emprunt annuels</t>
  </si>
  <si>
    <t>LES DONNEES</t>
  </si>
  <si>
    <t>(10 ans, modifiable)</t>
  </si>
  <si>
    <t>(plafond, modifiable)</t>
  </si>
  <si>
    <t>Années</t>
  </si>
  <si>
    <t>Déficit maxi autorisé :</t>
  </si>
  <si>
    <t>Décicits cumulés
(reportables en N+1)</t>
  </si>
  <si>
    <t>Exemple N :</t>
  </si>
  <si>
    <r>
      <t xml:space="preserve">Montants
imposables
</t>
    </r>
    <r>
      <rPr>
        <b/>
        <sz val="9"/>
        <rFont val="Calibri"/>
        <family val="2"/>
        <scheme val="minor"/>
      </rPr>
      <t>(-10 700 € maxi)</t>
    </r>
  </si>
  <si>
    <t>ANNEE 10</t>
  </si>
  <si>
    <t>ANNEE 11*</t>
  </si>
  <si>
    <t>Avec formules</t>
  </si>
  <si>
    <t>N</t>
  </si>
  <si>
    <t>Montants
imposables
(-10 700 € maxi)</t>
  </si>
  <si>
    <t>par m3ellem1</t>
  </si>
  <si>
    <t>par Fatos</t>
  </si>
  <si>
    <t>C'est bien à partir de la 11ème année que les déficits précédents ne sont plus reportables. Par conséquent, à partir de la 11ème année, nous devons faire le calcul sur l'année en cours.</t>
  </si>
  <si>
    <t>LES RESULTATS SANS FORMULES</t>
  </si>
  <si>
    <t>Revenus
annuels</t>
  </si>
  <si>
    <t>Charges
annuelles</t>
  </si>
  <si>
    <t>SCENARIO 1 | AVEC ET SANS DEFICITS</t>
  </si>
  <si>
    <r>
      <t xml:space="preserve">SCENARIO 2 | AVEC DEFICITS </t>
    </r>
    <r>
      <rPr>
        <b/>
        <u/>
        <sz val="14"/>
        <color theme="1"/>
        <rFont val="Calibri"/>
        <family val="2"/>
        <scheme val="minor"/>
      </rPr>
      <t>OK</t>
    </r>
  </si>
  <si>
    <t>Chaque année, les déficits cumulés déduiront les revenus de l'année suivantes sans dépasser un déficit de 10 700 €.</t>
  </si>
  <si>
    <t>Au-delà de 10 ans, le report de déficit s'interrompt. Cependant, les déficits (10700 € maxi) sont autorisés dans les mêmes conditions de calcul mais sans report.</t>
  </si>
  <si>
    <t>La règle c'est que les intérêts d'emprunt ne peuvent pas occasionner de déficit, on peut les déduire des revenus positifs (sans créer de déficit) mais pas les déduire des revenus  négatifs car dans ce cas, ils seront mis en réserve pour l'année suivante.
Les variables :
1. Le déficit annuel ne doit pas dépasser un plafond de 10 700 € (valeur modifiable)
2. La durée du déficit est autorisée jusqu'à 10 ans maximum (valeur modifiable)
1er scénario, j'ai des revenus positifs malgré la déduction des intérêts et des charges
- Alors, je suis imposé sur l'excédent
-----------------------------------------------------------------
2ème scénario, j'ai des revenus positifs qui deviennent déficitaires à cause des intérêts et/ou des charges
Exemple sur 1 année : j'ai des revenus de 5 000 € et 6 000 € d'intérêts d'emprunt et 12 000 € de charges
- Je déduis d'abord les intérêts d'emprunt à hauteur de 5000 € pour arriver à 0 € (reste 1 000 € d'intérêts à reporter l'année suivante)
- Je déduis ensuite la totalité des charges soit 12 000 € -&gt; j'obtiens normalement un déficit de 12 000 €. Cependant, seulement 10 700 € de charges peuvent être déduites. Donc il me reste encore 1 300 € de charges à reporter l'année suivante.
Le montant des 2 sommes est de 1 000 € d'intérêts + 1 300 € de charges = 2 300 € qui sont reportables l'année suivante jusqu'à 10 ans.</t>
  </si>
  <si>
    <t>Le principe reste le même, il faut d'abord déduire les intérêts d'emprunt si les revenus sont positifs (sans les mettre en négatif), puis déduire ensuite les charges sans créer un déficit supérieur à 10 700 €.
Attention ! Les montants imposables ne se cumulent pas.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</si>
</sst>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0\ &quot;€&quot;"/>
  </numFmts>
  <fonts count="20" x14ac:knownFonts="1">
    <font>
      <sz val="11"/>
      <color theme="1"/>
      <name val="Calibri"/>
      <family val="2"/>
      <scheme val="minor"/>
    </font>
    <font>
      <sz val="11"/>
      <color theme="1"/>
      <name val="Calibri"/>
      <family val="2"/>
      <scheme val="minor"/>
    </font>
    <font>
      <sz val="10"/>
      <name val="Arial"/>
      <family val="2"/>
    </font>
    <font>
      <sz val="10"/>
      <name val="Arial"/>
      <family val="2"/>
    </font>
    <font>
      <u/>
      <sz val="10"/>
      <color indexed="12"/>
      <name val="Arial"/>
      <family val="2"/>
    </font>
    <font>
      <u/>
      <sz val="12"/>
      <color theme="10"/>
      <name val="Calibri"/>
      <family val="2"/>
      <scheme val="minor"/>
    </font>
    <font>
      <sz val="12"/>
      <color theme="1"/>
      <name val="Calibri"/>
      <family val="2"/>
      <scheme val="minor"/>
    </font>
    <font>
      <b/>
      <sz val="12"/>
      <color theme="1"/>
      <name val="Calibri"/>
      <family val="2"/>
      <scheme val="minor"/>
    </font>
    <font>
      <b/>
      <sz val="12"/>
      <name val="Calibri"/>
      <family val="2"/>
      <scheme val="minor"/>
    </font>
    <font>
      <sz val="11"/>
      <name val="Calibri"/>
      <family val="2"/>
      <scheme val="minor"/>
    </font>
    <font>
      <b/>
      <sz val="11"/>
      <name val="Calibri"/>
      <family val="2"/>
      <scheme val="minor"/>
    </font>
    <font>
      <b/>
      <sz val="9"/>
      <name val="Calibri"/>
      <family val="2"/>
      <scheme val="minor"/>
    </font>
    <font>
      <b/>
      <sz val="11"/>
      <color theme="1"/>
      <name val="Calibri"/>
      <family val="2"/>
      <scheme val="minor"/>
    </font>
    <font>
      <b/>
      <sz val="11"/>
      <color rgb="FF3F3F3F"/>
      <name val="Calibri"/>
      <family val="2"/>
      <scheme val="minor"/>
    </font>
    <font>
      <b/>
      <sz val="18"/>
      <color theme="1"/>
      <name val="Calibri"/>
      <family val="2"/>
      <scheme val="minor"/>
    </font>
    <font>
      <b/>
      <sz val="11"/>
      <color theme="0"/>
      <name val="Calibri"/>
      <family val="2"/>
      <scheme val="minor"/>
    </font>
    <font>
      <sz val="11"/>
      <color rgb="FF3F3F3F"/>
      <name val="Calibri"/>
      <family val="2"/>
      <scheme val="minor"/>
    </font>
    <font>
      <b/>
      <sz val="14"/>
      <color theme="1"/>
      <name val="Calibri"/>
      <family val="2"/>
      <scheme val="minor"/>
    </font>
    <font>
      <b/>
      <u/>
      <sz val="14"/>
      <color theme="1"/>
      <name val="Calibri"/>
      <family val="2"/>
      <scheme val="minor"/>
    </font>
    <font>
      <b/>
      <sz val="9"/>
      <color indexed="81"/>
      <name val="Tahoma"/>
      <family val="2"/>
    </font>
  </fonts>
  <fills count="8">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2F2F2"/>
      </patternFill>
    </fill>
    <fill>
      <patternFill patternType="solid">
        <fgColor rgb="FFF2F2F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auto="1"/>
      </right>
      <top/>
      <bottom/>
      <diagonal/>
    </border>
    <border>
      <left style="medium">
        <color auto="1"/>
      </left>
      <right/>
      <top/>
      <bottom/>
      <diagonal/>
    </border>
    <border>
      <left/>
      <right style="medium">
        <color indexed="64"/>
      </right>
      <top style="medium">
        <color indexed="64"/>
      </top>
      <bottom/>
      <diagonal/>
    </border>
    <border>
      <left style="medium">
        <color indexed="64"/>
      </left>
      <right/>
      <top style="medium">
        <color indexed="64"/>
      </top>
      <bottom/>
      <diagonal/>
    </border>
    <border>
      <left/>
      <right/>
      <top/>
      <bottom style="medium">
        <color auto="1"/>
      </bottom>
      <diagonal/>
    </border>
    <border>
      <left/>
      <right/>
      <top style="medium">
        <color auto="1"/>
      </top>
      <bottom/>
      <diagonal/>
    </border>
    <border>
      <left style="thin">
        <color rgb="FF3F3F3F"/>
      </left>
      <right style="thin">
        <color rgb="FF3F3F3F"/>
      </right>
      <top style="thin">
        <color rgb="FF3F3F3F"/>
      </top>
      <bottom style="thin">
        <color rgb="FF3F3F3F"/>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rgb="FF3F3F3F"/>
      </left>
      <right style="thin">
        <color rgb="FF3F3F3F"/>
      </right>
      <top style="thin">
        <color rgb="FF3F3F3F"/>
      </top>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rgb="FF3F3F3F"/>
      </right>
      <top style="thin">
        <color rgb="FF3F3F3F"/>
      </top>
      <bottom style="thin">
        <color rgb="FF3F3F3F"/>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auto="1"/>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right/>
      <top style="thin">
        <color rgb="FF3F3F3F"/>
      </top>
      <bottom style="thin">
        <color rgb="FF3F3F3F"/>
      </bottom>
      <diagonal/>
    </border>
  </borders>
  <cellStyleXfs count="12">
    <xf numFmtId="0" fontId="0" fillId="0" borderId="0"/>
    <xf numFmtId="0" fontId="2" fillId="0" borderId="0"/>
    <xf numFmtId="0" fontId="1" fillId="0" borderId="0"/>
    <xf numFmtId="0" fontId="4" fillId="0" borderId="0" applyNumberFormat="0" applyFill="0" applyBorder="0" applyAlignment="0" applyProtection="0">
      <alignment vertical="top"/>
      <protection locked="0"/>
    </xf>
    <xf numFmtId="0" fontId="5" fillId="0" borderId="0" applyNumberForma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6" fillId="0" borderId="0"/>
    <xf numFmtId="9" fontId="6" fillId="0" borderId="0" applyFont="0" applyFill="0" applyBorder="0" applyAlignment="0" applyProtection="0"/>
    <xf numFmtId="0" fontId="3" fillId="0" borderId="0"/>
    <xf numFmtId="0" fontId="1" fillId="0" borderId="0"/>
    <xf numFmtId="0" fontId="13" fillId="6" borderId="10" applyNumberFormat="0" applyAlignment="0" applyProtection="0"/>
  </cellStyleXfs>
  <cellXfs count="99">
    <xf numFmtId="0" fontId="0" fillId="0" borderId="0" xfId="0"/>
    <xf numFmtId="0" fontId="0" fillId="0" borderId="7" xfId="0" applyBorder="1"/>
    <xf numFmtId="0" fontId="0" fillId="0" borderId="9" xfId="0" applyBorder="1"/>
    <xf numFmtId="0" fontId="0" fillId="0" borderId="6" xfId="0" applyBorder="1"/>
    <xf numFmtId="0" fontId="0" fillId="0" borderId="5" xfId="0" applyBorder="1"/>
    <xf numFmtId="0" fontId="0" fillId="0" borderId="0" xfId="0" applyBorder="1"/>
    <xf numFmtId="0" fontId="0" fillId="0" borderId="4" xfId="0" applyBorder="1"/>
    <xf numFmtId="0" fontId="0" fillId="0" borderId="3" xfId="0" applyBorder="1"/>
    <xf numFmtId="0" fontId="0" fillId="0" borderId="8" xfId="0" applyBorder="1"/>
    <xf numFmtId="0" fontId="0" fillId="0" borderId="2" xfId="0" applyBorder="1"/>
    <xf numFmtId="0" fontId="7" fillId="0" borderId="0" xfId="0" applyFont="1" applyBorder="1"/>
    <xf numFmtId="0" fontId="3" fillId="0" borderId="0" xfId="1" applyFont="1" applyFill="1" applyBorder="1" applyAlignment="1" applyProtection="1">
      <alignment horizontal="right" vertical="top"/>
      <protection hidden="1"/>
    </xf>
    <xf numFmtId="0" fontId="9" fillId="0" borderId="0" xfId="2" applyFont="1" applyFill="1" applyBorder="1" applyAlignment="1" applyProtection="1">
      <alignment horizontal="right" vertical="top"/>
      <protection hidden="1"/>
    </xf>
    <xf numFmtId="0" fontId="9" fillId="0" borderId="0" xfId="9" applyFont="1" applyFill="1" applyBorder="1" applyAlignment="1" applyProtection="1">
      <alignment horizontal="left" vertical="top"/>
      <protection hidden="1"/>
    </xf>
    <xf numFmtId="0" fontId="3" fillId="0" borderId="0" xfId="1" applyFont="1" applyFill="1" applyBorder="1" applyAlignment="1" applyProtection="1">
      <alignment horizontal="left" vertical="top"/>
      <protection hidden="1"/>
    </xf>
    <xf numFmtId="164" fontId="1" fillId="2" borderId="1" xfId="2" applyNumberFormat="1" applyFill="1" applyBorder="1" applyAlignment="1" applyProtection="1">
      <alignment horizontal="center"/>
      <protection hidden="1"/>
    </xf>
    <xf numFmtId="164" fontId="1" fillId="4" borderId="1" xfId="2" applyNumberFormat="1" applyFill="1" applyBorder="1" applyAlignment="1" applyProtection="1">
      <alignment horizontal="center"/>
      <protection hidden="1"/>
    </xf>
    <xf numFmtId="0" fontId="10" fillId="4" borderId="1" xfId="9" applyFont="1" applyFill="1" applyBorder="1" applyAlignment="1" applyProtection="1">
      <alignment horizontal="center" vertical="center" wrapText="1"/>
      <protection hidden="1"/>
    </xf>
    <xf numFmtId="164" fontId="10" fillId="4" borderId="1" xfId="2" applyNumberFormat="1" applyFont="1" applyFill="1" applyBorder="1" applyAlignment="1" applyProtection="1">
      <alignment horizontal="center"/>
      <protection hidden="1"/>
    </xf>
    <xf numFmtId="14" fontId="10" fillId="0" borderId="1" xfId="9" applyNumberFormat="1" applyFont="1" applyFill="1" applyBorder="1" applyAlignment="1" applyProtection="1">
      <alignment horizontal="center" vertical="center" wrapText="1"/>
      <protection hidden="1"/>
    </xf>
    <xf numFmtId="14" fontId="10" fillId="4" borderId="1" xfId="9" applyNumberFormat="1" applyFont="1" applyFill="1" applyBorder="1" applyAlignment="1" applyProtection="1">
      <alignment horizontal="center" vertical="center" wrapText="1"/>
      <protection hidden="1"/>
    </xf>
    <xf numFmtId="164" fontId="10" fillId="4" borderId="1" xfId="9" applyNumberFormat="1" applyFont="1" applyFill="1" applyBorder="1" applyAlignment="1" applyProtection="1">
      <alignment horizontal="center"/>
      <protection hidden="1"/>
    </xf>
    <xf numFmtId="164" fontId="8" fillId="3" borderId="1" xfId="9" applyNumberFormat="1" applyFont="1" applyFill="1" applyBorder="1" applyAlignment="1" applyProtection="1">
      <alignment horizontal="center" vertical="top"/>
      <protection locked="0"/>
    </xf>
    <xf numFmtId="1" fontId="8" fillId="3" borderId="1" xfId="1" applyNumberFormat="1" applyFont="1" applyFill="1" applyBorder="1" applyAlignment="1" applyProtection="1">
      <alignment horizontal="center" vertical="top"/>
      <protection locked="0"/>
    </xf>
    <xf numFmtId="0" fontId="10" fillId="2" borderId="1" xfId="9" applyFont="1" applyFill="1" applyBorder="1" applyAlignment="1" applyProtection="1">
      <alignment horizontal="center" vertical="center" wrapText="1"/>
      <protection hidden="1"/>
    </xf>
    <xf numFmtId="0" fontId="9" fillId="0" borderId="1" xfId="9" applyNumberFormat="1" applyFont="1" applyFill="1" applyBorder="1" applyAlignment="1" applyProtection="1">
      <alignment horizontal="center"/>
      <protection hidden="1"/>
    </xf>
    <xf numFmtId="49" fontId="0" fillId="0" borderId="5" xfId="0" applyNumberFormat="1" applyBorder="1" applyAlignment="1">
      <alignment horizontal="center"/>
    </xf>
    <xf numFmtId="0" fontId="13" fillId="6" borderId="10" xfId="11" applyAlignment="1" applyProtection="1">
      <alignment horizontal="center" vertical="center" wrapText="1"/>
      <protection hidden="1"/>
    </xf>
    <xf numFmtId="14" fontId="13" fillId="6" borderId="10" xfId="11" applyNumberFormat="1" applyAlignment="1" applyProtection="1">
      <alignment horizontal="center" vertical="center" wrapText="1"/>
      <protection hidden="1"/>
    </xf>
    <xf numFmtId="164" fontId="13" fillId="6" borderId="10" xfId="11" applyNumberFormat="1" applyAlignment="1" applyProtection="1">
      <alignment horizontal="center"/>
      <protection hidden="1"/>
    </xf>
    <xf numFmtId="0" fontId="0" fillId="0" borderId="20" xfId="0" applyBorder="1"/>
    <xf numFmtId="164" fontId="1" fillId="4" borderId="25" xfId="2" applyNumberFormat="1" applyFill="1" applyBorder="1" applyAlignment="1" applyProtection="1">
      <alignment horizontal="center"/>
      <protection hidden="1"/>
    </xf>
    <xf numFmtId="164" fontId="1" fillId="2" borderId="25" xfId="2" applyNumberFormat="1" applyFill="1" applyBorder="1" applyAlignment="1" applyProtection="1">
      <alignment horizontal="center"/>
      <protection hidden="1"/>
    </xf>
    <xf numFmtId="164" fontId="10" fillId="4" borderId="25" xfId="2" applyNumberFormat="1" applyFont="1" applyFill="1" applyBorder="1" applyAlignment="1" applyProtection="1">
      <alignment horizontal="center"/>
      <protection hidden="1"/>
    </xf>
    <xf numFmtId="164" fontId="10" fillId="4" borderId="25" xfId="9" applyNumberFormat="1" applyFont="1" applyFill="1" applyBorder="1" applyAlignment="1" applyProtection="1">
      <alignment horizontal="center"/>
      <protection hidden="1"/>
    </xf>
    <xf numFmtId="164" fontId="1" fillId="4" borderId="26" xfId="2" applyNumberFormat="1" applyFill="1" applyBorder="1" applyAlignment="1" applyProtection="1">
      <alignment horizontal="center"/>
      <protection hidden="1"/>
    </xf>
    <xf numFmtId="164" fontId="1" fillId="2" borderId="26" xfId="2" applyNumberFormat="1" applyFill="1" applyBorder="1" applyAlignment="1" applyProtection="1">
      <alignment horizontal="center"/>
      <protection hidden="1"/>
    </xf>
    <xf numFmtId="164" fontId="1" fillId="4" borderId="27" xfId="2" applyNumberFormat="1" applyFill="1" applyBorder="1" applyAlignment="1" applyProtection="1">
      <alignment horizontal="center"/>
      <protection hidden="1"/>
    </xf>
    <xf numFmtId="164" fontId="1" fillId="2" borderId="28" xfId="2" applyNumberFormat="1" applyFill="1" applyBorder="1" applyAlignment="1" applyProtection="1">
      <alignment horizontal="center"/>
      <protection hidden="1"/>
    </xf>
    <xf numFmtId="0" fontId="0" fillId="0" borderId="29" xfId="0" applyBorder="1"/>
    <xf numFmtId="49" fontId="12" fillId="0" borderId="30" xfId="0" applyNumberFormat="1" applyFont="1" applyBorder="1" applyAlignment="1">
      <alignment horizontal="center"/>
    </xf>
    <xf numFmtId="164" fontId="10" fillId="4" borderId="32" xfId="2" applyNumberFormat="1" applyFont="1" applyFill="1" applyBorder="1" applyAlignment="1" applyProtection="1">
      <alignment horizontal="center"/>
      <protection hidden="1"/>
    </xf>
    <xf numFmtId="164" fontId="10" fillId="4" borderId="22" xfId="9" applyNumberFormat="1" applyFont="1" applyFill="1" applyBorder="1" applyAlignment="1" applyProtection="1">
      <alignment horizontal="center"/>
      <protection hidden="1"/>
    </xf>
    <xf numFmtId="164" fontId="10" fillId="4" borderId="31" xfId="2" applyNumberFormat="1" applyFont="1" applyFill="1" applyBorder="1" applyAlignment="1" applyProtection="1">
      <alignment horizontal="center"/>
      <protection hidden="1"/>
    </xf>
    <xf numFmtId="1" fontId="10" fillId="6" borderId="24" xfId="11" applyNumberFormat="1" applyFont="1" applyBorder="1" applyAlignment="1">
      <alignment horizontal="center" vertical="center"/>
    </xf>
    <xf numFmtId="1" fontId="10" fillId="6" borderId="33" xfId="11" applyNumberFormat="1" applyFont="1" applyBorder="1" applyAlignment="1">
      <alignment horizontal="center" vertical="center"/>
    </xf>
    <xf numFmtId="164" fontId="13" fillId="6" borderId="19" xfId="11" applyNumberFormat="1" applyFont="1" applyBorder="1" applyAlignment="1" applyProtection="1">
      <alignment horizontal="center"/>
      <protection hidden="1"/>
    </xf>
    <xf numFmtId="164" fontId="13" fillId="7" borderId="1" xfId="11" applyNumberFormat="1" applyFont="1" applyFill="1" applyBorder="1" applyAlignment="1" applyProtection="1">
      <alignment horizontal="center"/>
      <protection hidden="1"/>
    </xf>
    <xf numFmtId="164" fontId="13" fillId="3" borderId="22" xfId="11" applyNumberFormat="1" applyFont="1" applyFill="1" applyBorder="1" applyAlignment="1" applyProtection="1">
      <alignment horizontal="center"/>
      <protection hidden="1"/>
    </xf>
    <xf numFmtId="0" fontId="13" fillId="6" borderId="24" xfId="11" applyBorder="1" applyAlignment="1">
      <alignment horizontal="center" vertical="center"/>
    </xf>
    <xf numFmtId="0" fontId="0" fillId="3" borderId="1" xfId="0" applyNumberFormat="1" applyFill="1" applyBorder="1" applyAlignment="1">
      <alignment horizontal="center"/>
    </xf>
    <xf numFmtId="0" fontId="16" fillId="6" borderId="1" xfId="11" applyFont="1" applyBorder="1" applyAlignment="1">
      <alignment horizontal="center" vertical="center"/>
    </xf>
    <xf numFmtId="14" fontId="10" fillId="2" borderId="1" xfId="9" applyNumberFormat="1" applyFont="1" applyFill="1" applyBorder="1" applyAlignment="1" applyProtection="1">
      <alignment horizontal="center" vertical="center" wrapText="1"/>
      <protection hidden="1"/>
    </xf>
    <xf numFmtId="164" fontId="10" fillId="2" borderId="1" xfId="2" applyNumberFormat="1" applyFont="1" applyFill="1" applyBorder="1" applyAlignment="1" applyProtection="1">
      <alignment horizontal="center"/>
      <protection hidden="1"/>
    </xf>
    <xf numFmtId="164" fontId="10" fillId="2" borderId="1" xfId="9" applyNumberFormat="1" applyFont="1" applyFill="1" applyBorder="1" applyAlignment="1" applyProtection="1">
      <alignment horizontal="center"/>
      <protection hidden="1"/>
    </xf>
    <xf numFmtId="11" fontId="0" fillId="0" borderId="0" xfId="0" applyNumberFormat="1"/>
    <xf numFmtId="164" fontId="15" fillId="4" borderId="1" xfId="9" applyNumberFormat="1" applyFont="1" applyFill="1" applyBorder="1" applyAlignment="1" applyProtection="1">
      <alignment horizontal="center"/>
      <protection hidden="1"/>
    </xf>
    <xf numFmtId="164" fontId="15" fillId="2" borderId="1" xfId="9" applyNumberFormat="1" applyFont="1" applyFill="1" applyBorder="1" applyAlignment="1" applyProtection="1">
      <alignment horizontal="center"/>
      <protection hidden="1"/>
    </xf>
    <xf numFmtId="0" fontId="14" fillId="5" borderId="11" xfId="0" applyFont="1" applyFill="1" applyBorder="1" applyAlignment="1">
      <alignment horizontal="center" vertical="center"/>
    </xf>
    <xf numFmtId="0" fontId="14" fillId="5" borderId="12" xfId="0" applyFont="1" applyFill="1" applyBorder="1" applyAlignment="1">
      <alignment horizontal="center" vertical="center"/>
    </xf>
    <xf numFmtId="0" fontId="14" fillId="5" borderId="13" xfId="0" applyFont="1" applyFill="1" applyBorder="1" applyAlignment="1">
      <alignment horizontal="center" vertical="center"/>
    </xf>
    <xf numFmtId="0" fontId="14" fillId="5" borderId="14" xfId="0" applyFont="1" applyFill="1" applyBorder="1" applyAlignment="1">
      <alignment horizontal="center" vertical="center"/>
    </xf>
    <xf numFmtId="0" fontId="14" fillId="5" borderId="15" xfId="0" applyFont="1" applyFill="1" applyBorder="1" applyAlignment="1">
      <alignment horizontal="center" vertical="center"/>
    </xf>
    <xf numFmtId="0" fontId="14" fillId="5" borderId="16" xfId="0" applyFont="1" applyFill="1" applyBorder="1" applyAlignment="1">
      <alignment horizontal="center" vertical="center"/>
    </xf>
    <xf numFmtId="0" fontId="14" fillId="5" borderId="17" xfId="0" applyFont="1" applyFill="1" applyBorder="1" applyAlignment="1">
      <alignment horizontal="center" vertical="center"/>
    </xf>
    <xf numFmtId="0" fontId="14" fillId="5" borderId="0" xfId="0" applyFont="1" applyFill="1" applyBorder="1" applyAlignment="1">
      <alignment horizontal="center" vertical="center"/>
    </xf>
    <xf numFmtId="0" fontId="14" fillId="5" borderId="18" xfId="0" applyFont="1" applyFill="1" applyBorder="1" applyAlignment="1">
      <alignment horizontal="center" vertical="center"/>
    </xf>
    <xf numFmtId="0" fontId="17" fillId="5" borderId="7" xfId="0" applyFont="1" applyFill="1" applyBorder="1" applyAlignment="1">
      <alignment horizontal="center" vertical="center"/>
    </xf>
    <xf numFmtId="0" fontId="17" fillId="5" borderId="9" xfId="0" applyFont="1" applyFill="1" applyBorder="1" applyAlignment="1">
      <alignment horizontal="center" vertical="center"/>
    </xf>
    <xf numFmtId="0" fontId="17" fillId="5" borderId="6" xfId="0" applyFont="1" applyFill="1" applyBorder="1" applyAlignment="1">
      <alignment horizontal="center" vertical="center"/>
    </xf>
    <xf numFmtId="0" fontId="17" fillId="5" borderId="3" xfId="0" applyFont="1" applyFill="1" applyBorder="1" applyAlignment="1">
      <alignment horizontal="center" vertical="center"/>
    </xf>
    <xf numFmtId="0" fontId="17" fillId="5" borderId="8" xfId="0" applyFont="1" applyFill="1" applyBorder="1" applyAlignment="1">
      <alignment horizontal="center" vertical="center"/>
    </xf>
    <xf numFmtId="0" fontId="17" fillId="5" borderId="2" xfId="0" applyFont="1" applyFill="1" applyBorder="1" applyAlignment="1">
      <alignment horizontal="center" vertical="center"/>
    </xf>
    <xf numFmtId="0" fontId="7" fillId="3" borderId="21" xfId="0" applyFont="1" applyFill="1" applyBorder="1" applyAlignment="1">
      <alignment horizontal="center"/>
    </xf>
    <xf numFmtId="0" fontId="7" fillId="3" borderId="22" xfId="0" applyFont="1" applyFill="1" applyBorder="1" applyAlignment="1">
      <alignment horizontal="center"/>
    </xf>
    <xf numFmtId="0" fontId="7" fillId="3" borderId="23" xfId="0" applyFont="1" applyFill="1" applyBorder="1" applyAlignment="1">
      <alignment horizontal="center"/>
    </xf>
    <xf numFmtId="0" fontId="0" fillId="3" borderId="7" xfId="0" applyFill="1" applyBorder="1" applyAlignment="1">
      <alignment horizontal="left" vertical="top" wrapText="1"/>
    </xf>
    <xf numFmtId="0" fontId="0" fillId="3" borderId="9" xfId="0" applyFill="1" applyBorder="1" applyAlignment="1">
      <alignment horizontal="left" vertical="top" wrapText="1"/>
    </xf>
    <xf numFmtId="0" fontId="0" fillId="3" borderId="6" xfId="0" applyFill="1" applyBorder="1" applyAlignment="1">
      <alignment horizontal="left" vertical="top" wrapText="1"/>
    </xf>
    <xf numFmtId="0" fontId="0" fillId="3" borderId="5" xfId="0" applyFill="1" applyBorder="1" applyAlignment="1">
      <alignment horizontal="left" vertical="top" wrapText="1"/>
    </xf>
    <xf numFmtId="0" fontId="0" fillId="3" borderId="0" xfId="0" applyFill="1" applyBorder="1" applyAlignment="1">
      <alignment horizontal="left" vertical="top" wrapText="1"/>
    </xf>
    <xf numFmtId="0" fontId="0" fillId="3" borderId="4" xfId="0" applyFill="1" applyBorder="1" applyAlignment="1">
      <alignment horizontal="left" vertical="top" wrapText="1"/>
    </xf>
    <xf numFmtId="0" fontId="0" fillId="3" borderId="3" xfId="0" applyFill="1" applyBorder="1" applyAlignment="1">
      <alignment horizontal="left" vertical="top" wrapText="1"/>
    </xf>
    <xf numFmtId="0" fontId="0" fillId="3" borderId="8" xfId="0" applyFill="1" applyBorder="1" applyAlignment="1">
      <alignment horizontal="left" vertical="top" wrapText="1"/>
    </xf>
    <xf numFmtId="0" fontId="0" fillId="3" borderId="2" xfId="0" applyFill="1" applyBorder="1" applyAlignment="1">
      <alignment horizontal="left" vertical="top" wrapText="1"/>
    </xf>
    <xf numFmtId="0" fontId="0" fillId="3" borderId="11" xfId="0" applyFill="1" applyBorder="1" applyAlignment="1">
      <alignment horizontal="left" vertical="top" wrapText="1"/>
    </xf>
    <xf numFmtId="0" fontId="0" fillId="3" borderId="17" xfId="0" applyFill="1" applyBorder="1" applyAlignment="1">
      <alignment horizontal="left" vertical="top" wrapText="1"/>
    </xf>
    <xf numFmtId="0" fontId="0" fillId="3" borderId="12" xfId="0" applyFill="1" applyBorder="1" applyAlignment="1">
      <alignment horizontal="left" vertical="top" wrapText="1"/>
    </xf>
    <xf numFmtId="0" fontId="0" fillId="3" borderId="13" xfId="0" applyFill="1" applyBorder="1" applyAlignment="1">
      <alignment horizontal="left" vertical="top" wrapText="1"/>
    </xf>
    <xf numFmtId="0" fontId="0" fillId="3" borderId="14" xfId="0" applyFill="1" applyBorder="1" applyAlignment="1">
      <alignment horizontal="left" vertical="top" wrapText="1"/>
    </xf>
    <xf numFmtId="0" fontId="0" fillId="3" borderId="15" xfId="0" applyFill="1" applyBorder="1" applyAlignment="1">
      <alignment horizontal="left" vertical="top" wrapText="1"/>
    </xf>
    <xf numFmtId="0" fontId="0" fillId="3" borderId="18" xfId="0" applyFill="1" applyBorder="1" applyAlignment="1">
      <alignment horizontal="left" vertical="top" wrapText="1"/>
    </xf>
    <xf numFmtId="0" fontId="0" fillId="3" borderId="16" xfId="0" applyFill="1" applyBorder="1" applyAlignment="1">
      <alignment horizontal="left" vertical="top" wrapText="1"/>
    </xf>
    <xf numFmtId="0" fontId="0" fillId="3" borderId="7" xfId="0" applyFill="1" applyBorder="1" applyAlignment="1">
      <alignment horizontal="left" vertical="center" wrapText="1"/>
    </xf>
    <xf numFmtId="0" fontId="0" fillId="3" borderId="9" xfId="0" applyFill="1" applyBorder="1" applyAlignment="1">
      <alignment horizontal="left" vertical="center" wrapText="1"/>
    </xf>
    <xf numFmtId="0" fontId="0" fillId="3" borderId="6" xfId="0" applyFill="1" applyBorder="1" applyAlignment="1">
      <alignment horizontal="left" vertical="center" wrapText="1"/>
    </xf>
    <xf numFmtId="0" fontId="0" fillId="3" borderId="3" xfId="0" applyFill="1" applyBorder="1" applyAlignment="1">
      <alignment horizontal="left" vertical="center" wrapText="1"/>
    </xf>
    <xf numFmtId="0" fontId="0" fillId="3" borderId="8" xfId="0" applyFill="1" applyBorder="1" applyAlignment="1">
      <alignment horizontal="left" vertical="center" wrapText="1"/>
    </xf>
    <xf numFmtId="0" fontId="0" fillId="3" borderId="2" xfId="0" applyFill="1" applyBorder="1" applyAlignment="1">
      <alignment horizontal="left" vertical="center" wrapText="1"/>
    </xf>
  </cellXfs>
  <cellStyles count="12">
    <cellStyle name="Lien hypertexte 2" xfId="3"/>
    <cellStyle name="Lien hypertexte 3" xfId="4"/>
    <cellStyle name="Milliers 2" xfId="5"/>
    <cellStyle name="Milliers 2 2" xfId="6"/>
    <cellStyle name="Normal" xfId="0" builtinId="0"/>
    <cellStyle name="Normal 2" xfId="2"/>
    <cellStyle name="Normal 2 2" xfId="9"/>
    <cellStyle name="Normal 3" xfId="7"/>
    <cellStyle name="Normal 4" xfId="10"/>
    <cellStyle name="Normal 5" xfId="1"/>
    <cellStyle name="Pourcentage 2" xfId="8"/>
    <cellStyle name="Sortie" xfId="11" builtinId="21"/>
  </cellStyles>
  <dxfs count="0"/>
  <tableStyles count="0" defaultTableStyle="TableStyleMedium2" defaultPivotStyle="PivotStyleLight16"/>
  <colors>
    <mruColors>
      <color rgb="FFF2F2F2"/>
      <color rgb="FF3F3F3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dimension ref="A1:AF64"/>
  <sheetViews>
    <sheetView tabSelected="1" topLeftCell="A28" zoomScale="90" zoomScaleNormal="90" workbookViewId="0">
      <selection activeCell="W32" sqref="W32"/>
    </sheetView>
  </sheetViews>
  <sheetFormatPr baseColWidth="10" defaultRowHeight="15" x14ac:dyDescent="0.25"/>
  <cols>
    <col min="1" max="1" width="2.42578125" customWidth="1"/>
    <col min="2" max="2" width="3" customWidth="1"/>
    <col min="3" max="3" width="17.85546875" customWidth="1"/>
    <col min="4" max="4" width="12.85546875" customWidth="1"/>
    <col min="5" max="5" width="12.28515625" customWidth="1"/>
    <col min="6" max="6" width="17.85546875" customWidth="1"/>
    <col min="7" max="7" width="3" customWidth="1"/>
    <col min="8" max="8" width="0.7109375" customWidth="1"/>
    <col min="9" max="9" width="11.28515625" customWidth="1"/>
    <col min="10" max="10" width="20.42578125" customWidth="1"/>
    <col min="11" max="11" width="17.85546875" customWidth="1"/>
    <col min="12" max="12" width="3.140625" customWidth="1"/>
    <col min="13" max="13" width="0.7109375" customWidth="1"/>
    <col min="14" max="14" width="22" customWidth="1"/>
    <col min="15" max="15" width="16.140625" customWidth="1"/>
    <col min="16" max="16" width="1.42578125" customWidth="1"/>
    <col min="17" max="17" width="6" customWidth="1"/>
    <col min="18" max="18" width="6.5703125" customWidth="1"/>
    <col min="19" max="19" width="19.85546875" customWidth="1"/>
    <col min="20" max="20" width="15.85546875" customWidth="1"/>
    <col min="21" max="21" width="1.42578125" customWidth="1"/>
    <col min="25" max="25" width="2.42578125" customWidth="1"/>
    <col min="31" max="31" width="16.85546875" customWidth="1"/>
  </cols>
  <sheetData>
    <row r="1" spans="2:31" ht="15.75" customHeight="1" thickBot="1" x14ac:dyDescent="0.3"/>
    <row r="2" spans="2:31" ht="15.75" customHeight="1" x14ac:dyDescent="0.25">
      <c r="B2" s="1"/>
      <c r="C2" s="2"/>
      <c r="D2" s="2"/>
      <c r="E2" s="2"/>
      <c r="F2" s="2"/>
      <c r="G2" s="3"/>
      <c r="H2" s="5"/>
      <c r="I2" s="67" t="s">
        <v>22</v>
      </c>
      <c r="J2" s="68"/>
      <c r="K2" s="68"/>
      <c r="L2" s="69"/>
      <c r="N2" s="73" t="s">
        <v>15</v>
      </c>
      <c r="O2" s="74"/>
      <c r="R2" s="73" t="s">
        <v>16</v>
      </c>
      <c r="S2" s="75"/>
      <c r="T2" s="74"/>
      <c r="V2" s="76" t="s">
        <v>25</v>
      </c>
      <c r="W2" s="77"/>
      <c r="X2" s="77"/>
      <c r="Y2" s="77"/>
      <c r="Z2" s="77"/>
      <c r="AA2" s="77"/>
      <c r="AB2" s="77"/>
      <c r="AC2" s="77"/>
      <c r="AD2" s="77"/>
      <c r="AE2" s="78"/>
    </row>
    <row r="3" spans="2:31" ht="16.5" customHeight="1" thickBot="1" x14ac:dyDescent="0.3">
      <c r="B3" s="4"/>
      <c r="C3" s="10" t="s">
        <v>2</v>
      </c>
      <c r="D3" s="5"/>
      <c r="E3" s="5"/>
      <c r="F3" s="5"/>
      <c r="G3" s="6"/>
      <c r="H3" s="5"/>
      <c r="I3" s="70"/>
      <c r="J3" s="71"/>
      <c r="K3" s="71"/>
      <c r="L3" s="72"/>
      <c r="V3" s="79"/>
      <c r="W3" s="80"/>
      <c r="X3" s="80"/>
      <c r="Y3" s="80"/>
      <c r="Z3" s="80"/>
      <c r="AA3" s="80"/>
      <c r="AB3" s="80"/>
      <c r="AC3" s="80"/>
      <c r="AD3" s="80"/>
      <c r="AE3" s="81"/>
    </row>
    <row r="4" spans="2:31" ht="15.75" customHeight="1" thickBot="1" x14ac:dyDescent="0.3">
      <c r="B4" s="4"/>
      <c r="C4" s="5"/>
      <c r="D4" s="5"/>
      <c r="E4" s="5"/>
      <c r="F4" s="5"/>
      <c r="G4" s="6"/>
      <c r="H4" s="5"/>
      <c r="N4" s="58" t="s">
        <v>12</v>
      </c>
      <c r="O4" s="59"/>
      <c r="R4" s="58" t="s">
        <v>12</v>
      </c>
      <c r="S4" s="64"/>
      <c r="T4" s="59"/>
      <c r="V4" s="79"/>
      <c r="W4" s="80"/>
      <c r="X4" s="80"/>
      <c r="Y4" s="80"/>
      <c r="Z4" s="80"/>
      <c r="AA4" s="80"/>
      <c r="AB4" s="80"/>
      <c r="AC4" s="80"/>
      <c r="AD4" s="80"/>
      <c r="AE4" s="81"/>
    </row>
    <row r="5" spans="2:31" ht="15.75" customHeight="1" x14ac:dyDescent="0.25">
      <c r="B5" s="4"/>
      <c r="C5" s="12" t="s">
        <v>6</v>
      </c>
      <c r="D5" s="22">
        <v>10700</v>
      </c>
      <c r="E5" s="13" t="s">
        <v>4</v>
      </c>
      <c r="F5" s="5"/>
      <c r="G5" s="6"/>
      <c r="H5" s="5"/>
      <c r="I5" s="1"/>
      <c r="J5" s="2"/>
      <c r="K5" s="2"/>
      <c r="L5" s="3"/>
      <c r="N5" s="60"/>
      <c r="O5" s="61"/>
      <c r="R5" s="60"/>
      <c r="S5" s="65"/>
      <c r="T5" s="61"/>
      <c r="V5" s="79"/>
      <c r="W5" s="80"/>
      <c r="X5" s="80"/>
      <c r="Y5" s="80"/>
      <c r="Z5" s="80"/>
      <c r="AA5" s="80"/>
      <c r="AB5" s="80"/>
      <c r="AC5" s="80"/>
      <c r="AD5" s="80"/>
      <c r="AE5" s="81"/>
    </row>
    <row r="6" spans="2:31" ht="15.75" customHeight="1" x14ac:dyDescent="0.25">
      <c r="B6" s="4"/>
      <c r="C6" s="11" t="s">
        <v>0</v>
      </c>
      <c r="D6" s="23">
        <v>10</v>
      </c>
      <c r="E6" s="14" t="s">
        <v>3</v>
      </c>
      <c r="F6" s="5"/>
      <c r="G6" s="6"/>
      <c r="H6" s="5"/>
      <c r="I6" s="4"/>
      <c r="J6" s="10" t="s">
        <v>18</v>
      </c>
      <c r="K6" s="5"/>
      <c r="L6" s="6"/>
      <c r="N6" s="62"/>
      <c r="O6" s="63"/>
      <c r="R6" s="62"/>
      <c r="S6" s="66"/>
      <c r="T6" s="63"/>
      <c r="V6" s="79"/>
      <c r="W6" s="80"/>
      <c r="X6" s="80"/>
      <c r="Y6" s="80"/>
      <c r="Z6" s="80"/>
      <c r="AA6" s="80"/>
      <c r="AB6" s="80"/>
      <c r="AC6" s="80"/>
      <c r="AD6" s="80"/>
      <c r="AE6" s="81"/>
    </row>
    <row r="7" spans="2:31" x14ac:dyDescent="0.25">
      <c r="B7" s="4"/>
      <c r="C7" s="5"/>
      <c r="D7" s="5"/>
      <c r="E7" s="5"/>
      <c r="F7" s="5"/>
      <c r="G7" s="6"/>
      <c r="H7" s="5"/>
      <c r="I7" s="4"/>
      <c r="J7" s="5"/>
      <c r="K7" s="5"/>
      <c r="L7" s="6"/>
      <c r="V7" s="79"/>
      <c r="W7" s="80"/>
      <c r="X7" s="80"/>
      <c r="Y7" s="80"/>
      <c r="Z7" s="80"/>
      <c r="AA7" s="80"/>
      <c r="AB7" s="80"/>
      <c r="AC7" s="80"/>
      <c r="AD7" s="80"/>
      <c r="AE7" s="81"/>
    </row>
    <row r="8" spans="2:31" ht="42" customHeight="1" x14ac:dyDescent="0.25">
      <c r="B8" s="4"/>
      <c r="C8" s="19" t="s">
        <v>5</v>
      </c>
      <c r="D8" s="17" t="s">
        <v>19</v>
      </c>
      <c r="E8" s="24" t="s">
        <v>20</v>
      </c>
      <c r="F8" s="24" t="s">
        <v>1</v>
      </c>
      <c r="G8" s="6"/>
      <c r="H8" s="5"/>
      <c r="I8" s="4"/>
      <c r="J8" s="17" t="s">
        <v>7</v>
      </c>
      <c r="K8" s="20" t="s">
        <v>9</v>
      </c>
      <c r="L8" s="6"/>
      <c r="N8" s="24" t="s">
        <v>7</v>
      </c>
      <c r="O8" s="52" t="s">
        <v>9</v>
      </c>
      <c r="Q8" s="51" t="s">
        <v>13</v>
      </c>
      <c r="R8" s="49" t="s">
        <v>13</v>
      </c>
      <c r="S8" s="27" t="s">
        <v>7</v>
      </c>
      <c r="T8" s="28" t="s">
        <v>14</v>
      </c>
      <c r="V8" s="79"/>
      <c r="W8" s="80"/>
      <c r="X8" s="80"/>
      <c r="Y8" s="80"/>
      <c r="Z8" s="80"/>
      <c r="AA8" s="80"/>
      <c r="AB8" s="80"/>
      <c r="AC8" s="80"/>
      <c r="AD8" s="80"/>
      <c r="AE8" s="81"/>
    </row>
    <row r="9" spans="2:31" x14ac:dyDescent="0.25">
      <c r="B9" s="4"/>
      <c r="C9" s="25">
        <v>2021</v>
      </c>
      <c r="D9" s="16">
        <v>5000</v>
      </c>
      <c r="E9" s="15">
        <v>12000</v>
      </c>
      <c r="F9" s="15">
        <v>6000</v>
      </c>
      <c r="G9" s="6"/>
      <c r="H9" s="5"/>
      <c r="I9" s="4" t="s">
        <v>8</v>
      </c>
      <c r="J9" s="18">
        <v>2300</v>
      </c>
      <c r="K9" s="56">
        <v>-10700</v>
      </c>
      <c r="L9" s="6"/>
      <c r="N9" s="53">
        <f>F9-D9+(E9-$D$5)</f>
        <v>2300</v>
      </c>
      <c r="O9" s="54">
        <v>-10700</v>
      </c>
      <c r="Q9" s="50">
        <v>2021</v>
      </c>
      <c r="R9" s="44">
        <v>0</v>
      </c>
      <c r="S9" s="29">
        <f>F9-D9+MAX(0,E9-$D$5)</f>
        <v>2300</v>
      </c>
      <c r="T9" s="29">
        <f t="shared" ref="T9:T28" si="0">-MIN(E9+F9-D9+IF(R9&lt;$D$6,J9,0),$D$5)</f>
        <v>-10700</v>
      </c>
      <c r="V9" s="79"/>
      <c r="W9" s="80"/>
      <c r="X9" s="80"/>
      <c r="Y9" s="80"/>
      <c r="Z9" s="80"/>
      <c r="AA9" s="80"/>
      <c r="AB9" s="80"/>
      <c r="AC9" s="80"/>
      <c r="AD9" s="80"/>
      <c r="AE9" s="81"/>
    </row>
    <row r="10" spans="2:31" x14ac:dyDescent="0.25">
      <c r="B10" s="4"/>
      <c r="C10" s="25">
        <v>2022</v>
      </c>
      <c r="D10" s="16">
        <v>5050</v>
      </c>
      <c r="E10" s="15">
        <v>12032</v>
      </c>
      <c r="F10" s="15">
        <v>5458</v>
      </c>
      <c r="G10" s="6"/>
      <c r="H10" s="5"/>
      <c r="I10" s="26"/>
      <c r="J10" s="18">
        <f>J9+408+1332</f>
        <v>4040</v>
      </c>
      <c r="K10" s="21">
        <v>-10700</v>
      </c>
      <c r="L10" s="6"/>
      <c r="N10" s="53">
        <f>IF(COUNTIF($N$9:N9, "&lt;&gt;""")&gt;=$D$6,(F10+E10)-D10,F10-D10+(E10-$D$5)+N9)</f>
        <v>4040</v>
      </c>
      <c r="O10" s="54">
        <f>IF(COUNTIF($O$9:O9, "&lt;&gt;""")&gt;=$D$6,IF(N10&gt;10700,-10700,-N10),$O$9)</f>
        <v>-10700</v>
      </c>
      <c r="Q10" s="50">
        <v>2022</v>
      </c>
      <c r="R10" s="44">
        <f>R9+1</f>
        <v>1</v>
      </c>
      <c r="S10" s="29">
        <f t="shared" ref="S10:S28" si="1">IF(R10&lt;$D$6,F10-D10+MAX(0,E10-$D$5)+S9,E10+F10-D10)</f>
        <v>4040</v>
      </c>
      <c r="T10" s="29">
        <f t="shared" si="0"/>
        <v>-10700</v>
      </c>
      <c r="V10" s="79"/>
      <c r="W10" s="80"/>
      <c r="X10" s="80"/>
      <c r="Y10" s="80"/>
      <c r="Z10" s="80"/>
      <c r="AA10" s="80"/>
      <c r="AB10" s="80"/>
      <c r="AC10" s="80"/>
      <c r="AD10" s="80"/>
      <c r="AE10" s="81"/>
    </row>
    <row r="11" spans="2:31" x14ac:dyDescent="0.25">
      <c r="B11" s="4"/>
      <c r="C11" s="25">
        <v>2023</v>
      </c>
      <c r="D11" s="16">
        <v>5090</v>
      </c>
      <c r="E11" s="15">
        <v>12055</v>
      </c>
      <c r="F11" s="15">
        <v>5451</v>
      </c>
      <c r="G11" s="6"/>
      <c r="H11" s="5"/>
      <c r="I11" s="26"/>
      <c r="J11" s="18">
        <f>J10+361+1355</f>
        <v>5756</v>
      </c>
      <c r="K11" s="21">
        <v>-10700</v>
      </c>
      <c r="L11" s="6"/>
      <c r="N11" s="53">
        <f>IF(COUNTIF($N$9:N10, "&lt;&gt;""")&gt;=$D$6,(F11+E11)-D11,F11-D11+(E11-$D$5)+N10)</f>
        <v>5756</v>
      </c>
      <c r="O11" s="54">
        <f>IF(COUNTIF($O$9:O10, "&lt;&gt;""")&gt;=$D$6,IF(N11&gt;10700,-10700,-N11),$O$9)</f>
        <v>-10700</v>
      </c>
      <c r="Q11" s="50">
        <v>2023</v>
      </c>
      <c r="R11" s="44">
        <f>R10+1</f>
        <v>2</v>
      </c>
      <c r="S11" s="29">
        <f t="shared" si="1"/>
        <v>5756</v>
      </c>
      <c r="T11" s="29">
        <f t="shared" si="0"/>
        <v>-10700</v>
      </c>
      <c r="V11" s="79"/>
      <c r="W11" s="80"/>
      <c r="X11" s="80"/>
      <c r="Y11" s="80"/>
      <c r="Z11" s="80"/>
      <c r="AA11" s="80"/>
      <c r="AB11" s="80"/>
      <c r="AC11" s="80"/>
      <c r="AD11" s="80"/>
      <c r="AE11" s="81"/>
    </row>
    <row r="12" spans="2:31" x14ac:dyDescent="0.25">
      <c r="B12" s="4"/>
      <c r="C12" s="25">
        <v>2024</v>
      </c>
      <c r="D12" s="16">
        <v>5135</v>
      </c>
      <c r="E12" s="15">
        <v>12067</v>
      </c>
      <c r="F12" s="15">
        <v>5444</v>
      </c>
      <c r="G12" s="6"/>
      <c r="H12" s="5"/>
      <c r="I12" s="26"/>
      <c r="J12" s="18">
        <f>J11+309+1367</f>
        <v>7432</v>
      </c>
      <c r="K12" s="21">
        <v>-10700</v>
      </c>
      <c r="L12" s="6"/>
      <c r="N12" s="53">
        <f>IF(COUNTIF($N$9:N11, "&lt;&gt;""")&gt;=$D$6,(F12+E12)-D12,F12-D12+(E12-$D$5)+N11)</f>
        <v>7432</v>
      </c>
      <c r="O12" s="54">
        <f>IF(COUNTIF($O$9:O11, "&lt;&gt;""")&gt;=$D$6,IF(N12&gt;10700,-10700,-N12),$O$9)</f>
        <v>-10700</v>
      </c>
      <c r="Q12" s="50">
        <v>2024</v>
      </c>
      <c r="R12" s="44">
        <f t="shared" ref="R12:R28" si="2">R11+1</f>
        <v>3</v>
      </c>
      <c r="S12" s="29">
        <f t="shared" si="1"/>
        <v>7432</v>
      </c>
      <c r="T12" s="29">
        <f t="shared" si="0"/>
        <v>-10700</v>
      </c>
      <c r="V12" s="79"/>
      <c r="W12" s="80"/>
      <c r="X12" s="80"/>
      <c r="Y12" s="80"/>
      <c r="Z12" s="80"/>
      <c r="AA12" s="80"/>
      <c r="AB12" s="80"/>
      <c r="AC12" s="80"/>
      <c r="AD12" s="80"/>
      <c r="AE12" s="81"/>
    </row>
    <row r="13" spans="2:31" x14ac:dyDescent="0.25">
      <c r="B13" s="4"/>
      <c r="C13" s="25">
        <v>2025</v>
      </c>
      <c r="D13" s="16">
        <v>5176.6666666666697</v>
      </c>
      <c r="E13" s="15">
        <v>12086.333333333299</v>
      </c>
      <c r="F13" s="15">
        <v>5437</v>
      </c>
      <c r="G13" s="6"/>
      <c r="H13" s="5"/>
      <c r="I13" s="26"/>
      <c r="J13" s="18">
        <f>J12+260+1386</f>
        <v>9078</v>
      </c>
      <c r="K13" s="21">
        <v>-10700</v>
      </c>
      <c r="L13" s="6"/>
      <c r="N13" s="53">
        <f>IF(COUNTIF($N$9:N12, "&lt;&gt;""")&gt;=$D$6,(F13+E13)-D13,F13-D13+(E13-$D$5)+N12)</f>
        <v>9078.6666666666297</v>
      </c>
      <c r="O13" s="54">
        <f>IF(COUNTIF($O$9:O12, "&lt;&gt;""")&gt;=$D$6,IF(N13&gt;10700,-10700,-N13),$O$9)</f>
        <v>-10700</v>
      </c>
      <c r="Q13" s="50">
        <v>2025</v>
      </c>
      <c r="R13" s="44">
        <f t="shared" si="2"/>
        <v>4</v>
      </c>
      <c r="S13" s="29">
        <f t="shared" si="1"/>
        <v>9078.6666666666297</v>
      </c>
      <c r="T13" s="29">
        <f t="shared" si="0"/>
        <v>-10700</v>
      </c>
      <c r="V13" s="79"/>
      <c r="W13" s="80"/>
      <c r="X13" s="80"/>
      <c r="Y13" s="80"/>
      <c r="Z13" s="80"/>
      <c r="AA13" s="80"/>
      <c r="AB13" s="80"/>
      <c r="AC13" s="80"/>
      <c r="AD13" s="80"/>
      <c r="AE13" s="81"/>
    </row>
    <row r="14" spans="2:31" x14ac:dyDescent="0.25">
      <c r="B14" s="4"/>
      <c r="C14" s="25">
        <v>2026</v>
      </c>
      <c r="D14" s="16">
        <v>5219.1666666666697</v>
      </c>
      <c r="E14" s="15">
        <v>12103.833333333299</v>
      </c>
      <c r="F14" s="15">
        <v>5210</v>
      </c>
      <c r="G14" s="6"/>
      <c r="H14" s="5"/>
      <c r="I14" s="26"/>
      <c r="J14" s="18">
        <f>J13-9+1404</f>
        <v>10473</v>
      </c>
      <c r="K14" s="21">
        <v>-10700</v>
      </c>
      <c r="L14" s="6"/>
      <c r="N14" s="53">
        <f>IF(COUNTIF($N$9:N13, "&lt;&gt;""")&gt;=$D$6,(F14+E14)-D14,F14-D14+(E14-$D$5)+N13)</f>
        <v>10473.333333333259</v>
      </c>
      <c r="O14" s="54">
        <f>IF(COUNTIF($O$9:O13, "&lt;&gt;""")&gt;=$D$6,IF(N14&gt;10700,-10700,-N14),$O$9)</f>
        <v>-10700</v>
      </c>
      <c r="Q14" s="50">
        <v>2026</v>
      </c>
      <c r="R14" s="44">
        <f t="shared" si="2"/>
        <v>5</v>
      </c>
      <c r="S14" s="29">
        <f t="shared" si="1"/>
        <v>10473.333333333259</v>
      </c>
      <c r="T14" s="29">
        <f t="shared" si="0"/>
        <v>-10700</v>
      </c>
      <c r="V14" s="79"/>
      <c r="W14" s="80"/>
      <c r="X14" s="80"/>
      <c r="Y14" s="80"/>
      <c r="Z14" s="80"/>
      <c r="AA14" s="80"/>
      <c r="AB14" s="80"/>
      <c r="AC14" s="80"/>
      <c r="AD14" s="80"/>
      <c r="AE14" s="81"/>
    </row>
    <row r="15" spans="2:31" x14ac:dyDescent="0.25">
      <c r="B15" s="4"/>
      <c r="C15" s="25">
        <v>2027</v>
      </c>
      <c r="D15" s="16">
        <v>5261.6666666666697</v>
      </c>
      <c r="E15" s="15">
        <v>12121.333333333299</v>
      </c>
      <c r="F15" s="15">
        <v>5201</v>
      </c>
      <c r="G15" s="6"/>
      <c r="H15" s="5"/>
      <c r="I15" s="26"/>
      <c r="J15" s="18">
        <f>J14-61+1421</f>
        <v>11833</v>
      </c>
      <c r="K15" s="21">
        <v>-10700</v>
      </c>
      <c r="L15" s="6"/>
      <c r="N15" s="53">
        <f>IF(COUNTIF($N$9:N14, "&lt;&gt;""")&gt;=$D$6,(F15+E15)-D15,F15-D15+(E15-$D$5)+N14)</f>
        <v>11833.999999999889</v>
      </c>
      <c r="O15" s="54">
        <f>IF(COUNTIF($O$9:O14, "&lt;&gt;""")&gt;=$D$6,IF(N15&gt;10700,-10700,-N15),$O$9)</f>
        <v>-10700</v>
      </c>
      <c r="Q15" s="50">
        <v>2027</v>
      </c>
      <c r="R15" s="44">
        <f t="shared" si="2"/>
        <v>6</v>
      </c>
      <c r="S15" s="29">
        <f t="shared" si="1"/>
        <v>11833.999999999889</v>
      </c>
      <c r="T15" s="29">
        <f t="shared" si="0"/>
        <v>-10700</v>
      </c>
      <c r="V15" s="79"/>
      <c r="W15" s="80"/>
      <c r="X15" s="80"/>
      <c r="Y15" s="80"/>
      <c r="Z15" s="80"/>
      <c r="AA15" s="80"/>
      <c r="AB15" s="80"/>
      <c r="AC15" s="80"/>
      <c r="AD15" s="80"/>
      <c r="AE15" s="81"/>
    </row>
    <row r="16" spans="2:31" x14ac:dyDescent="0.25">
      <c r="B16" s="4"/>
      <c r="C16" s="25">
        <v>2028</v>
      </c>
      <c r="D16" s="16">
        <v>5304.1666666666697</v>
      </c>
      <c r="E16" s="15">
        <v>12138.833333333299</v>
      </c>
      <c r="F16" s="15">
        <v>5192</v>
      </c>
      <c r="G16" s="6"/>
      <c r="H16" s="5"/>
      <c r="I16" s="26"/>
      <c r="J16" s="18">
        <f>J15-112+1439</f>
        <v>13160</v>
      </c>
      <c r="K16" s="21">
        <v>-10700</v>
      </c>
      <c r="L16" s="6"/>
      <c r="N16" s="53">
        <f>IF(COUNTIF($N$9:N15, "&lt;&gt;""")&gt;=$D$6,(F16+E16)-D16,F16-D16+(E16-$D$5)+N15)</f>
        <v>13160.666666666519</v>
      </c>
      <c r="O16" s="54">
        <f>IF(COUNTIF($O$9:O15, "&lt;&gt;""")&gt;=$D$6,IF(N16&gt;10700,-10700,-N16),$O$9)</f>
        <v>-10700</v>
      </c>
      <c r="Q16" s="50">
        <v>2028</v>
      </c>
      <c r="R16" s="44">
        <f t="shared" si="2"/>
        <v>7</v>
      </c>
      <c r="S16" s="29">
        <f t="shared" si="1"/>
        <v>13160.666666666519</v>
      </c>
      <c r="T16" s="29">
        <f t="shared" si="0"/>
        <v>-10700</v>
      </c>
      <c r="V16" s="79"/>
      <c r="W16" s="80"/>
      <c r="X16" s="80"/>
      <c r="Y16" s="80"/>
      <c r="Z16" s="80"/>
      <c r="AA16" s="80"/>
      <c r="AB16" s="80"/>
      <c r="AC16" s="80"/>
      <c r="AD16" s="80"/>
      <c r="AE16" s="81"/>
    </row>
    <row r="17" spans="1:32" ht="15.75" thickBot="1" x14ac:dyDescent="0.3">
      <c r="B17" s="4"/>
      <c r="C17" s="25">
        <v>2029</v>
      </c>
      <c r="D17" s="16">
        <v>5346.6666666666697</v>
      </c>
      <c r="E17" s="15">
        <v>12156.333333333299</v>
      </c>
      <c r="F17" s="15">
        <v>5183</v>
      </c>
      <c r="G17" s="6"/>
      <c r="H17" s="5"/>
      <c r="I17" s="26"/>
      <c r="J17" s="18">
        <f>J16-164+1456</f>
        <v>14452</v>
      </c>
      <c r="K17" s="21">
        <v>-10700</v>
      </c>
      <c r="L17" s="6"/>
      <c r="N17" s="53">
        <f>IF(COUNTIF($N$9:N16, "&lt;&gt;""")&gt;=$D$6,(F17+E17)-D17,F17-D17+(E17-$D$5)+N16)</f>
        <v>14453.333333333148</v>
      </c>
      <c r="O17" s="54">
        <f>IF(COUNTIF($O$9:O16, "&lt;&gt;""")&gt;=$D$6,IF(N17&gt;10700,-10700,-N17),$O$9)</f>
        <v>-10700</v>
      </c>
      <c r="Q17" s="50">
        <v>2029</v>
      </c>
      <c r="R17" s="44">
        <f t="shared" si="2"/>
        <v>8</v>
      </c>
      <c r="S17" s="29">
        <f t="shared" si="1"/>
        <v>14453.333333333148</v>
      </c>
      <c r="T17" s="46">
        <f t="shared" si="0"/>
        <v>-10700</v>
      </c>
      <c r="V17" s="82"/>
      <c r="W17" s="83"/>
      <c r="X17" s="83"/>
      <c r="Y17" s="83"/>
      <c r="Z17" s="83"/>
      <c r="AA17" s="83"/>
      <c r="AB17" s="83"/>
      <c r="AC17" s="83"/>
      <c r="AD17" s="83"/>
      <c r="AE17" s="84"/>
    </row>
    <row r="18" spans="1:32" ht="15.75" thickBot="1" x14ac:dyDescent="0.3">
      <c r="B18" s="4"/>
      <c r="C18" s="25">
        <v>2030</v>
      </c>
      <c r="D18" s="31">
        <v>5389.1666666666697</v>
      </c>
      <c r="E18" s="32">
        <v>12173.833333333299</v>
      </c>
      <c r="F18" s="32">
        <v>5174</v>
      </c>
      <c r="G18" s="6"/>
      <c r="H18" s="5"/>
      <c r="I18" s="26" t="s">
        <v>10</v>
      </c>
      <c r="J18" s="33">
        <f>J17-215+1474</f>
        <v>15711</v>
      </c>
      <c r="K18" s="34">
        <v>-10700</v>
      </c>
      <c r="L18" s="6"/>
      <c r="N18" s="53">
        <f>IF(COUNTIF($N$9:N17, "&lt;&gt;""")&gt;=$D$6,(F18+E18)-D18,F18-D18+(E18-$D$5)+N17)</f>
        <v>15711.999999999778</v>
      </c>
      <c r="O18" s="54">
        <f>IF(COUNTIF($O$9:O17, "&lt;&gt;""")&gt;=$D$6,IF(N18&gt;10700,-10700,-N18),$O$9)</f>
        <v>-10700</v>
      </c>
      <c r="Q18" s="50">
        <v>2030</v>
      </c>
      <c r="R18" s="44">
        <f t="shared" si="2"/>
        <v>9</v>
      </c>
      <c r="S18" s="29">
        <f t="shared" si="1"/>
        <v>15711.999999999778</v>
      </c>
      <c r="T18" s="47">
        <f t="shared" si="0"/>
        <v>-10700</v>
      </c>
    </row>
    <row r="19" spans="1:32" ht="15.75" thickBot="1" x14ac:dyDescent="0.3">
      <c r="B19" s="4"/>
      <c r="C19" s="25">
        <v>2031</v>
      </c>
      <c r="D19" s="37">
        <v>5392</v>
      </c>
      <c r="E19" s="38">
        <v>12191.333333333299</v>
      </c>
      <c r="F19" s="38">
        <v>3246</v>
      </c>
      <c r="G19" s="30"/>
      <c r="H19" s="39"/>
      <c r="I19" s="40" t="s">
        <v>11</v>
      </c>
      <c r="J19" s="43">
        <f>(F19+E19)-D19</f>
        <v>10045.333333333299</v>
      </c>
      <c r="K19" s="42">
        <f>IF(J19&gt;10700,10700,-J19)</f>
        <v>-10045.333333333299</v>
      </c>
      <c r="L19" s="6"/>
      <c r="N19" s="53">
        <f>IF(COUNTIF($N$9:N18, "&lt;&gt;""")&gt;=$D$6,(F19+E19)-D19,F19-D19+(E19-$D$5)+N18)</f>
        <v>10045.333333333299</v>
      </c>
      <c r="O19" s="54">
        <f>IF(COUNTIF($O$9:O18, "&lt;&gt;""")&gt;=$D$6,IF(N19&gt;10700,-10700,-N19),$O$9)</f>
        <v>-10045.333333333299</v>
      </c>
      <c r="Q19" s="50">
        <v>2031</v>
      </c>
      <c r="R19" s="45">
        <f t="shared" si="2"/>
        <v>10</v>
      </c>
      <c r="S19" s="29">
        <f t="shared" si="1"/>
        <v>10045.333333333299</v>
      </c>
      <c r="T19" s="48">
        <f t="shared" si="0"/>
        <v>-10045.333333333299</v>
      </c>
      <c r="V19" s="76" t="s">
        <v>17</v>
      </c>
      <c r="W19" s="77"/>
      <c r="X19" s="78"/>
      <c r="Z19" s="93" t="s">
        <v>23</v>
      </c>
      <c r="AA19" s="94"/>
      <c r="AB19" s="94"/>
      <c r="AC19" s="94"/>
      <c r="AD19" s="94"/>
      <c r="AE19" s="94"/>
      <c r="AF19" s="95"/>
    </row>
    <row r="20" spans="1:32" ht="15.75" thickBot="1" x14ac:dyDescent="0.3">
      <c r="B20" s="4"/>
      <c r="C20" s="25">
        <v>2032</v>
      </c>
      <c r="D20" s="35">
        <v>5394.8333333333303</v>
      </c>
      <c r="E20" s="36">
        <v>12208.833333333299</v>
      </c>
      <c r="F20" s="36">
        <v>3290</v>
      </c>
      <c r="G20" s="6"/>
      <c r="H20" s="5"/>
      <c r="I20" s="26"/>
      <c r="J20" s="41">
        <f t="shared" ref="J20:J28" si="3">(F20+E20)-D20</f>
        <v>10103.999999999969</v>
      </c>
      <c r="K20" s="21">
        <f t="shared" ref="K20:K28" si="4">IF(J20&gt;10700,10700,-J20)</f>
        <v>-10103.999999999969</v>
      </c>
      <c r="L20" s="6"/>
      <c r="N20" s="53">
        <f>IF(COUNTIF($N$9:N19, "&lt;&gt;""")&gt;=$D$6,(F20+E20)-D20,F20-D20+(E20-$D$5)+N19)</f>
        <v>10103.999999999969</v>
      </c>
      <c r="O20" s="54">
        <f>IF(COUNTIF($O$9:O19, "&lt;&gt;""")&gt;=$D$6,IF(N20&gt;10700,-10700,-N20),$O$9)</f>
        <v>-10103.999999999969</v>
      </c>
      <c r="Q20" s="50">
        <v>2032</v>
      </c>
      <c r="R20" s="45">
        <f t="shared" si="2"/>
        <v>11</v>
      </c>
      <c r="S20" s="29">
        <f t="shared" si="1"/>
        <v>10103.999999999969</v>
      </c>
      <c r="T20" s="48">
        <f t="shared" si="0"/>
        <v>-10103.999999999969</v>
      </c>
      <c r="V20" s="79"/>
      <c r="W20" s="80"/>
      <c r="X20" s="81"/>
      <c r="Z20" s="96"/>
      <c r="AA20" s="97"/>
      <c r="AB20" s="97"/>
      <c r="AC20" s="97"/>
      <c r="AD20" s="97"/>
      <c r="AE20" s="97"/>
      <c r="AF20" s="98"/>
    </row>
    <row r="21" spans="1:32" ht="15.75" thickBot="1" x14ac:dyDescent="0.3">
      <c r="B21" s="4"/>
      <c r="C21" s="25">
        <v>2033</v>
      </c>
      <c r="D21" s="16">
        <v>5397.6666666666597</v>
      </c>
      <c r="E21" s="15">
        <v>12226.333333333299</v>
      </c>
      <c r="F21" s="15">
        <v>3174</v>
      </c>
      <c r="G21" s="6"/>
      <c r="H21" s="5"/>
      <c r="I21" s="26"/>
      <c r="J21" s="18">
        <f t="shared" si="3"/>
        <v>10002.666666666639</v>
      </c>
      <c r="K21" s="21">
        <f t="shared" si="4"/>
        <v>-10002.666666666639</v>
      </c>
      <c r="L21" s="6"/>
      <c r="N21" s="53">
        <f>IF(COUNTIF($N$9:N20, "&lt;&gt;""")&gt;=$D$6,(F21+E21)-D21,F21-D21+(E21-$D$5)+N20)</f>
        <v>10002.666666666639</v>
      </c>
      <c r="O21" s="54">
        <f>IF(COUNTIF($O$9:O20, "&lt;&gt;""")&gt;=$D$6,IF(N21&gt;10700,-10700,-N21),$O$9)</f>
        <v>-10002.666666666639</v>
      </c>
      <c r="Q21" s="50">
        <v>2033</v>
      </c>
      <c r="R21" s="45">
        <f t="shared" si="2"/>
        <v>12</v>
      </c>
      <c r="S21" s="29">
        <f t="shared" si="1"/>
        <v>10002.666666666639</v>
      </c>
      <c r="T21" s="48">
        <f t="shared" si="0"/>
        <v>-10002.666666666639</v>
      </c>
      <c r="V21" s="79"/>
      <c r="W21" s="80"/>
      <c r="X21" s="81"/>
    </row>
    <row r="22" spans="1:32" x14ac:dyDescent="0.25">
      <c r="B22" s="4"/>
      <c r="C22" s="25">
        <v>2034</v>
      </c>
      <c r="D22" s="16">
        <v>5400.49999999999</v>
      </c>
      <c r="E22" s="15">
        <v>12243.833333333299</v>
      </c>
      <c r="F22" s="15">
        <v>3138</v>
      </c>
      <c r="G22" s="6"/>
      <c r="H22" s="5"/>
      <c r="I22" s="26"/>
      <c r="J22" s="18">
        <f t="shared" si="3"/>
        <v>9981.3333333333103</v>
      </c>
      <c r="K22" s="21">
        <f t="shared" si="4"/>
        <v>-9981.3333333333103</v>
      </c>
      <c r="L22" s="6"/>
      <c r="N22" s="53">
        <f>IF(COUNTIF($N$9:N21, "&lt;&gt;""")&gt;=$D$6,(F22+E22)-D22,F22-D22+(E22-$D$5)+N21)</f>
        <v>9981.3333333333103</v>
      </c>
      <c r="O22" s="54">
        <f>IF(COUNTIF($O$9:O21, "&lt;&gt;""")&gt;=$D$6,IF(N22&gt;10700,-10700,-N22),$O$9)</f>
        <v>-9981.3333333333103</v>
      </c>
      <c r="Q22" s="50">
        <v>2034</v>
      </c>
      <c r="R22" s="45">
        <f t="shared" si="2"/>
        <v>13</v>
      </c>
      <c r="S22" s="29">
        <f t="shared" si="1"/>
        <v>9981.3333333333103</v>
      </c>
      <c r="T22" s="48">
        <f t="shared" si="0"/>
        <v>-9981.3333333333103</v>
      </c>
      <c r="V22" s="79"/>
      <c r="W22" s="80"/>
      <c r="X22" s="81"/>
      <c r="Z22" s="93" t="s">
        <v>24</v>
      </c>
      <c r="AA22" s="94"/>
      <c r="AB22" s="94"/>
      <c r="AC22" s="94"/>
      <c r="AD22" s="94"/>
      <c r="AE22" s="94"/>
      <c r="AF22" s="95"/>
    </row>
    <row r="23" spans="1:32" ht="15.75" thickBot="1" x14ac:dyDescent="0.3">
      <c r="B23" s="4"/>
      <c r="C23" s="25">
        <v>2035</v>
      </c>
      <c r="D23" s="16">
        <v>5403.3333333333203</v>
      </c>
      <c r="E23" s="15">
        <v>12261.333333333299</v>
      </c>
      <c r="F23" s="15">
        <v>3102</v>
      </c>
      <c r="G23" s="6"/>
      <c r="H23" s="5"/>
      <c r="I23" s="26"/>
      <c r="J23" s="18">
        <f t="shared" si="3"/>
        <v>9959.9999999999782</v>
      </c>
      <c r="K23" s="21">
        <f t="shared" si="4"/>
        <v>-9959.9999999999782</v>
      </c>
      <c r="L23" s="6"/>
      <c r="N23" s="53">
        <f>IF(COUNTIF($N$9:N22, "&lt;&gt;""")&gt;=$D$6,(F23+E23)-D23,F23-D23+(E23-$D$5)+N22)</f>
        <v>9959.9999999999782</v>
      </c>
      <c r="O23" s="54">
        <f>IF(COUNTIF($O$9:O22, "&lt;&gt;""")&gt;=$D$6,IF(N23&gt;10700,-10700,-N23),$O$9)</f>
        <v>-9959.9999999999782</v>
      </c>
      <c r="Q23" s="50">
        <v>2035</v>
      </c>
      <c r="R23" s="45">
        <f t="shared" si="2"/>
        <v>14</v>
      </c>
      <c r="S23" s="29">
        <f t="shared" si="1"/>
        <v>9959.9999999999782</v>
      </c>
      <c r="T23" s="48">
        <f t="shared" si="0"/>
        <v>-9959.9999999999782</v>
      </c>
      <c r="V23" s="79"/>
      <c r="W23" s="80"/>
      <c r="X23" s="81"/>
      <c r="Z23" s="96"/>
      <c r="AA23" s="97"/>
      <c r="AB23" s="97"/>
      <c r="AC23" s="97"/>
      <c r="AD23" s="97"/>
      <c r="AE23" s="97"/>
      <c r="AF23" s="98"/>
    </row>
    <row r="24" spans="1:32" ht="15" customHeight="1" x14ac:dyDescent="0.25">
      <c r="B24" s="4"/>
      <c r="C24" s="25">
        <v>2036</v>
      </c>
      <c r="D24" s="16">
        <v>5406.1666666666497</v>
      </c>
      <c r="E24" s="15">
        <v>12278.833333333299</v>
      </c>
      <c r="F24" s="15">
        <v>3066</v>
      </c>
      <c r="G24" s="6"/>
      <c r="H24" s="5"/>
      <c r="I24" s="26"/>
      <c r="J24" s="18">
        <f t="shared" si="3"/>
        <v>9938.6666666666497</v>
      </c>
      <c r="K24" s="21">
        <f t="shared" si="4"/>
        <v>-9938.6666666666497</v>
      </c>
      <c r="L24" s="6"/>
      <c r="N24" s="53">
        <f>IF(COUNTIF($N$9:N23, "&lt;&gt;""")&gt;=$D$6,(F24+E24)-D24,F24-D24+(E24-$D$5)+N23)</f>
        <v>9938.6666666666497</v>
      </c>
      <c r="O24" s="54">
        <f>IF(COUNTIF($O$9:O23, "&lt;&gt;""")&gt;=$D$6,IF(N24&gt;10700,-10700,-N24),$O$9)</f>
        <v>-9938.6666666666497</v>
      </c>
      <c r="Q24" s="50">
        <v>2036</v>
      </c>
      <c r="R24" s="45">
        <f t="shared" si="2"/>
        <v>15</v>
      </c>
      <c r="S24" s="29">
        <f t="shared" si="1"/>
        <v>9938.6666666666497</v>
      </c>
      <c r="T24" s="48">
        <f t="shared" si="0"/>
        <v>-9938.6666666666497</v>
      </c>
      <c r="V24" s="79"/>
      <c r="W24" s="80"/>
      <c r="X24" s="81"/>
    </row>
    <row r="25" spans="1:32" x14ac:dyDescent="0.25">
      <c r="B25" s="4"/>
      <c r="C25" s="25">
        <v>2037</v>
      </c>
      <c r="D25" s="16">
        <v>5408.99999999998</v>
      </c>
      <c r="E25" s="15">
        <v>12296.333333333299</v>
      </c>
      <c r="F25" s="15">
        <v>3030</v>
      </c>
      <c r="G25" s="6"/>
      <c r="H25" s="5"/>
      <c r="I25" s="26"/>
      <c r="J25" s="18">
        <f t="shared" si="3"/>
        <v>9917.3333333333194</v>
      </c>
      <c r="K25" s="21">
        <f t="shared" si="4"/>
        <v>-9917.3333333333194</v>
      </c>
      <c r="L25" s="6"/>
      <c r="N25" s="53">
        <f>IF(COUNTIF($N$9:N24, "&lt;&gt;""")&gt;=$D$6,(F25+E25)-D25,F25-D25+(E25-$D$5)+N24)</f>
        <v>9917.3333333333194</v>
      </c>
      <c r="O25" s="54">
        <f>IF(COUNTIF($O$9:O24, "&lt;&gt;""")&gt;=$D$6,IF(N25&gt;10700,-10700,-N25),$O$9)</f>
        <v>-9917.3333333333194</v>
      </c>
      <c r="Q25" s="50">
        <v>2037</v>
      </c>
      <c r="R25" s="45">
        <f t="shared" si="2"/>
        <v>16</v>
      </c>
      <c r="S25" s="29">
        <f t="shared" si="1"/>
        <v>9917.3333333333194</v>
      </c>
      <c r="T25" s="48">
        <f t="shared" si="0"/>
        <v>-9917.3333333333194</v>
      </c>
      <c r="V25" s="79"/>
      <c r="W25" s="80"/>
      <c r="X25" s="81"/>
    </row>
    <row r="26" spans="1:32" x14ac:dyDescent="0.25">
      <c r="B26" s="4"/>
      <c r="C26" s="25">
        <v>2038</v>
      </c>
      <c r="D26" s="16">
        <v>5411.8333333333103</v>
      </c>
      <c r="E26" s="15">
        <v>12313.833333333299</v>
      </c>
      <c r="F26" s="15">
        <v>2994</v>
      </c>
      <c r="G26" s="6"/>
      <c r="H26" s="5"/>
      <c r="I26" s="26"/>
      <c r="J26" s="18">
        <f t="shared" si="3"/>
        <v>9895.9999999999891</v>
      </c>
      <c r="K26" s="21">
        <f t="shared" si="4"/>
        <v>-9895.9999999999891</v>
      </c>
      <c r="L26" s="6"/>
      <c r="N26" s="53">
        <f>IF(COUNTIF($N$9:N25, "&lt;&gt;""")&gt;=$D$6,(F26+E26)-D26,F26-D26+(E26-$D$5)+N25)</f>
        <v>9895.9999999999891</v>
      </c>
      <c r="O26" s="54">
        <f>IF(COUNTIF($O$9:O25, "&lt;&gt;""")&gt;=$D$6,IF(N26&gt;10700,-10700,-N26),$O$9)</f>
        <v>-9895.9999999999891</v>
      </c>
      <c r="Q26" s="50">
        <v>2038</v>
      </c>
      <c r="R26" s="45">
        <f t="shared" si="2"/>
        <v>17</v>
      </c>
      <c r="S26" s="29">
        <f t="shared" si="1"/>
        <v>9895.9999999999891</v>
      </c>
      <c r="T26" s="48">
        <f t="shared" si="0"/>
        <v>-9895.9999999999891</v>
      </c>
      <c r="V26" s="79"/>
      <c r="W26" s="80"/>
      <c r="X26" s="81"/>
    </row>
    <row r="27" spans="1:32" ht="15" customHeight="1" x14ac:dyDescent="0.25">
      <c r="B27" s="4"/>
      <c r="C27" s="25">
        <v>2039</v>
      </c>
      <c r="D27" s="16">
        <v>5414.6666666666397</v>
      </c>
      <c r="E27" s="15">
        <v>12331.333333333299</v>
      </c>
      <c r="F27" s="15">
        <v>2958</v>
      </c>
      <c r="G27" s="6"/>
      <c r="H27" s="5"/>
      <c r="I27" s="26"/>
      <c r="J27" s="18">
        <f t="shared" si="3"/>
        <v>9874.6666666666606</v>
      </c>
      <c r="K27" s="21">
        <f t="shared" si="4"/>
        <v>-9874.6666666666606</v>
      </c>
      <c r="L27" s="6"/>
      <c r="N27" s="53">
        <f>IF(COUNTIF($N$9:N26, "&lt;&gt;""")&gt;=$D$6,(F27+E27)-D27,F27-D27+(E27-$D$5)+N26)</f>
        <v>9874.6666666666606</v>
      </c>
      <c r="O27" s="54">
        <f>IF(COUNTIF($O$9:O26, "&lt;&gt;""")&gt;=$D$6,IF(N27&gt;10700,-10700,-N27),$O$9)</f>
        <v>-9874.6666666666606</v>
      </c>
      <c r="Q27" s="50">
        <v>2039</v>
      </c>
      <c r="R27" s="45">
        <f t="shared" si="2"/>
        <v>18</v>
      </c>
      <c r="S27" s="29">
        <f t="shared" si="1"/>
        <v>9874.6666666666606</v>
      </c>
      <c r="T27" s="48">
        <f t="shared" si="0"/>
        <v>-9874.6666666666606</v>
      </c>
      <c r="V27" s="79"/>
      <c r="W27" s="80"/>
      <c r="X27" s="81"/>
    </row>
    <row r="28" spans="1:32" ht="15.75" thickBot="1" x14ac:dyDescent="0.3">
      <c r="B28" s="4"/>
      <c r="C28" s="25">
        <v>2040</v>
      </c>
      <c r="D28" s="16">
        <v>5417.49999999997</v>
      </c>
      <c r="E28" s="15">
        <v>12348.833333333299</v>
      </c>
      <c r="F28" s="15">
        <v>2922</v>
      </c>
      <c r="G28" s="6"/>
      <c r="H28" s="5"/>
      <c r="I28" s="26"/>
      <c r="J28" s="18">
        <f t="shared" si="3"/>
        <v>9853.3333333333285</v>
      </c>
      <c r="K28" s="21">
        <f t="shared" si="4"/>
        <v>-9853.3333333333285</v>
      </c>
      <c r="L28" s="6"/>
      <c r="N28" s="53">
        <f>IF(COUNTIF($N$9:N27, "&lt;&gt;""")&gt;=$D$6,(F28+E28)-D28,F28-D28+(E28-$D$5)+N27)</f>
        <v>9853.3333333333285</v>
      </c>
      <c r="O28" s="54">
        <f>IF(COUNTIF($O$9:O27, "&lt;&gt;""")&gt;=$D$6,IF(N28&gt;10700,-10700,-N28),$O$9)</f>
        <v>-9853.3333333333285</v>
      </c>
      <c r="Q28" s="50">
        <v>2040</v>
      </c>
      <c r="R28" s="45">
        <f t="shared" si="2"/>
        <v>19</v>
      </c>
      <c r="S28" s="29">
        <f t="shared" si="1"/>
        <v>9853.3333333333285</v>
      </c>
      <c r="T28" s="48">
        <f t="shared" si="0"/>
        <v>-9853.3333333333285</v>
      </c>
      <c r="V28" s="82"/>
      <c r="W28" s="83"/>
      <c r="X28" s="84"/>
    </row>
    <row r="29" spans="1:32" ht="15.75" thickBot="1" x14ac:dyDescent="0.3">
      <c r="A29" s="9"/>
      <c r="B29" s="7"/>
      <c r="C29" s="8"/>
      <c r="D29" s="8"/>
      <c r="E29" s="8"/>
      <c r="F29" s="8"/>
      <c r="G29" s="9"/>
      <c r="H29" s="7"/>
      <c r="I29" s="7"/>
      <c r="J29" s="8"/>
      <c r="K29" s="8"/>
      <c r="L29" s="9"/>
      <c r="M29" s="7"/>
      <c r="N29" s="8"/>
      <c r="O29" s="8"/>
      <c r="P29" s="8"/>
      <c r="Q29" s="8"/>
      <c r="R29" s="8"/>
      <c r="S29" s="8"/>
      <c r="T29" s="8"/>
      <c r="U29" s="8"/>
      <c r="V29" s="8"/>
      <c r="W29" s="8"/>
      <c r="X29" s="8"/>
    </row>
    <row r="30" spans="1:32" ht="15.75" thickBot="1" x14ac:dyDescent="0.3"/>
    <row r="31" spans="1:32" ht="15.75" customHeight="1" x14ac:dyDescent="0.25">
      <c r="B31" s="1"/>
      <c r="C31" s="2"/>
      <c r="D31" s="2"/>
      <c r="E31" s="2"/>
      <c r="F31" s="2"/>
      <c r="G31" s="3"/>
      <c r="H31" s="5"/>
      <c r="I31" s="67" t="s">
        <v>21</v>
      </c>
      <c r="J31" s="68"/>
      <c r="K31" s="68"/>
      <c r="L31" s="69"/>
      <c r="N31" s="73" t="s">
        <v>15</v>
      </c>
      <c r="O31" s="74"/>
      <c r="R31" s="73" t="s">
        <v>16</v>
      </c>
      <c r="S31" s="75"/>
      <c r="T31" s="74"/>
    </row>
    <row r="32" spans="1:32" ht="16.5" customHeight="1" thickBot="1" x14ac:dyDescent="0.3">
      <c r="B32" s="4"/>
      <c r="C32" s="10" t="s">
        <v>2</v>
      </c>
      <c r="D32" s="5"/>
      <c r="E32" s="5"/>
      <c r="F32" s="5"/>
      <c r="G32" s="6"/>
      <c r="H32" s="5"/>
      <c r="I32" s="70"/>
      <c r="J32" s="71"/>
      <c r="K32" s="71"/>
      <c r="L32" s="72"/>
    </row>
    <row r="33" spans="2:23" ht="15.75" customHeight="1" thickBot="1" x14ac:dyDescent="0.3">
      <c r="B33" s="4"/>
      <c r="C33" s="5"/>
      <c r="D33" s="5"/>
      <c r="E33" s="5"/>
      <c r="F33" s="5"/>
      <c r="G33" s="6"/>
      <c r="H33" s="5"/>
      <c r="N33" s="58" t="s">
        <v>12</v>
      </c>
      <c r="O33" s="59"/>
      <c r="R33" s="58" t="s">
        <v>12</v>
      </c>
      <c r="S33" s="64"/>
      <c r="T33" s="59"/>
    </row>
    <row r="34" spans="2:23" ht="15.75" customHeight="1" x14ac:dyDescent="0.25">
      <c r="B34" s="4"/>
      <c r="C34" s="12" t="s">
        <v>6</v>
      </c>
      <c r="D34" s="22">
        <v>10700</v>
      </c>
      <c r="E34" s="13" t="s">
        <v>4</v>
      </c>
      <c r="F34" s="5"/>
      <c r="G34" s="6"/>
      <c r="H34" s="5"/>
      <c r="I34" s="1"/>
      <c r="J34" s="2"/>
      <c r="K34" s="2"/>
      <c r="L34" s="3"/>
      <c r="N34" s="60"/>
      <c r="O34" s="61"/>
      <c r="R34" s="60"/>
      <c r="S34" s="65"/>
      <c r="T34" s="61"/>
    </row>
    <row r="35" spans="2:23" ht="15.75" customHeight="1" x14ac:dyDescent="0.25">
      <c r="B35" s="4"/>
      <c r="C35" s="11" t="s">
        <v>0</v>
      </c>
      <c r="D35" s="23">
        <v>10</v>
      </c>
      <c r="E35" s="14" t="s">
        <v>3</v>
      </c>
      <c r="F35" s="5"/>
      <c r="G35" s="6"/>
      <c r="H35" s="5"/>
      <c r="I35" s="4"/>
      <c r="J35" s="10" t="s">
        <v>18</v>
      </c>
      <c r="K35" s="5"/>
      <c r="L35" s="6"/>
      <c r="N35" s="62"/>
      <c r="O35" s="63"/>
      <c r="R35" s="62"/>
      <c r="S35" s="66"/>
      <c r="T35" s="63"/>
    </row>
    <row r="36" spans="2:23" x14ac:dyDescent="0.25">
      <c r="B36" s="4"/>
      <c r="C36" s="5"/>
      <c r="D36" s="5"/>
      <c r="E36" s="5"/>
      <c r="F36" s="5"/>
      <c r="G36" s="6"/>
      <c r="H36" s="5"/>
      <c r="I36" s="4"/>
      <c r="J36" s="5"/>
      <c r="K36" s="5"/>
      <c r="L36" s="6"/>
    </row>
    <row r="37" spans="2:23" ht="42" customHeight="1" x14ac:dyDescent="0.25">
      <c r="B37" s="4"/>
      <c r="C37" s="19" t="s">
        <v>5</v>
      </c>
      <c r="D37" s="17" t="s">
        <v>19</v>
      </c>
      <c r="E37" s="24" t="s">
        <v>20</v>
      </c>
      <c r="F37" s="24" t="s">
        <v>1</v>
      </c>
      <c r="G37" s="6"/>
      <c r="H37" s="5"/>
      <c r="I37" s="4"/>
      <c r="J37" s="17" t="s">
        <v>7</v>
      </c>
      <c r="K37" s="20" t="s">
        <v>9</v>
      </c>
      <c r="L37" s="6"/>
      <c r="N37" s="24" t="s">
        <v>7</v>
      </c>
      <c r="O37" s="52" t="s">
        <v>9</v>
      </c>
      <c r="Q37" s="51" t="s">
        <v>13</v>
      </c>
      <c r="R37" s="49" t="s">
        <v>13</v>
      </c>
      <c r="S37" s="27" t="s">
        <v>7</v>
      </c>
      <c r="T37" s="28" t="s">
        <v>14</v>
      </c>
    </row>
    <row r="38" spans="2:23" x14ac:dyDescent="0.25">
      <c r="B38" s="4"/>
      <c r="C38" s="25">
        <v>2021</v>
      </c>
      <c r="D38" s="16">
        <v>10000</v>
      </c>
      <c r="E38" s="15">
        <v>5000</v>
      </c>
      <c r="F38" s="15">
        <v>6000</v>
      </c>
      <c r="G38" s="6"/>
      <c r="H38" s="5"/>
      <c r="I38" s="4" t="s">
        <v>8</v>
      </c>
      <c r="J38" s="18">
        <f>IF(F38+E38&gt;D38,D38-(F38+E38))</f>
        <v>-1000</v>
      </c>
      <c r="K38" s="21">
        <f t="shared" ref="K38:K46" si="5">IF(J38&lt;0,J38,0)</f>
        <v>-1000</v>
      </c>
      <c r="L38" s="6"/>
      <c r="N38" s="53">
        <f>F38-D38+(E38-$D$5)</f>
        <v>-9700</v>
      </c>
      <c r="O38" s="57">
        <v>-10700</v>
      </c>
      <c r="Q38" s="50">
        <v>2021</v>
      </c>
      <c r="R38" s="44">
        <v>0</v>
      </c>
      <c r="S38" s="29">
        <f>F38-D38+MAX(0,E38-$D$5)</f>
        <v>-4000</v>
      </c>
      <c r="T38" s="29">
        <f t="shared" ref="T38:T57" si="6">-MIN(E38+F38-D38+IF(R38&lt;$D$6,J38,0),$D$5)</f>
        <v>0</v>
      </c>
    </row>
    <row r="39" spans="2:23" x14ac:dyDescent="0.25">
      <c r="B39" s="4"/>
      <c r="C39" s="25">
        <v>2022</v>
      </c>
      <c r="D39" s="16">
        <v>10048</v>
      </c>
      <c r="E39" s="15">
        <v>6000</v>
      </c>
      <c r="F39" s="15">
        <v>5000</v>
      </c>
      <c r="G39" s="6"/>
      <c r="H39" s="5"/>
      <c r="I39" s="26"/>
      <c r="J39" s="18">
        <f>IF(F39+E39&gt;D39,D39-(F39+E39)+J38)</f>
        <v>-1952</v>
      </c>
      <c r="K39" s="21">
        <f t="shared" si="5"/>
        <v>-1952</v>
      </c>
      <c r="L39" s="6"/>
      <c r="N39" s="53">
        <f>IF(COUNTIF($N$9:N38, "&lt;&gt;""")&gt;=$D$6,(F39+E39)-D39,F39-D39+(E39-$D$5)+N38)</f>
        <v>952</v>
      </c>
      <c r="O39" s="54">
        <f>IF(COUNTIF($O$9:O38, "&lt;&gt;""")&gt;=$D$6,IF(N39&gt;10700,-10700,-N39),$O$9)</f>
        <v>-952</v>
      </c>
      <c r="Q39" s="50">
        <v>2022</v>
      </c>
      <c r="R39" s="44">
        <f>R38+1</f>
        <v>1</v>
      </c>
      <c r="S39" s="29">
        <f t="shared" ref="S39:S57" si="7">IF(R39&lt;$D$6,F39-D39+MAX(0,E39-$D$5)+S38,E39+F39-D39)</f>
        <v>-9048</v>
      </c>
      <c r="T39" s="29">
        <f t="shared" si="6"/>
        <v>1000</v>
      </c>
    </row>
    <row r="40" spans="2:23" x14ac:dyDescent="0.25">
      <c r="B40" s="4"/>
      <c r="C40" s="25">
        <v>2023</v>
      </c>
      <c r="D40" s="16">
        <v>10102</v>
      </c>
      <c r="E40" s="15">
        <v>5072</v>
      </c>
      <c r="F40" s="15">
        <v>4954</v>
      </c>
      <c r="G40" s="6"/>
      <c r="H40" s="5"/>
      <c r="I40" s="26"/>
      <c r="J40" s="33">
        <f>IF(76+J39&gt;0,0,76+J39)</f>
        <v>-1876</v>
      </c>
      <c r="K40" s="21">
        <f t="shared" si="5"/>
        <v>-1876</v>
      </c>
      <c r="L40" s="6"/>
      <c r="N40" s="53">
        <f>IF(COUNTIF($N$9:N39, "&lt;&gt;""")&gt;=$D$6,(F40+E40)-D40,F40-D40+(E40-$D$5)+N39)</f>
        <v>-76</v>
      </c>
      <c r="O40" s="54">
        <f>IF(COUNTIF($O$9:O39, "&lt;&gt;""")&gt;=$D$6,IF(N40&gt;10700,-10700,-N40),$O$9)</f>
        <v>76</v>
      </c>
      <c r="Q40" s="50">
        <v>2023</v>
      </c>
      <c r="R40" s="44">
        <f>R39+1</f>
        <v>2</v>
      </c>
      <c r="S40" s="29">
        <f t="shared" si="7"/>
        <v>-14196</v>
      </c>
      <c r="T40" s="29">
        <f t="shared" si="6"/>
        <v>1952</v>
      </c>
      <c r="W40" s="55"/>
    </row>
    <row r="41" spans="2:23" x14ac:dyDescent="0.25">
      <c r="B41" s="4"/>
      <c r="C41" s="25">
        <v>2024</v>
      </c>
      <c r="D41" s="16">
        <v>10151</v>
      </c>
      <c r="E41" s="15">
        <v>5099</v>
      </c>
      <c r="F41" s="15">
        <v>4903</v>
      </c>
      <c r="G41" s="6"/>
      <c r="H41" s="5"/>
      <c r="I41" s="26"/>
      <c r="J41" s="33">
        <f>IF(149+J40&gt;0,0,149+J40)</f>
        <v>-1727</v>
      </c>
      <c r="K41" s="21">
        <f t="shared" si="5"/>
        <v>-1727</v>
      </c>
      <c r="L41" s="6"/>
      <c r="N41" s="53">
        <f>IF(COUNTIF($N$9:N40, "&lt;&gt;""")&gt;=$D$6,(F41+E41)-D41,F41-D41+(E41-$D$5)+N40)</f>
        <v>-149</v>
      </c>
      <c r="O41" s="54">
        <f>IF(COUNTIF($O$9:O40, "&lt;&gt;""")&gt;=$D$6,IF(N41&gt;10700,-10700,-N41),$O$9)</f>
        <v>149</v>
      </c>
      <c r="Q41" s="50">
        <v>2024</v>
      </c>
      <c r="R41" s="44">
        <f t="shared" ref="R41:R57" si="8">R40+1</f>
        <v>3</v>
      </c>
      <c r="S41" s="29">
        <f t="shared" si="7"/>
        <v>-19444</v>
      </c>
      <c r="T41" s="29">
        <f t="shared" si="6"/>
        <v>1876</v>
      </c>
    </row>
    <row r="42" spans="2:23" x14ac:dyDescent="0.25">
      <c r="B42" s="4"/>
      <c r="C42" s="25">
        <v>2025</v>
      </c>
      <c r="D42" s="16">
        <v>10203.333333333299</v>
      </c>
      <c r="E42" s="15">
        <v>5132.6666666666697</v>
      </c>
      <c r="F42" s="15">
        <v>4872</v>
      </c>
      <c r="G42" s="6"/>
      <c r="H42" s="5"/>
      <c r="I42" s="26"/>
      <c r="J42" s="33">
        <f>IF(198+J41&gt;0,0,198+J41)</f>
        <v>-1529</v>
      </c>
      <c r="K42" s="21">
        <f t="shared" si="5"/>
        <v>-1529</v>
      </c>
      <c r="L42" s="6"/>
      <c r="N42" s="53">
        <f>IF(COUNTIF($N$9:N41, "&lt;&gt;""")&gt;=$D$6,(F42+E42)-D42,F42-D42+(E42-$D$5)+N41)</f>
        <v>-198.66666666662968</v>
      </c>
      <c r="O42" s="54">
        <f>IF(COUNTIF($O$9:O41, "&lt;&gt;""")&gt;=$D$6,IF(N42&gt;10700,-10700,-N42),$O$9)</f>
        <v>198.66666666662968</v>
      </c>
      <c r="Q42" s="50">
        <v>2025</v>
      </c>
      <c r="R42" s="44">
        <f t="shared" si="8"/>
        <v>4</v>
      </c>
      <c r="S42" s="29">
        <f t="shared" si="7"/>
        <v>-24775.333333333299</v>
      </c>
      <c r="T42" s="29">
        <f t="shared" si="6"/>
        <v>1727.6666666666297</v>
      </c>
    </row>
    <row r="43" spans="2:23" x14ac:dyDescent="0.25">
      <c r="B43" s="4"/>
      <c r="C43" s="25">
        <v>2026</v>
      </c>
      <c r="D43" s="16">
        <v>10254.833333333299</v>
      </c>
      <c r="E43" s="15">
        <v>5164.6666666666697</v>
      </c>
      <c r="F43" s="15">
        <v>4836</v>
      </c>
      <c r="G43" s="6"/>
      <c r="H43" s="5"/>
      <c r="I43" s="26"/>
      <c r="J43" s="33">
        <f>IF(254+J42&gt;0,0,254+J42)</f>
        <v>-1275</v>
      </c>
      <c r="K43" s="21">
        <f t="shared" si="5"/>
        <v>-1275</v>
      </c>
      <c r="L43" s="6"/>
      <c r="N43" s="53">
        <f>IF(COUNTIF($N$9:N42, "&lt;&gt;""")&gt;=$D$6,(F43+E43)-D43,F43-D43+(E43-$D$5)+N42)</f>
        <v>-254.16666666662968</v>
      </c>
      <c r="O43" s="54">
        <f>IF(COUNTIF($O$9:O42, "&lt;&gt;""")&gt;=$D$6,IF(N43&gt;10700,-10700,-N43),$O$9)</f>
        <v>254.16666666662968</v>
      </c>
      <c r="Q43" s="50">
        <v>2026</v>
      </c>
      <c r="R43" s="44">
        <f t="shared" si="8"/>
        <v>5</v>
      </c>
      <c r="S43" s="29">
        <f t="shared" si="7"/>
        <v>-30194.166666666599</v>
      </c>
      <c r="T43" s="29">
        <f t="shared" si="6"/>
        <v>1529.1666666666297</v>
      </c>
    </row>
    <row r="44" spans="2:23" x14ac:dyDescent="0.25">
      <c r="B44" s="4"/>
      <c r="C44" s="25">
        <v>2027</v>
      </c>
      <c r="D44" s="16">
        <v>10306.333333333299</v>
      </c>
      <c r="E44" s="15">
        <v>5196.6666666666697</v>
      </c>
      <c r="F44" s="15">
        <v>4800</v>
      </c>
      <c r="G44" s="6"/>
      <c r="H44" s="5"/>
      <c r="I44" s="26"/>
      <c r="J44" s="33">
        <f>IF(309+J43&gt;0,0,309+J43)</f>
        <v>-966</v>
      </c>
      <c r="K44" s="21">
        <f t="shared" si="5"/>
        <v>-966</v>
      </c>
      <c r="L44" s="6"/>
      <c r="N44" s="53">
        <f>IF(COUNTIF($N$9:N43, "&lt;&gt;""")&gt;=$D$6,(F44+E44)-D44,F44-D44+(E44-$D$5)+N43)</f>
        <v>-309.66666666662968</v>
      </c>
      <c r="O44" s="54">
        <f>IF(COUNTIF($O$9:O43, "&lt;&gt;""")&gt;=$D$6,IF(N44&gt;10700,-10700,-N44),$O$9)</f>
        <v>309.66666666662968</v>
      </c>
      <c r="Q44" s="50">
        <v>2027</v>
      </c>
      <c r="R44" s="44">
        <f t="shared" si="8"/>
        <v>6</v>
      </c>
      <c r="S44" s="29">
        <f t="shared" si="7"/>
        <v>-35700.499999999898</v>
      </c>
      <c r="T44" s="29">
        <f t="shared" si="6"/>
        <v>1275.6666666666297</v>
      </c>
    </row>
    <row r="45" spans="2:23" x14ac:dyDescent="0.25">
      <c r="B45" s="4"/>
      <c r="C45" s="25">
        <v>2028</v>
      </c>
      <c r="D45" s="16">
        <v>10357.833333333299</v>
      </c>
      <c r="E45" s="15">
        <v>5228.6666666666697</v>
      </c>
      <c r="F45" s="15">
        <v>4764</v>
      </c>
      <c r="G45" s="6"/>
      <c r="H45" s="5"/>
      <c r="I45" s="26"/>
      <c r="J45" s="33">
        <f>IF(365+J44&gt;0,0,365+J44)</f>
        <v>-601</v>
      </c>
      <c r="K45" s="21">
        <f t="shared" si="5"/>
        <v>-601</v>
      </c>
      <c r="L45" s="6"/>
      <c r="N45" s="53">
        <f>IF(COUNTIF($N$9:N44, "&lt;&gt;""")&gt;=$D$6,(F45+E45)-D45,F45-D45+(E45-$D$5)+N44)</f>
        <v>-365.16666666662968</v>
      </c>
      <c r="O45" s="54">
        <f>IF(COUNTIF($O$9:O44, "&lt;&gt;""")&gt;=$D$6,IF(N45&gt;10700,-10700,-N45),$O$9)</f>
        <v>365.16666666662968</v>
      </c>
      <c r="Q45" s="50">
        <v>2028</v>
      </c>
      <c r="R45" s="44">
        <f t="shared" si="8"/>
        <v>7</v>
      </c>
      <c r="S45" s="29">
        <f t="shared" si="7"/>
        <v>-41294.333333333198</v>
      </c>
      <c r="T45" s="29">
        <f t="shared" si="6"/>
        <v>966.16666666662968</v>
      </c>
    </row>
    <row r="46" spans="2:23" x14ac:dyDescent="0.25">
      <c r="B46" s="4"/>
      <c r="C46" s="25">
        <v>2029</v>
      </c>
      <c r="D46" s="16">
        <v>10409.333333333299</v>
      </c>
      <c r="E46" s="15">
        <v>5260.6666666666697</v>
      </c>
      <c r="F46" s="15">
        <v>4728</v>
      </c>
      <c r="G46" s="6"/>
      <c r="H46" s="5"/>
      <c r="I46" s="26"/>
      <c r="J46" s="33">
        <f>IF(420+J45&gt;0,0,420+J45)</f>
        <v>-181</v>
      </c>
      <c r="K46" s="21">
        <f t="shared" si="5"/>
        <v>-181</v>
      </c>
      <c r="L46" s="6"/>
      <c r="N46" s="53">
        <f>IF(COUNTIF($N$9:N45, "&lt;&gt;""")&gt;=$D$6,(F46+E46)-D46,F46-D46+(E46-$D$5)+N45)</f>
        <v>-420.66666666662968</v>
      </c>
      <c r="O46" s="54">
        <f>IF(COUNTIF($O$9:O45, "&lt;&gt;""")&gt;=$D$6,IF(N46&gt;10700,-10700,-N46),$O$9)</f>
        <v>420.66666666662968</v>
      </c>
      <c r="Q46" s="50">
        <v>2029</v>
      </c>
      <c r="R46" s="44">
        <f t="shared" si="8"/>
        <v>8</v>
      </c>
      <c r="S46" s="29">
        <f t="shared" si="7"/>
        <v>-46975.666666666497</v>
      </c>
      <c r="T46" s="46">
        <f t="shared" si="6"/>
        <v>601.66666666662968</v>
      </c>
    </row>
    <row r="47" spans="2:23" x14ac:dyDescent="0.25">
      <c r="B47" s="4"/>
      <c r="C47" s="25">
        <v>2030</v>
      </c>
      <c r="D47" s="16">
        <v>10460.833333333299</v>
      </c>
      <c r="E47" s="15">
        <v>5292.6666666666697</v>
      </c>
      <c r="F47" s="15">
        <v>4692</v>
      </c>
      <c r="G47" s="6"/>
      <c r="H47" s="5"/>
      <c r="I47" s="26" t="s">
        <v>10</v>
      </c>
      <c r="J47" s="33">
        <f>IF(476+J46&gt;0,0,476+J46)</f>
        <v>0</v>
      </c>
      <c r="K47" s="42">
        <f>476+J46</f>
        <v>295</v>
      </c>
      <c r="L47" s="6"/>
      <c r="N47" s="53">
        <f>IF(COUNTIF($N$9:N46, "&lt;&gt;""")&gt;=$D$6,(F47+E47)-D47,F47-D47+(E47-$D$5)+N46)</f>
        <v>-476.16666666662968</v>
      </c>
      <c r="O47" s="54">
        <f>IF(COUNTIF($O$9:O46, "&lt;&gt;""")&gt;=$D$6,IF(N47&gt;10700,-10700,-N47),$O$9)</f>
        <v>476.16666666662968</v>
      </c>
      <c r="Q47" s="50">
        <v>2030</v>
      </c>
      <c r="R47" s="44">
        <f t="shared" si="8"/>
        <v>9</v>
      </c>
      <c r="S47" s="29">
        <f t="shared" si="7"/>
        <v>-52744.499999999796</v>
      </c>
      <c r="T47" s="47">
        <f t="shared" si="6"/>
        <v>476.16666666662968</v>
      </c>
    </row>
    <row r="48" spans="2:23" ht="15" customHeight="1" x14ac:dyDescent="0.25">
      <c r="B48" s="4"/>
      <c r="C48" s="25">
        <v>2031</v>
      </c>
      <c r="D48" s="16">
        <v>10512.333333333299</v>
      </c>
      <c r="E48" s="15">
        <v>5324.6666666666697</v>
      </c>
      <c r="F48" s="15">
        <v>4656</v>
      </c>
      <c r="G48" s="6"/>
      <c r="H48" s="5"/>
      <c r="I48" s="26" t="s">
        <v>11</v>
      </c>
      <c r="J48" s="18">
        <f>IF(F48+E48&gt;D48,D48-(F48+E48),0)</f>
        <v>0</v>
      </c>
      <c r="K48" s="42">
        <f>D48-(E48+F48)</f>
        <v>531.66666666662968</v>
      </c>
      <c r="L48" s="6"/>
      <c r="N48" s="53">
        <f>IF(COUNTIF($N$9:N47, "&lt;&gt;""")&gt;=$D$6,(F48+E48)-D48,F48-D48+(E48-$D$5)+N47)</f>
        <v>-531.66666666662968</v>
      </c>
      <c r="O48" s="54">
        <f>IF(COUNTIF($O$9:O47, "&lt;&gt;""")&gt;=$D$6,IF(N48&gt;10700,-10700,-N48),$O$9)</f>
        <v>531.66666666662968</v>
      </c>
      <c r="Q48" s="50">
        <v>2031</v>
      </c>
      <c r="R48" s="45">
        <f t="shared" si="8"/>
        <v>10</v>
      </c>
      <c r="S48" s="29">
        <f t="shared" si="7"/>
        <v>-531.66666666662968</v>
      </c>
      <c r="T48" s="48">
        <f t="shared" si="6"/>
        <v>531.66666666662968</v>
      </c>
    </row>
    <row r="49" spans="2:20" x14ac:dyDescent="0.25">
      <c r="B49" s="4"/>
      <c r="C49" s="25">
        <v>2032</v>
      </c>
      <c r="D49" s="16">
        <v>10563.833333333299</v>
      </c>
      <c r="E49" s="15">
        <v>5356.6666666666697</v>
      </c>
      <c r="F49" s="15">
        <v>4620</v>
      </c>
      <c r="G49" s="6"/>
      <c r="H49" s="5"/>
      <c r="I49" s="26"/>
      <c r="J49" s="18">
        <f t="shared" ref="J49:J57" si="9">IF(F49+E49&gt;D49,D49-(F49+E49),0)</f>
        <v>0</v>
      </c>
      <c r="K49" s="42">
        <f t="shared" ref="K49:K57" si="10">D49-(E49+F49)</f>
        <v>587.16666666662968</v>
      </c>
      <c r="L49" s="6"/>
      <c r="N49" s="53">
        <f>IF(COUNTIF($N$9:N48, "&lt;&gt;""")&gt;=$D$6,(F49+E49)-D49,F49-D49+(E49-$D$5)+N48)</f>
        <v>-587.16666666662968</v>
      </c>
      <c r="O49" s="54">
        <f>IF(COUNTIF($O$9:O48, "&lt;&gt;""")&gt;=$D$6,IF(N49&gt;10700,-10700,-N49),$O$9)</f>
        <v>587.16666666662968</v>
      </c>
      <c r="Q49" s="50">
        <v>2032</v>
      </c>
      <c r="R49" s="45">
        <f t="shared" si="8"/>
        <v>11</v>
      </c>
      <c r="S49" s="29">
        <f t="shared" si="7"/>
        <v>-587.16666666662968</v>
      </c>
      <c r="T49" s="48">
        <f t="shared" si="6"/>
        <v>587.16666666662968</v>
      </c>
    </row>
    <row r="50" spans="2:20" x14ac:dyDescent="0.25">
      <c r="B50" s="4"/>
      <c r="C50" s="25">
        <v>2033</v>
      </c>
      <c r="D50" s="16">
        <v>10615.333333333299</v>
      </c>
      <c r="E50" s="15">
        <v>5388.6666666666697</v>
      </c>
      <c r="F50" s="15">
        <v>4584</v>
      </c>
      <c r="G50" s="6"/>
      <c r="H50" s="5"/>
      <c r="I50" s="26"/>
      <c r="J50" s="18">
        <f t="shared" si="9"/>
        <v>0</v>
      </c>
      <c r="K50" s="42">
        <f t="shared" si="10"/>
        <v>642.66666666662968</v>
      </c>
      <c r="L50" s="6"/>
      <c r="N50" s="53">
        <f>IF(COUNTIF($N$9:N49, "&lt;&gt;""")&gt;=$D$6,(F50+E50)-D50,F50-D50+(E50-$D$5)+N49)</f>
        <v>-642.66666666662968</v>
      </c>
      <c r="O50" s="54">
        <f>IF(COUNTIF($O$9:O49, "&lt;&gt;""")&gt;=$D$6,IF(N50&gt;10700,-10700,-N50),$O$9)</f>
        <v>642.66666666662968</v>
      </c>
      <c r="Q50" s="50">
        <v>2033</v>
      </c>
      <c r="R50" s="45">
        <f t="shared" si="8"/>
        <v>12</v>
      </c>
      <c r="S50" s="29">
        <f t="shared" si="7"/>
        <v>-642.66666666662968</v>
      </c>
      <c r="T50" s="48">
        <f t="shared" si="6"/>
        <v>642.66666666662968</v>
      </c>
    </row>
    <row r="51" spans="2:20" x14ac:dyDescent="0.25">
      <c r="B51" s="4"/>
      <c r="C51" s="25">
        <v>2034</v>
      </c>
      <c r="D51" s="16">
        <v>10666.833333333299</v>
      </c>
      <c r="E51" s="15">
        <v>5420.6666666666697</v>
      </c>
      <c r="F51" s="15">
        <v>4548</v>
      </c>
      <c r="G51" s="6"/>
      <c r="H51" s="5"/>
      <c r="I51" s="26"/>
      <c r="J51" s="18">
        <f t="shared" si="9"/>
        <v>0</v>
      </c>
      <c r="K51" s="42">
        <f t="shared" si="10"/>
        <v>698.16666666662968</v>
      </c>
      <c r="L51" s="6"/>
      <c r="N51" s="53">
        <f>IF(COUNTIF($N$9:N50, "&lt;&gt;""")&gt;=$D$6,(F51+E51)-D51,F51-D51+(E51-$D$5)+N50)</f>
        <v>-698.16666666662968</v>
      </c>
      <c r="O51" s="54">
        <f>IF(COUNTIF($O$9:O50, "&lt;&gt;""")&gt;=$D$6,IF(N51&gt;10700,-10700,-N51),$O$9)</f>
        <v>698.16666666662968</v>
      </c>
      <c r="Q51" s="50">
        <v>2034</v>
      </c>
      <c r="R51" s="45">
        <f t="shared" si="8"/>
        <v>13</v>
      </c>
      <c r="S51" s="29">
        <f t="shared" si="7"/>
        <v>-698.16666666662968</v>
      </c>
      <c r="T51" s="48">
        <f t="shared" si="6"/>
        <v>698.16666666662968</v>
      </c>
    </row>
    <row r="52" spans="2:20" x14ac:dyDescent="0.25">
      <c r="B52" s="4"/>
      <c r="C52" s="25">
        <v>2035</v>
      </c>
      <c r="D52" s="16">
        <v>10718.333333333299</v>
      </c>
      <c r="E52" s="15">
        <v>5452.6666666666697</v>
      </c>
      <c r="F52" s="15">
        <v>4512</v>
      </c>
      <c r="G52" s="6"/>
      <c r="H52" s="5"/>
      <c r="I52" s="26"/>
      <c r="J52" s="18">
        <f t="shared" si="9"/>
        <v>0</v>
      </c>
      <c r="K52" s="42">
        <f t="shared" si="10"/>
        <v>753.66666666662968</v>
      </c>
      <c r="L52" s="6"/>
      <c r="N52" s="53">
        <f>IF(COUNTIF($N$9:N51, "&lt;&gt;""")&gt;=$D$6,(F52+E52)-D52,F52-D52+(E52-$D$5)+N51)</f>
        <v>-753.66666666662968</v>
      </c>
      <c r="O52" s="54">
        <f>IF(COUNTIF($O$9:O51, "&lt;&gt;""")&gt;=$D$6,IF(N52&gt;10700,-10700,-N52),$O$9)</f>
        <v>753.66666666662968</v>
      </c>
      <c r="Q52" s="50">
        <v>2035</v>
      </c>
      <c r="R52" s="45">
        <f t="shared" si="8"/>
        <v>14</v>
      </c>
      <c r="S52" s="29">
        <f t="shared" si="7"/>
        <v>-753.66666666662968</v>
      </c>
      <c r="T52" s="48">
        <f t="shared" si="6"/>
        <v>753.66666666662968</v>
      </c>
    </row>
    <row r="53" spans="2:20" ht="15" customHeight="1" x14ac:dyDescent="0.25">
      <c r="B53" s="4"/>
      <c r="C53" s="25">
        <v>2036</v>
      </c>
      <c r="D53" s="16">
        <v>10769.833333333299</v>
      </c>
      <c r="E53" s="15">
        <v>5484.6666666666697</v>
      </c>
      <c r="F53" s="15">
        <v>4476</v>
      </c>
      <c r="G53" s="6"/>
      <c r="H53" s="5"/>
      <c r="I53" s="26"/>
      <c r="J53" s="18">
        <f t="shared" si="9"/>
        <v>0</v>
      </c>
      <c r="K53" s="42">
        <f t="shared" si="10"/>
        <v>809.16666666662968</v>
      </c>
      <c r="L53" s="6"/>
      <c r="N53" s="53">
        <f>IF(COUNTIF($N$9:N52, "&lt;&gt;""")&gt;=$D$6,(F53+E53)-D53,F53-D53+(E53-$D$5)+N52)</f>
        <v>-809.16666666662968</v>
      </c>
      <c r="O53" s="54">
        <f>IF(COUNTIF($O$9:O52, "&lt;&gt;""")&gt;=$D$6,IF(N53&gt;10700,-10700,-N53),$O$9)</f>
        <v>809.16666666662968</v>
      </c>
      <c r="Q53" s="50">
        <v>2036</v>
      </c>
      <c r="R53" s="45">
        <f t="shared" si="8"/>
        <v>15</v>
      </c>
      <c r="S53" s="29">
        <f t="shared" si="7"/>
        <v>-809.16666666662968</v>
      </c>
      <c r="T53" s="48">
        <f t="shared" si="6"/>
        <v>809.16666666662968</v>
      </c>
    </row>
    <row r="54" spans="2:20" x14ac:dyDescent="0.25">
      <c r="B54" s="4"/>
      <c r="C54" s="25">
        <v>2037</v>
      </c>
      <c r="D54" s="16">
        <v>10821.333333333299</v>
      </c>
      <c r="E54" s="15">
        <v>5516.6666666666697</v>
      </c>
      <c r="F54" s="15">
        <v>4440</v>
      </c>
      <c r="G54" s="6"/>
      <c r="H54" s="5"/>
      <c r="I54" s="26"/>
      <c r="J54" s="18">
        <f t="shared" si="9"/>
        <v>0</v>
      </c>
      <c r="K54" s="42">
        <f t="shared" si="10"/>
        <v>864.66666666662968</v>
      </c>
      <c r="L54" s="6"/>
      <c r="N54" s="53">
        <f>IF(COUNTIF($N$9:N53, "&lt;&gt;""")&gt;=$D$6,(F54+E54)-D54,F54-D54+(E54-$D$5)+N53)</f>
        <v>-864.66666666662968</v>
      </c>
      <c r="O54" s="54">
        <f>IF(COUNTIF($O$9:O53, "&lt;&gt;""")&gt;=$D$6,IF(N54&gt;10700,-10700,-N54),$O$9)</f>
        <v>864.66666666662968</v>
      </c>
      <c r="Q54" s="50">
        <v>2037</v>
      </c>
      <c r="R54" s="45">
        <f t="shared" si="8"/>
        <v>16</v>
      </c>
      <c r="S54" s="29">
        <f t="shared" si="7"/>
        <v>-864.66666666662968</v>
      </c>
      <c r="T54" s="48">
        <f t="shared" si="6"/>
        <v>864.66666666662968</v>
      </c>
    </row>
    <row r="55" spans="2:20" x14ac:dyDescent="0.25">
      <c r="B55" s="4"/>
      <c r="C55" s="25">
        <v>2038</v>
      </c>
      <c r="D55" s="16">
        <v>10872.833333333299</v>
      </c>
      <c r="E55" s="15">
        <v>5548.6666666666697</v>
      </c>
      <c r="F55" s="15">
        <v>4404</v>
      </c>
      <c r="G55" s="6"/>
      <c r="H55" s="5"/>
      <c r="I55" s="26"/>
      <c r="J55" s="18">
        <f t="shared" si="9"/>
        <v>0</v>
      </c>
      <c r="K55" s="42">
        <f t="shared" si="10"/>
        <v>920.16666666662968</v>
      </c>
      <c r="L55" s="6"/>
      <c r="N55" s="53">
        <f>IF(COUNTIF($N$9:N54, "&lt;&gt;""")&gt;=$D$6,(F55+E55)-D55,F55-D55+(E55-$D$5)+N54)</f>
        <v>-920.16666666662968</v>
      </c>
      <c r="O55" s="54">
        <f>IF(COUNTIF($O$9:O54, "&lt;&gt;""")&gt;=$D$6,IF(N55&gt;10700,-10700,-N55),$O$9)</f>
        <v>920.16666666662968</v>
      </c>
      <c r="Q55" s="50">
        <v>2038</v>
      </c>
      <c r="R55" s="45">
        <f t="shared" si="8"/>
        <v>17</v>
      </c>
      <c r="S55" s="29">
        <f t="shared" si="7"/>
        <v>-920.16666666662968</v>
      </c>
      <c r="T55" s="48">
        <f t="shared" si="6"/>
        <v>920.16666666662968</v>
      </c>
    </row>
    <row r="56" spans="2:20" ht="15" customHeight="1" x14ac:dyDescent="0.25">
      <c r="B56" s="4"/>
      <c r="C56" s="25">
        <v>2039</v>
      </c>
      <c r="D56" s="16">
        <v>10924.333333333299</v>
      </c>
      <c r="E56" s="15">
        <v>5580.6666666666697</v>
      </c>
      <c r="F56" s="15">
        <v>4368</v>
      </c>
      <c r="G56" s="6"/>
      <c r="H56" s="5"/>
      <c r="I56" s="26"/>
      <c r="J56" s="18">
        <f t="shared" si="9"/>
        <v>0</v>
      </c>
      <c r="K56" s="42">
        <f t="shared" si="10"/>
        <v>975.66666666662968</v>
      </c>
      <c r="L56" s="6"/>
      <c r="N56" s="53">
        <f>IF(COUNTIF($N$9:N55, "&lt;&gt;""")&gt;=$D$6,(F56+E56)-D56,F56-D56+(E56-$D$5)+N55)</f>
        <v>-975.66666666662968</v>
      </c>
      <c r="O56" s="54">
        <f>IF(COUNTIF($O$9:O55, "&lt;&gt;""")&gt;=$D$6,IF(N56&gt;10700,-10700,-N56),$O$9)</f>
        <v>975.66666666662968</v>
      </c>
      <c r="Q56" s="50">
        <v>2039</v>
      </c>
      <c r="R56" s="45">
        <f t="shared" si="8"/>
        <v>18</v>
      </c>
      <c r="S56" s="29">
        <f t="shared" si="7"/>
        <v>-975.66666666662968</v>
      </c>
      <c r="T56" s="48">
        <f t="shared" si="6"/>
        <v>975.66666666662968</v>
      </c>
    </row>
    <row r="57" spans="2:20" x14ac:dyDescent="0.25">
      <c r="B57" s="4"/>
      <c r="C57" s="25">
        <v>2040</v>
      </c>
      <c r="D57" s="16">
        <v>10975.833333333299</v>
      </c>
      <c r="E57" s="15">
        <v>5612.6666666666697</v>
      </c>
      <c r="F57" s="15">
        <v>4332</v>
      </c>
      <c r="G57" s="6"/>
      <c r="H57" s="5"/>
      <c r="I57" s="26"/>
      <c r="J57" s="18">
        <f t="shared" si="9"/>
        <v>0</v>
      </c>
      <c r="K57" s="42">
        <f t="shared" si="10"/>
        <v>1031.1666666666297</v>
      </c>
      <c r="L57" s="6"/>
      <c r="N57" s="53">
        <f>IF(COUNTIF($N$9:N56, "&lt;&gt;""")&gt;=$D$6,(F57+E57)-D57,F57-D57+(E57-$D$5)+N56)</f>
        <v>-1031.1666666666297</v>
      </c>
      <c r="O57" s="54">
        <f>IF(COUNTIF($O$9:O56, "&lt;&gt;""")&gt;=$D$6,IF(N57&gt;10700,-10700,-N57),$O$9)</f>
        <v>1031.1666666666297</v>
      </c>
      <c r="Q57" s="50">
        <v>2040</v>
      </c>
      <c r="R57" s="45">
        <f t="shared" si="8"/>
        <v>19</v>
      </c>
      <c r="S57" s="29">
        <f t="shared" si="7"/>
        <v>-1031.1666666666297</v>
      </c>
      <c r="T57" s="48">
        <f t="shared" si="6"/>
        <v>1031.1666666666297</v>
      </c>
    </row>
    <row r="58" spans="2:20" ht="15.75" thickBot="1" x14ac:dyDescent="0.3">
      <c r="B58" s="7"/>
      <c r="C58" s="8"/>
      <c r="D58" s="8"/>
      <c r="E58" s="8"/>
      <c r="F58" s="8"/>
      <c r="G58" s="9"/>
      <c r="H58" s="5"/>
      <c r="I58" s="7"/>
      <c r="J58" s="8"/>
      <c r="K58" s="8"/>
      <c r="L58" s="9"/>
    </row>
    <row r="59" spans="2:20" x14ac:dyDescent="0.25">
      <c r="B59" s="5"/>
    </row>
    <row r="60" spans="2:20" x14ac:dyDescent="0.25">
      <c r="I60" s="85" t="s">
        <v>26</v>
      </c>
      <c r="J60" s="86"/>
      <c r="K60" s="86"/>
      <c r="L60" s="86"/>
      <c r="M60" s="86"/>
      <c r="N60" s="86"/>
      <c r="O60" s="86"/>
      <c r="P60" s="86"/>
      <c r="Q60" s="86"/>
      <c r="R60" s="86"/>
      <c r="S60" s="86"/>
      <c r="T60" s="87"/>
    </row>
    <row r="61" spans="2:20" x14ac:dyDescent="0.25">
      <c r="I61" s="88"/>
      <c r="J61" s="80"/>
      <c r="K61" s="80"/>
      <c r="L61" s="80"/>
      <c r="M61" s="80"/>
      <c r="N61" s="80"/>
      <c r="O61" s="80"/>
      <c r="P61" s="80"/>
      <c r="Q61" s="80"/>
      <c r="R61" s="80"/>
      <c r="S61" s="80"/>
      <c r="T61" s="89"/>
    </row>
    <row r="62" spans="2:20" x14ac:dyDescent="0.25">
      <c r="I62" s="88"/>
      <c r="J62" s="80"/>
      <c r="K62" s="80"/>
      <c r="L62" s="80"/>
      <c r="M62" s="80"/>
      <c r="N62" s="80"/>
      <c r="O62" s="80"/>
      <c r="P62" s="80"/>
      <c r="Q62" s="80"/>
      <c r="R62" s="80"/>
      <c r="S62" s="80"/>
      <c r="T62" s="89"/>
    </row>
    <row r="63" spans="2:20" x14ac:dyDescent="0.25">
      <c r="I63" s="88"/>
      <c r="J63" s="80"/>
      <c r="K63" s="80"/>
      <c r="L63" s="80"/>
      <c r="M63" s="80"/>
      <c r="N63" s="80"/>
      <c r="O63" s="80"/>
      <c r="P63" s="80"/>
      <c r="Q63" s="80"/>
      <c r="R63" s="80"/>
      <c r="S63" s="80"/>
      <c r="T63" s="89"/>
    </row>
    <row r="64" spans="2:20" x14ac:dyDescent="0.25">
      <c r="I64" s="90"/>
      <c r="J64" s="91"/>
      <c r="K64" s="91"/>
      <c r="L64" s="91"/>
      <c r="M64" s="91"/>
      <c r="N64" s="91"/>
      <c r="O64" s="91"/>
      <c r="P64" s="91"/>
      <c r="Q64" s="91"/>
      <c r="R64" s="91"/>
      <c r="S64" s="91"/>
      <c r="T64" s="92"/>
    </row>
  </sheetData>
  <mergeCells count="15">
    <mergeCell ref="I60:T64"/>
    <mergeCell ref="N33:O35"/>
    <mergeCell ref="R33:T35"/>
    <mergeCell ref="I2:L3"/>
    <mergeCell ref="I31:L32"/>
    <mergeCell ref="N31:O31"/>
    <mergeCell ref="R31:T31"/>
    <mergeCell ref="N4:O6"/>
    <mergeCell ref="R4:T6"/>
    <mergeCell ref="V19:X28"/>
    <mergeCell ref="N2:O2"/>
    <mergeCell ref="R2:T2"/>
    <mergeCell ref="V2:AE17"/>
    <mergeCell ref="Z19:AF20"/>
    <mergeCell ref="Z22:AF23"/>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2019-11-25T21:02:31Z</dcterms:created>
  <dcterms:modified xsi:type="dcterms:W3CDTF">2019-11-26T23:05:16Z</dcterms:modified>
</cp:coreProperties>
</file>